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/>
  <xr:revisionPtr revIDLastSave="0" documentId="13_ncr:1_{39FCE2C9-DC46-4A1A-AF38-94277F22EC2A}" xr6:coauthVersionLast="45" xr6:coauthVersionMax="45" xr10:uidLastSave="{00000000-0000-0000-0000-000000000000}"/>
  <bookViews>
    <workbookView xWindow="-120" yWindow="-120" windowWidth="28980" windowHeight="15345" xr2:uid="{00000000-000D-0000-FFFF-FFFF00000000}"/>
  </bookViews>
  <sheets>
    <sheet name="婚禮預算" sheetId="1" r:id="rId1"/>
    <sheet name="預算詳細資料" sheetId="2" r:id="rId2"/>
  </sheets>
  <definedNames>
    <definedName name="_xlnm.Print_Titles" localSheetId="1">預算詳細資料!$1:$3</definedName>
    <definedName name="TBL_RankingData">婚禮預算!$J$6:$N$15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0" i="2" l="1"/>
  <c r="E89" i="2"/>
  <c r="E88" i="2"/>
  <c r="E87" i="2"/>
  <c r="E86" i="2"/>
  <c r="E81" i="2"/>
  <c r="E80" i="2"/>
  <c r="E75" i="2"/>
  <c r="E74" i="2"/>
  <c r="E73" i="2"/>
  <c r="E72" i="2"/>
  <c r="E71" i="2"/>
  <c r="E70" i="2"/>
  <c r="E69" i="2"/>
  <c r="E68" i="2"/>
  <c r="E63" i="2"/>
  <c r="E62" i="2"/>
  <c r="E61" i="2"/>
  <c r="E56" i="2"/>
  <c r="E55" i="2"/>
  <c r="E54" i="2"/>
  <c r="E49" i="2"/>
  <c r="E48" i="2"/>
  <c r="E47" i="2"/>
  <c r="E46" i="2"/>
  <c r="E41" i="2"/>
  <c r="E40" i="2"/>
  <c r="E39" i="2"/>
  <c r="E38" i="2"/>
  <c r="E37" i="2"/>
  <c r="E32" i="2"/>
  <c r="E31" i="2"/>
  <c r="E30" i="2"/>
  <c r="E29" i="2"/>
  <c r="E28" i="2"/>
  <c r="E27" i="2"/>
  <c r="E26" i="2"/>
  <c r="E25" i="2"/>
  <c r="E24" i="2"/>
  <c r="E19" i="2"/>
  <c r="E18" i="2"/>
  <c r="E17" i="2"/>
  <c r="E16" i="2"/>
  <c r="E15" i="2"/>
  <c r="E14" i="2"/>
  <c r="D64" i="2" l="1"/>
  <c r="L12" i="1" s="1"/>
  <c r="C64" i="2"/>
  <c r="K12" i="1" s="1"/>
  <c r="M12" i="1" s="1"/>
  <c r="D57" i="2"/>
  <c r="L11" i="1" s="1"/>
  <c r="C57" i="2"/>
  <c r="K11" i="1" s="1"/>
  <c r="M11" i="1" s="1"/>
  <c r="D50" i="2"/>
  <c r="L10" i="1" s="1"/>
  <c r="C50" i="2"/>
  <c r="K10" i="1" s="1"/>
  <c r="M10" i="1" s="1"/>
  <c r="D42" i="2"/>
  <c r="L9" i="1" s="1"/>
  <c r="C42" i="2"/>
  <c r="K9" i="1" s="1"/>
  <c r="M9" i="1" s="1"/>
  <c r="D33" i="2"/>
  <c r="L8" i="1" s="1"/>
  <c r="C33" i="2"/>
  <c r="K8" i="1" s="1"/>
  <c r="M8" i="1" s="1"/>
  <c r="D76" i="2"/>
  <c r="L13" i="1" s="1"/>
  <c r="C76" i="2"/>
  <c r="K13" i="1" s="1"/>
  <c r="M13" i="1" s="1"/>
  <c r="D82" i="2"/>
  <c r="L14" i="1" s="1"/>
  <c r="C82" i="2"/>
  <c r="K14" i="1" s="1"/>
  <c r="M14" i="1" s="1"/>
  <c r="D91" i="2"/>
  <c r="L15" i="1" s="1"/>
  <c r="C91" i="2"/>
  <c r="K15" i="1" s="1"/>
  <c r="M15" i="1" s="1"/>
  <c r="D20" i="2"/>
  <c r="L7" i="1" s="1"/>
  <c r="C20" i="2"/>
  <c r="K7" i="1" s="1"/>
  <c r="M7" i="1" s="1"/>
  <c r="D10" i="2"/>
  <c r="L6" i="1" s="1"/>
  <c r="C10" i="2"/>
  <c r="K6" i="1" s="1"/>
  <c r="M6" i="1" s="1"/>
  <c r="E9" i="2"/>
  <c r="E8" i="2"/>
  <c r="E7" i="2"/>
  <c r="E6" i="2"/>
  <c r="E5" i="2"/>
  <c r="N12" i="1" l="1"/>
  <c r="N9" i="1"/>
  <c r="N15" i="1"/>
  <c r="N10" i="1"/>
  <c r="N7" i="1"/>
  <c r="N6" i="1"/>
  <c r="N11" i="1"/>
  <c r="N8" i="1"/>
  <c r="N13" i="1"/>
  <c r="N14" i="1"/>
  <c r="P6" i="1"/>
  <c r="E91" i="2"/>
  <c r="E82" i="2"/>
  <c r="E76" i="2"/>
  <c r="E64" i="2"/>
  <c r="E57" i="2"/>
  <c r="E50" i="2"/>
  <c r="E42" i="2"/>
  <c r="E33" i="2"/>
  <c r="E20" i="2"/>
  <c r="E10" i="2"/>
  <c r="B6" i="1" l="1"/>
  <c r="C6" i="1" s="1"/>
  <c r="P7" i="1"/>
  <c r="B7" i="1" s="1"/>
  <c r="D7" i="1" s="1"/>
  <c r="P8" i="1"/>
  <c r="B8" i="1" s="1"/>
  <c r="C8" i="1" s="1"/>
  <c r="P10" i="1"/>
  <c r="B10" i="1" s="1"/>
  <c r="D10" i="1" s="1"/>
  <c r="P9" i="1"/>
  <c r="B9" i="1" s="1"/>
  <c r="C9" i="1" s="1"/>
  <c r="P14" i="1"/>
  <c r="B14" i="1" s="1"/>
  <c r="C14" i="1" s="1"/>
  <c r="P15" i="1"/>
  <c r="B15" i="1" s="1"/>
  <c r="C15" i="1" s="1"/>
  <c r="P12" i="1"/>
  <c r="P11" i="1"/>
  <c r="B11" i="1" s="1"/>
  <c r="D11" i="1" s="1"/>
  <c r="P13" i="1"/>
  <c r="B13" i="1" s="1"/>
  <c r="C13" i="1" s="1"/>
  <c r="D6" i="1"/>
  <c r="B12" i="1" l="1"/>
  <c r="D12" i="1" s="1"/>
  <c r="C12" i="1"/>
  <c r="C7" i="1"/>
  <c r="D9" i="1"/>
  <c r="E9" i="1" s="1"/>
  <c r="C11" i="1"/>
  <c r="E11" i="1" s="1"/>
  <c r="D13" i="1"/>
  <c r="E13" i="1" s="1"/>
  <c r="D14" i="1"/>
  <c r="E14" i="1" s="1"/>
  <c r="C10" i="1"/>
  <c r="E10" i="1" s="1"/>
  <c r="D8" i="1"/>
  <c r="E8" i="1" s="1"/>
  <c r="D15" i="1"/>
  <c r="E15" i="1" s="1"/>
  <c r="E6" i="1"/>
  <c r="E12" i="1" l="1"/>
  <c r="E7" i="1"/>
  <c r="C16" i="1"/>
  <c r="D16" i="1"/>
  <c r="F6" i="1"/>
  <c r="F13" i="1"/>
  <c r="F10" i="1"/>
  <c r="F15" i="1"/>
  <c r="F14" i="1"/>
  <c r="F9" i="1"/>
  <c r="F12" i="1"/>
  <c r="F11" i="1"/>
  <c r="F7" i="1"/>
  <c r="F8" i="1"/>
  <c r="F16" i="1" l="1"/>
  <c r="E16" i="1"/>
</calcChain>
</file>

<file path=xl/sharedStrings.xml><?xml version="1.0" encoding="utf-8"?>
<sst xmlns="http://schemas.openxmlformats.org/spreadsheetml/2006/main" count="128" uniqueCount="84">
  <si>
    <t>類別</t>
  </si>
  <si>
    <t>預估花費</t>
  </si>
  <si>
    <t>實際花費</t>
  </si>
  <si>
    <t>差異</t>
  </si>
  <si>
    <t>預算 %</t>
  </si>
  <si>
    <t xml:space="preserve"> </t>
  </si>
  <si>
    <t>未排序</t>
  </si>
  <si>
    <t>接待處</t>
  </si>
  <si>
    <t>服裝</t>
  </si>
  <si>
    <t>花與佈置裝飾</t>
  </si>
  <si>
    <t>音樂</t>
  </si>
  <si>
    <t>相片和影片</t>
  </si>
  <si>
    <t>回禮和禮物</t>
  </si>
  <si>
    <t>典禮</t>
  </si>
  <si>
    <t>信箋</t>
  </si>
  <si>
    <t>結婚戒指</t>
  </si>
  <si>
    <t>交通</t>
  </si>
  <si>
    <t>預估費用</t>
  </si>
  <si>
    <t>實際費用</t>
  </si>
  <si>
    <t>預估費用 - 排名值</t>
  </si>
  <si>
    <t>排名</t>
  </si>
  <si>
    <t>#</t>
  </si>
  <si>
    <t>已排序</t>
  </si>
  <si>
    <t>預算詳細資料</t>
  </si>
  <si>
    <t>場地和租金</t>
  </si>
  <si>
    <t>餐點和服務</t>
  </si>
  <si>
    <t>飲料</t>
  </si>
  <si>
    <t>蛋糕</t>
  </si>
  <si>
    <t>雜項費用</t>
  </si>
  <si>
    <t>婚宴總計</t>
  </si>
  <si>
    <t>西裝和/或禮服</t>
  </si>
  <si>
    <t>更換</t>
  </si>
  <si>
    <t>頭飾和頭紗</t>
  </si>
  <si>
    <t>首飾</t>
  </si>
  <si>
    <t>妝髮</t>
  </si>
  <si>
    <t>服裝總計</t>
  </si>
  <si>
    <t>花卉與佈置</t>
  </si>
  <si>
    <t>婚禮花卉佈置</t>
  </si>
  <si>
    <t>花童的花環和花籃</t>
  </si>
  <si>
    <t>戒枕</t>
  </si>
  <si>
    <t>花束</t>
  </si>
  <si>
    <t>襟花</t>
  </si>
  <si>
    <t>胸花</t>
  </si>
  <si>
    <t>接待處佈置裝飾</t>
  </si>
  <si>
    <t>燈光</t>
  </si>
  <si>
    <t>花卉與佈置總計</t>
  </si>
  <si>
    <t>典禮樂手</t>
  </si>
  <si>
    <t>雞尾酒時間樂手</t>
  </si>
  <si>
    <t>接待處樂團、DJ 或娛樂</t>
  </si>
  <si>
    <t>音響系統或舞池租借</t>
  </si>
  <si>
    <t>音樂總計</t>
  </si>
  <si>
    <t>攝影與錄影</t>
  </si>
  <si>
    <t>攝影</t>
  </si>
  <si>
    <t>錄影</t>
  </si>
  <si>
    <t>其他印刷品和相簿</t>
  </si>
  <si>
    <t>攝影與錄影總計</t>
  </si>
  <si>
    <t>回禮與贈禮</t>
  </si>
  <si>
    <t>歡迎禮</t>
  </si>
  <si>
    <t>派對禮</t>
  </si>
  <si>
    <t>回禮與贈禮總計</t>
  </si>
  <si>
    <t>場地費用</t>
  </si>
  <si>
    <t>主婚人費用或教堂捐贈</t>
  </si>
  <si>
    <t>典禮總計</t>
  </si>
  <si>
    <t>文具信箋</t>
  </si>
  <si>
    <t>喜帖</t>
  </si>
  <si>
    <t>邀請和與會者</t>
  </si>
  <si>
    <t>流程手冊</t>
  </si>
  <si>
    <t>座位表和座位卡</t>
  </si>
  <si>
    <t>菜單</t>
  </si>
  <si>
    <t>謝卡</t>
  </si>
  <si>
    <t>郵資</t>
  </si>
  <si>
    <t>文具信箋總計</t>
  </si>
  <si>
    <t>戒指配飾</t>
  </si>
  <si>
    <t>結婚戒指總計</t>
  </si>
  <si>
    <t xml:space="preserve">交通  </t>
  </si>
  <si>
    <t>主車租借</t>
  </si>
  <si>
    <t>來賓車輛租借</t>
  </si>
  <si>
    <t>外地來賓交通</t>
  </si>
  <si>
    <t>代客停車</t>
  </si>
  <si>
    <t>交通總計</t>
  </si>
  <si>
    <t>預估</t>
  </si>
  <si>
    <t>實際</t>
  </si>
  <si>
    <t>合計</t>
    <phoneticPr fontId="30" type="noConversion"/>
  </si>
  <si>
    <r>
      <rPr>
        <b/>
        <sz val="28"/>
        <color theme="3"/>
        <rFont val="Microsoft JhengHei UI"/>
        <family val="2"/>
        <charset val="136"/>
      </rPr>
      <t>雅婷</t>
    </r>
    <r>
      <rPr>
        <b/>
        <sz val="28"/>
        <color theme="1" tint="0.14999847407452621"/>
        <rFont val="Microsoft JhengHei UI"/>
        <family val="2"/>
        <charset val="136"/>
      </rPr>
      <t xml:space="preserve"> </t>
    </r>
    <r>
      <rPr>
        <b/>
        <sz val="28"/>
        <color theme="1"/>
        <rFont val="Microsoft JhengHei UI"/>
        <family val="2"/>
        <charset val="136"/>
      </rPr>
      <t>+</t>
    </r>
    <r>
      <rPr>
        <b/>
        <sz val="28"/>
        <color theme="3"/>
        <rFont val="Microsoft JhengHei UI"/>
        <family val="2"/>
        <charset val="136"/>
      </rPr>
      <t xml:space="preserve"> 家豪</t>
    </r>
    <r>
      <rPr>
        <b/>
        <sz val="11"/>
        <color theme="1" tint="0.14999847407452621"/>
        <rFont val="Microsoft JhengHei UI"/>
        <family val="2"/>
        <charset val="136"/>
      </rPr>
      <t xml:space="preserve">
</t>
    </r>
    <r>
      <rPr>
        <b/>
        <sz val="32"/>
        <color theme="1"/>
        <rFont val="Microsoft JhengHei UI"/>
        <family val="2"/>
        <charset val="136"/>
      </rPr>
      <t>結婚</t>
    </r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</si>
</sst>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76" formatCode="_(* #,##0_);_(* \(#,##0\);_(* &quot;-&quot;_);_(@_)"/>
    <numFmt numFmtId="177" formatCode="_(* #,##0.00_);_(* \(#,##0.00\);_(* &quot;-&quot;??_);_(@_)"/>
    <numFmt numFmtId="178" formatCode="&quot;$&quot;#,##0.00_);[Red]\(&quot;$&quot;#,##0.00\)"/>
    <numFmt numFmtId="179" formatCode="0.0%"/>
    <numFmt numFmtId="180" formatCode="_-&quot;NT$&quot;* #,##0.00_ ;_-&quot;NT$&quot;* \-#,##0.00\ ;_-&quot;NT$&quot;* &quot;-&quot;??_ ;_-@_ "/>
    <numFmt numFmtId="181" formatCode="_-&quot;NT$&quot;* #,##0_ ;_-&quot;NT$&quot;* \-#,##0\ ;_-&quot;NT$&quot;* &quot;-&quot;_ ;_-@_ "/>
    <numFmt numFmtId="182" formatCode="&quot;NT$&quot;#,##0_);[Red]\(&quot;NT$&quot;#,##0\)"/>
    <numFmt numFmtId="183" formatCode="&quot;NT$&quot;#,##0.00_);[Red]\(&quot;NT$&quot;#,##0.00\)"/>
  </numFmts>
  <fonts count="40" x14ac:knownFonts="1">
    <font>
      <sz val="11"/>
      <color theme="1"/>
      <name val="Microsoft JhengHei UI"/>
      <family val="2"/>
    </font>
    <font>
      <sz val="11"/>
      <color theme="1"/>
      <name val="Microsoft JhengHei UI"/>
      <family val="2"/>
    </font>
    <font>
      <sz val="18"/>
      <color theme="3"/>
      <name val="Microsoft JhengHei UI"/>
      <family val="2"/>
    </font>
    <font>
      <b/>
      <sz val="15"/>
      <color theme="3"/>
      <name val="Microsoft JhengHei UI"/>
      <family val="2"/>
    </font>
    <font>
      <b/>
      <sz val="13"/>
      <color theme="3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9C0006"/>
      <name val="Microsoft JhengHei UI"/>
      <family val="2"/>
    </font>
    <font>
      <sz val="11"/>
      <color rgb="FF006100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FF0000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sz val="11"/>
      <color rgb="FF3F3F76"/>
      <name val="Microsoft JhengHei UI"/>
      <family val="2"/>
    </font>
    <font>
      <sz val="11"/>
      <color theme="0"/>
      <name val="Microsoft JhengHei UI"/>
      <family val="2"/>
    </font>
    <font>
      <sz val="11"/>
      <color theme="1"/>
      <name val="Microsoft JhengHei UI"/>
      <family val="2"/>
      <charset val="136"/>
    </font>
    <font>
      <b/>
      <sz val="11"/>
      <color theme="1" tint="0.14999847407452621"/>
      <name val="Microsoft JhengHei UI"/>
      <family val="2"/>
      <charset val="136"/>
    </font>
    <font>
      <sz val="8"/>
      <color theme="1" tint="0.14999847407452621"/>
      <name val="Microsoft JhengHei UI"/>
      <family val="2"/>
      <charset val="136"/>
    </font>
    <font>
      <sz val="11"/>
      <color theme="1" tint="0.14999847407452621"/>
      <name val="Microsoft JhengHei UI"/>
      <family val="2"/>
      <charset val="136"/>
    </font>
    <font>
      <b/>
      <sz val="28"/>
      <color theme="1" tint="0.14999847407452621"/>
      <name val="Microsoft JhengHei UI"/>
      <family val="2"/>
      <charset val="136"/>
    </font>
    <font>
      <b/>
      <sz val="28"/>
      <color theme="3"/>
      <name val="Microsoft JhengHei UI"/>
      <family val="2"/>
      <charset val="136"/>
    </font>
    <font>
      <b/>
      <sz val="28"/>
      <color theme="1"/>
      <name val="Microsoft JhengHei UI"/>
      <family val="2"/>
      <charset val="136"/>
    </font>
    <font>
      <b/>
      <sz val="32"/>
      <color theme="1"/>
      <name val="Microsoft JhengHei UI"/>
      <family val="2"/>
      <charset val="136"/>
    </font>
    <font>
      <b/>
      <sz val="14"/>
      <color rgb="FF17A1AB"/>
      <name val="Microsoft JhengHei UI"/>
      <family val="2"/>
      <charset val="136"/>
    </font>
    <font>
      <b/>
      <sz val="9"/>
      <color rgb="FF818B8A"/>
      <name val="Microsoft JhengHei UI"/>
      <family val="2"/>
      <charset val="136"/>
    </font>
    <font>
      <b/>
      <sz val="11"/>
      <color theme="4" tint="-0.249977111117893"/>
      <name val="Microsoft JhengHei UI"/>
      <family val="2"/>
      <charset val="136"/>
    </font>
    <font>
      <sz val="11"/>
      <color theme="4" tint="-0.249977111117893"/>
      <name val="Microsoft JhengHei UI"/>
      <family val="2"/>
      <charset val="136"/>
    </font>
    <font>
      <sz val="9"/>
      <name val="細明體"/>
      <family val="3"/>
      <charset val="136"/>
    </font>
    <font>
      <sz val="10"/>
      <color theme="1" tint="0.14999847407452621"/>
      <name val="Microsoft JhengHei UI"/>
      <family val="2"/>
      <charset val="136"/>
    </font>
    <font>
      <b/>
      <sz val="16"/>
      <color theme="3"/>
      <name val="Microsoft JhengHei UI"/>
      <family val="2"/>
      <charset val="136"/>
    </font>
    <font>
      <b/>
      <sz val="10"/>
      <color theme="3"/>
      <name val="Microsoft JhengHei UI"/>
      <family val="2"/>
      <charset val="136"/>
    </font>
    <font>
      <sz val="10"/>
      <color theme="1"/>
      <name val="Microsoft JhengHei UI"/>
      <family val="2"/>
      <charset val="136"/>
    </font>
    <font>
      <sz val="11"/>
      <color theme="0"/>
      <name val="Microsoft JhengHei UI"/>
      <family val="2"/>
      <charset val="136"/>
    </font>
    <font>
      <sz val="10"/>
      <color rgb="FF43646B"/>
      <name val="Microsoft JhengHei UI"/>
      <family val="2"/>
      <charset val="136"/>
    </font>
    <font>
      <sz val="11"/>
      <color rgb="FF43646B"/>
      <name val="Microsoft JhengHei UI"/>
      <family val="2"/>
      <charset val="136"/>
    </font>
    <font>
      <b/>
      <sz val="36"/>
      <color theme="3"/>
      <name val="Microsoft JhengHei UI"/>
      <family val="2"/>
      <charset val="136"/>
    </font>
    <font>
      <b/>
      <sz val="11"/>
      <color theme="3"/>
      <name val="Microsoft JhengHei UI"/>
      <family val="2"/>
      <charset val="136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3" applyNumberFormat="0" applyFill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5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0" applyNumberFormat="0" applyBorder="0" applyAlignment="0" applyProtection="0"/>
    <xf numFmtId="0" fontId="16" fillId="5" borderId="16" applyNumberFormat="0" applyAlignment="0" applyProtection="0"/>
    <xf numFmtId="0" fontId="15" fillId="6" borderId="17" applyNumberFormat="0" applyAlignment="0" applyProtection="0"/>
    <xf numFmtId="0" fontId="9" fillId="6" borderId="16" applyNumberFormat="0" applyAlignment="0" applyProtection="0"/>
    <xf numFmtId="0" fontId="13" fillId="0" borderId="18" applyNumberFormat="0" applyFill="0" applyAlignment="0" applyProtection="0"/>
    <xf numFmtId="0" fontId="10" fillId="7" borderId="19" applyNumberFormat="0" applyAlignment="0" applyProtection="0"/>
    <xf numFmtId="0" fontId="12" fillId="0" borderId="0" applyNumberFormat="0" applyFill="0" applyBorder="0" applyAlignment="0" applyProtection="0"/>
    <xf numFmtId="0" fontId="1" fillId="8" borderId="20" applyNumberFormat="0" applyFont="0" applyAlignment="0" applyProtection="0"/>
    <xf numFmtId="0" fontId="11" fillId="0" borderId="0" applyNumberFormat="0" applyFill="0" applyBorder="0" applyAlignment="0" applyProtection="0"/>
    <xf numFmtId="0" fontId="8" fillId="0" borderId="21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8">
    <xf numFmtId="0" fontId="0" fillId="0" borderId="0" xfId="0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inden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 indent="1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27" fillId="0" borderId="0" xfId="0" applyFont="1" applyFill="1" applyBorder="1" applyAlignment="1">
      <alignment horizontal="left" vertical="center" indent="1"/>
    </xf>
    <xf numFmtId="182" fontId="27" fillId="0" borderId="0" xfId="0" applyNumberFormat="1" applyFont="1" applyFill="1" applyBorder="1" applyAlignment="1">
      <alignment horizontal="center" vertical="center"/>
    </xf>
    <xf numFmtId="179" fontId="27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indent="1"/>
    </xf>
    <xf numFmtId="182" fontId="26" fillId="0" borderId="0" xfId="0" applyNumberFormat="1" applyFont="1" applyFill="1" applyBorder="1" applyAlignment="1">
      <alignment horizontal="center" vertical="center"/>
    </xf>
    <xf numFmtId="9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 vertical="center" indent="1"/>
    </xf>
    <xf numFmtId="183" fontId="21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horizontal="left" vertical="center"/>
    </xf>
    <xf numFmtId="183" fontId="22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indent="1"/>
    </xf>
    <xf numFmtId="183" fontId="21" fillId="0" borderId="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left" vertical="center" indent="1"/>
    </xf>
    <xf numFmtId="183" fontId="33" fillId="0" borderId="12" xfId="0" applyNumberFormat="1" applyFont="1" applyFill="1" applyBorder="1" applyAlignment="1">
      <alignment horizontal="center" vertical="center"/>
    </xf>
    <xf numFmtId="183" fontId="33" fillId="0" borderId="9" xfId="0" applyNumberFormat="1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left" vertical="center" indent="1"/>
    </xf>
    <xf numFmtId="183" fontId="18" fillId="0" borderId="8" xfId="0" applyNumberFormat="1" applyFont="1" applyFill="1" applyBorder="1" applyAlignment="1">
      <alignment horizontal="center" vertical="center"/>
    </xf>
    <xf numFmtId="183" fontId="18" fillId="0" borderId="7" xfId="0" applyNumberFormat="1" applyFont="1" applyFill="1" applyBorder="1" applyAlignment="1">
      <alignment horizontal="center" vertical="center"/>
    </xf>
    <xf numFmtId="183" fontId="18" fillId="0" borderId="6" xfId="0" applyNumberFormat="1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83" fontId="18" fillId="0" borderId="0" xfId="0" applyNumberFormat="1" applyFont="1" applyFill="1" applyBorder="1" applyAlignment="1">
      <alignment horizontal="center" vertical="center"/>
    </xf>
    <xf numFmtId="183" fontId="18" fillId="0" borderId="9" xfId="0" applyNumberFormat="1" applyFont="1" applyFill="1" applyBorder="1" applyAlignment="1">
      <alignment horizontal="center" vertical="center"/>
    </xf>
    <xf numFmtId="183" fontId="18" fillId="0" borderId="12" xfId="0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83" fontId="18" fillId="0" borderId="11" xfId="0" applyNumberFormat="1" applyFont="1" applyFill="1" applyBorder="1" applyAlignment="1">
      <alignment horizontal="center" vertical="center"/>
    </xf>
    <xf numFmtId="183" fontId="18" fillId="0" borderId="5" xfId="0" applyNumberFormat="1" applyFont="1" applyFill="1" applyBorder="1" applyAlignment="1">
      <alignment horizontal="center" vertical="center"/>
    </xf>
    <xf numFmtId="183" fontId="18" fillId="0" borderId="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 indent="1"/>
    </xf>
    <xf numFmtId="0" fontId="35" fillId="0" borderId="0" xfId="0" applyFont="1" applyAlignment="1">
      <alignment horizontal="center" vertical="center"/>
    </xf>
    <xf numFmtId="183" fontId="21" fillId="0" borderId="11" xfId="0" applyNumberFormat="1" applyFont="1" applyFill="1" applyBorder="1" applyAlignment="1">
      <alignment horizontal="center" vertical="center"/>
    </xf>
    <xf numFmtId="183" fontId="33" fillId="0" borderId="2" xfId="0" applyNumberFormat="1" applyFont="1" applyFill="1" applyBorder="1" applyAlignment="1">
      <alignment horizontal="center" vertical="center"/>
    </xf>
    <xf numFmtId="183" fontId="33" fillId="0" borderId="3" xfId="0" applyNumberFormat="1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left" vertical="center" indent="1"/>
    </xf>
    <xf numFmtId="183" fontId="18" fillId="0" borderId="0" xfId="0" applyNumberFormat="1" applyFont="1" applyFill="1" applyAlignment="1">
      <alignment horizontal="center" vertical="center"/>
    </xf>
    <xf numFmtId="0" fontId="36" fillId="0" borderId="6" xfId="0" applyFont="1" applyFill="1" applyBorder="1" applyAlignment="1">
      <alignment horizontal="left" vertical="center" indent="1"/>
    </xf>
    <xf numFmtId="183" fontId="37" fillId="0" borderId="0" xfId="0" applyNumberFormat="1" applyFont="1" applyFill="1" applyAlignment="1">
      <alignment horizontal="center" vertical="center"/>
    </xf>
    <xf numFmtId="0" fontId="36" fillId="0" borderId="4" xfId="0" applyFont="1" applyFill="1" applyBorder="1" applyAlignment="1">
      <alignment horizontal="left" vertical="center" indent="1"/>
    </xf>
    <xf numFmtId="178" fontId="21" fillId="0" borderId="0" xfId="0" applyNumberFormat="1" applyFont="1" applyFill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38" fillId="0" borderId="0" xfId="0" applyFont="1" applyFill="1" applyBorder="1" applyAlignment="1">
      <alignment horizontal="left" vertical="center"/>
    </xf>
    <xf numFmtId="183" fontId="39" fillId="0" borderId="2" xfId="0" applyNumberFormat="1" applyFont="1" applyFill="1" applyBorder="1" applyAlignment="1">
      <alignment horizontal="center" vertical="center"/>
    </xf>
    <xf numFmtId="183" fontId="39" fillId="0" borderId="3" xfId="0" applyNumberFormat="1" applyFont="1" applyFill="1" applyBorder="1" applyAlignment="1">
      <alignment horizontal="center" vertical="center"/>
    </xf>
  </cellXfs>
  <cellStyles count="47">
    <cellStyle name="20% - 輔色1" xfId="24" builtinId="30" customBuiltin="1"/>
    <cellStyle name="20% - 輔色2" xfId="28" builtinId="34" customBuiltin="1"/>
    <cellStyle name="20% - 輔色3" xfId="32" builtinId="38" customBuiltin="1"/>
    <cellStyle name="20% - 輔色4" xfId="36" builtinId="42" customBuiltin="1"/>
    <cellStyle name="20% - 輔色5" xfId="40" builtinId="46" customBuiltin="1"/>
    <cellStyle name="20% - 輔色6" xfId="44" builtinId="50" customBuiltin="1"/>
    <cellStyle name="40% - 輔色1" xfId="25" builtinId="31" customBuiltin="1"/>
    <cellStyle name="40% - 輔色2" xfId="29" builtinId="35" customBuiltin="1"/>
    <cellStyle name="40% - 輔色3" xfId="33" builtinId="39" customBuiltin="1"/>
    <cellStyle name="40% - 輔色4" xfId="37" builtinId="43" customBuiltin="1"/>
    <cellStyle name="40% - 輔色5" xfId="41" builtinId="47" customBuiltin="1"/>
    <cellStyle name="40% - 輔色6" xfId="45" builtinId="51" customBuiltin="1"/>
    <cellStyle name="60% - 輔色1" xfId="26" builtinId="32" customBuiltin="1"/>
    <cellStyle name="60% - 輔色2" xfId="30" builtinId="36" customBuiltin="1"/>
    <cellStyle name="60% - 輔色3" xfId="34" builtinId="40" customBuiltin="1"/>
    <cellStyle name="60% - 輔色4" xfId="38" builtinId="44" customBuiltin="1"/>
    <cellStyle name="60% - 輔色5" xfId="42" builtinId="48" customBuiltin="1"/>
    <cellStyle name="60% - 輔色6" xfId="46" builtinId="52" customBuiltin="1"/>
    <cellStyle name="一般" xfId="0" builtinId="0" customBuiltin="1"/>
    <cellStyle name="千分位" xfId="1" builtinId="3" customBuiltin="1"/>
    <cellStyle name="千分位[0]" xfId="2" builtinId="6" customBuiltin="1"/>
    <cellStyle name="中等" xfId="13" builtinId="28" customBuiltin="1"/>
    <cellStyle name="合計" xfId="22" builtinId="25" customBuiltin="1"/>
    <cellStyle name="好" xfId="11" builtinId="26" customBuiltin="1"/>
    <cellStyle name="百分比" xfId="5" builtinId="5" customBuiltin="1"/>
    <cellStyle name="計算方式" xfId="16" builtinId="22" customBuiltin="1"/>
    <cellStyle name="貨幣" xfId="3" builtinId="4" customBuiltin="1"/>
    <cellStyle name="貨幣 [0]" xfId="4" builtinId="7" customBuiltin="1"/>
    <cellStyle name="連結的儲存格" xfId="17" builtinId="24" customBuiltin="1"/>
    <cellStyle name="備註" xfId="20" builtinId="10" customBuiltin="1"/>
    <cellStyle name="說明文字" xfId="21" builtinId="53" customBuiltin="1"/>
    <cellStyle name="輔色1" xfId="23" builtinId="29" customBuiltin="1"/>
    <cellStyle name="輔色2" xfId="27" builtinId="33" customBuiltin="1"/>
    <cellStyle name="輔色3" xfId="31" builtinId="37" customBuiltin="1"/>
    <cellStyle name="輔色4" xfId="35" builtinId="41" customBuiltin="1"/>
    <cellStyle name="輔色5" xfId="39" builtinId="45" customBuiltin="1"/>
    <cellStyle name="輔色6" xfId="43" builtinId="49" customBuiltin="1"/>
    <cellStyle name="標題" xfId="6" builtinId="15" customBuiltin="1"/>
    <cellStyle name="標題 1" xfId="7" builtinId="16" customBuiltin="1"/>
    <cellStyle name="標題 2" xfId="8" builtinId="17" customBuiltin="1"/>
    <cellStyle name="標題 3" xfId="9" builtinId="18" customBuiltin="1"/>
    <cellStyle name="標題 4" xfId="10" builtinId="19" customBuiltin="1"/>
    <cellStyle name="輸入" xfId="14" builtinId="20" customBuiltin="1"/>
    <cellStyle name="輸出" xfId="15" builtinId="21" customBuiltin="1"/>
    <cellStyle name="檢查儲存格" xfId="18" builtinId="23" customBuiltin="1"/>
    <cellStyle name="壞" xfId="12" builtinId="27" customBuiltin="1"/>
    <cellStyle name="警告文字" xfId="19" builtinId="11" customBuiltin="1"/>
  </cellStyles>
  <dxfs count="152">
    <dxf>
      <font>
        <b/>
        <i val="0"/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</dxf>
    <dxf>
      <font>
        <b/>
        <i val="0"/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3" formatCode="&quot;NT$&quot;#,##0.00_);[Red]\(&quot;NT$&quot;#,##0.00\)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3" formatCode="&quot;NT$&quot;#,##0.00_);[Red]\(&quot;NT$&quot;#,##0.00\)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numFmt numFmtId="183" formatCode="&quot;NT$&quot;#,##0.00_);[Red]\(&quot;NT$&quot;#,##0.00\)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43646B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43646B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numFmt numFmtId="178" formatCode="&quot;$&quot;#,##0.00_);[Red]\(&quot;$&quot;#,##0.00\)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/>
        <top/>
        <bottom/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numFmt numFmtId="183" formatCode="&quot;NT$&quot;#,##0.00_);[Red]\(&quot;NT$&quot;#,##0.0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>
        <top style="thin">
          <color theme="0"/>
        </top>
      </border>
    </dxf>
    <dxf>
      <font>
        <strike val="0"/>
        <outline val="0"/>
        <shadow val="0"/>
        <u val="none"/>
        <vertAlign val="baseline"/>
        <sz val="11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color theme="1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0"/>
        <color theme="3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Microsoft JhengHei UI"/>
        <family val="2"/>
        <charset val="136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9"/>
        <color rgb="FF818B8A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Microsoft JhengHei UI"/>
        <family val="2"/>
        <charset val="136"/>
        <scheme val="none"/>
      </font>
      <numFmt numFmtId="182" formatCode="&quot;NT$&quot;#,##0_);[Red]\(&quot;NT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9"/>
        <color rgb="FF818B8A"/>
        <name val="Microsoft JhengHei UI"/>
        <family val="2"/>
        <charset val="136"/>
        <scheme val="none"/>
      </font>
      <numFmt numFmtId="182" formatCode="&quot;NT$&quot;#,##0_);[Red]\(&quot;NT$&quot;#,##0\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Microsoft JhengHei UI"/>
        <family val="2"/>
        <charset val="136"/>
        <scheme val="none"/>
      </font>
      <numFmt numFmtId="182" formatCode="&quot;NT$&quot;#,##0_);[Red]\(&quot;NT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9"/>
        <color rgb="FF818B8A"/>
        <name val="Microsoft JhengHei UI"/>
        <family val="2"/>
        <charset val="136"/>
        <scheme val="none"/>
      </font>
      <numFmt numFmtId="182" formatCode="&quot;NT$&quot;#,##0_);[Red]\(&quot;NT$&quot;#,##0\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Microsoft JhengHei UI"/>
        <family val="2"/>
        <charset val="136"/>
        <scheme val="none"/>
      </font>
      <numFmt numFmtId="182" formatCode="&quot;NT$&quot;#,##0_);[Red]\(&quot;NT$&quot;#,##0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sz val="9"/>
        <color rgb="FF818B8A"/>
        <name val="Microsoft JhengHei UI"/>
        <family val="2"/>
        <charset val="136"/>
        <scheme val="none"/>
      </font>
      <numFmt numFmtId="182" formatCode="&quot;NT$&quot;#,##0_);[Red]\(&quot;NT$&quot;#,##0\)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Microsoft JhengHei UI"/>
        <family val="2"/>
        <charset val="136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b/>
        <strike val="0"/>
        <outline val="0"/>
        <shadow val="0"/>
        <u val="none"/>
        <vertAlign val="baseline"/>
        <sz val="14"/>
        <color rgb="FF17A1AB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818B8A"/>
        <name val="Microsoft JhengHei UI"/>
        <family val="2"/>
        <charset val="136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rgb="FF17A1AB"/>
        <name val="Microsoft JhengHei UI"/>
        <family val="2"/>
        <charset val="136"/>
        <scheme val="none"/>
      </font>
      <fill>
        <patternFill patternType="solid">
          <fgColor indexed="64"/>
          <bgColor rgb="FF43646B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indexed="64"/>
          <bgColor theme="8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</font>
      <fill>
        <patternFill patternType="none">
          <bgColor auto="1"/>
        </patternFill>
      </fill>
      <border>
        <top style="medium">
          <color theme="4"/>
        </top>
        <vertical/>
        <horizontal/>
      </border>
    </dxf>
    <dxf>
      <font>
        <b val="0"/>
        <i val="0"/>
        <color theme="0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medium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表格樣式中等3 2" pivot="0" count="7" xr9:uid="{00000000-0011-0000-FFFF-FFFF00000000}">
      <tableStyleElement type="wholeTable" dxfId="151"/>
      <tableStyleElement type="headerRow" dxfId="150"/>
      <tableStyleElement type="totalRow" dxfId="149"/>
      <tableStyleElement type="firstColumn" dxfId="148"/>
      <tableStyleElement type="lastColumn" dxfId="147"/>
      <tableStyleElement type="firstRowStripe" dxfId="146"/>
      <tableStyleElement type="firstColumnStripe" dxfId="145"/>
    </tableStyle>
  </tableStyles>
  <colors>
    <mruColors>
      <color rgb="FF818B8A"/>
      <color rgb="FF17A1AB"/>
      <color rgb="FF43646B"/>
      <color rgb="FFF8F8F8"/>
      <color rgb="FF807E81"/>
      <color rgb="FF018B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585028364866725"/>
          <c:y val="4.4788523412869236E-2"/>
          <c:w val="0.80609494072101495"/>
          <c:h val="0.9552114765871307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婚禮預算!$C$5</c:f>
              <c:strCache>
                <c:ptCount val="1"/>
                <c:pt idx="0">
                  <c:v>預估花費</c:v>
                </c:pt>
              </c:strCache>
            </c:strRef>
          </c:tx>
          <c:spPr>
            <a:solidFill>
              <a:srgbClr val="17A1AB"/>
            </a:solidFill>
            <a:ln w="41275">
              <a:solidFill>
                <a:srgbClr val="17A1AB"/>
              </a:solidFill>
            </a:ln>
            <a:effectLst/>
          </c:spPr>
          <c:invertIfNegative val="0"/>
          <c:cat>
            <c:strRef>
              <c:f>婚禮預算!$B$6:$B$15</c:f>
              <c:strCache>
                <c:ptCount val="10"/>
                <c:pt idx="0">
                  <c:v>接待處</c:v>
                </c:pt>
                <c:pt idx="1">
                  <c:v>服裝</c:v>
                </c:pt>
                <c:pt idx="2">
                  <c:v>花與佈置裝飾</c:v>
                </c:pt>
                <c:pt idx="3">
                  <c:v>相片和影片</c:v>
                </c:pt>
                <c:pt idx="4">
                  <c:v>音樂</c:v>
                </c:pt>
                <c:pt idx="5">
                  <c:v>回禮和禮物</c:v>
                </c:pt>
                <c:pt idx="6">
                  <c:v>結婚戒指</c:v>
                </c:pt>
                <c:pt idx="7">
                  <c:v>典禮</c:v>
                </c:pt>
                <c:pt idx="8">
                  <c:v>信箋</c:v>
                </c:pt>
                <c:pt idx="9">
                  <c:v>交通</c:v>
                </c:pt>
              </c:strCache>
            </c:strRef>
          </c:cat>
          <c:val>
            <c:numRef>
              <c:f>婚禮預算!$C$6:$C$15</c:f>
              <c:numCache>
                <c:formatCode>"NT$"#,##0_);[Red]\("NT$"#,##0\)</c:formatCode>
                <c:ptCount val="10"/>
                <c:pt idx="0">
                  <c:v>14500</c:v>
                </c:pt>
                <c:pt idx="1">
                  <c:v>4000</c:v>
                </c:pt>
                <c:pt idx="2">
                  <c:v>3000</c:v>
                </c:pt>
                <c:pt idx="3">
                  <c:v>2500</c:v>
                </c:pt>
                <c:pt idx="4">
                  <c:v>1800</c:v>
                </c:pt>
                <c:pt idx="5">
                  <c:v>1100</c:v>
                </c:pt>
                <c:pt idx="6">
                  <c:v>1100</c:v>
                </c:pt>
                <c:pt idx="7">
                  <c:v>800</c:v>
                </c:pt>
                <c:pt idx="8">
                  <c:v>500</c:v>
                </c:pt>
                <c:pt idx="9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F-4F3B-B7C9-B667BE6D50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34022976"/>
        <c:axId val="534026256"/>
      </c:barChart>
      <c:catAx>
        <c:axId val="5340229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818B8A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818B8A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  <a:cs typeface="+mn-cs"/>
              </a:defRPr>
            </a:pPr>
            <a:endParaRPr lang="zh-TW"/>
          </a:p>
        </c:txPr>
        <c:crossAx val="534026256"/>
        <c:crosses val="autoZero"/>
        <c:auto val="1"/>
        <c:lblAlgn val="ctr"/>
        <c:lblOffset val="100"/>
        <c:noMultiLvlLbl val="0"/>
      </c:catAx>
      <c:valAx>
        <c:axId val="534026256"/>
        <c:scaling>
          <c:orientation val="minMax"/>
        </c:scaling>
        <c:delete val="1"/>
        <c:axPos val="t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&quot;NT$&quot;#,##0_);[Red]\(&quot;NT$&quot;#,##0\)" sourceLinked="1"/>
        <c:majorTickMark val="none"/>
        <c:minorTickMark val="none"/>
        <c:tickLblPos val="nextTo"/>
        <c:crossAx val="53402297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Microsoft JhengHei UI" panose="020B0604030504040204" pitchFamily="34" charset="-120"/>
          <a:ea typeface="Microsoft JhengHei UI" panose="020B060403050404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206828</xdr:colOff>
      <xdr:row>2</xdr:row>
      <xdr:rowOff>15240</xdr:rowOff>
    </xdr:from>
    <xdr:to>
      <xdr:col>5</xdr:col>
      <xdr:colOff>1155246</xdr:colOff>
      <xdr:row>2</xdr:row>
      <xdr:rowOff>2795997</xdr:rowOff>
    </xdr:to>
    <xdr:graphicFrame macro="">
      <xdr:nvGraphicFramePr>
        <xdr:cNvPr id="2" name="圖表 1" descr="依類別摘要結婚預算的圖表。類別支出會根據預估成本以遞減的方式顯示。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1462609</xdr:colOff>
      <xdr:row>1</xdr:row>
      <xdr:rowOff>45720</xdr:rowOff>
    </xdr:to>
    <xdr:pic>
      <xdr:nvPicPr>
        <xdr:cNvPr id="5" name="圖片 4">
          <a:extLst>
            <a:ext uri="{FF2B5EF4-FFF2-40B4-BE49-F238E27FC236}">
              <a16:creationId xmlns:a16="http://schemas.microsoft.com/office/drawing/2014/main" id="{C5020B3B-CC06-49E7-A495-CDA4280648E2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20980" y="0"/>
          <a:ext cx="8175829" cy="96774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0000000}" name="TBL_Summary" displayName="TBL_Summary" ref="B5:F16" totalsRowCount="1" headerRowDxfId="144" dataDxfId="143" totalsRowDxfId="142">
  <tableColumns count="5">
    <tableColumn id="1" xr3:uid="{00000000-0010-0000-0000-000001000000}" name="類別" totalsRowLabel="合計" dataDxfId="141" totalsRowDxfId="140"/>
    <tableColumn id="2" xr3:uid="{00000000-0010-0000-0000-000002000000}" name="預估花費" totalsRowFunction="sum" dataDxfId="139" totalsRowDxfId="138">
      <calculatedColumnFormula>VLOOKUP(TBL_Summary[[#This Row],[類別]],TBL_RankingData,2,FALSE)</calculatedColumnFormula>
    </tableColumn>
    <tableColumn id="3" xr3:uid="{00000000-0010-0000-0000-000003000000}" name="實際花費" totalsRowFunction="sum" dataDxfId="137" totalsRowDxfId="136">
      <calculatedColumnFormula>IF(VLOOKUP(TBL_Summary[[#This Row],[類別]],TBL_RankingData,3,FALSE)=0,"",VLOOKUP(TBL_Summary[[#This Row],[類別]],TBL_RankingData,3,FALSE))</calculatedColumnFormula>
    </tableColumn>
    <tableColumn id="4" xr3:uid="{00000000-0010-0000-0000-000004000000}" name="差異" totalsRowFunction="custom" dataDxfId="135" totalsRowDxfId="134">
      <calculatedColumnFormula>IF(OR(TBL_Summary[[#This Row],[預估花費]]="",TBL_Summary[[#This Row],[實際花費]]=""),"",TBL_Summary[[#This Row],[預估花費]]-TBL_Summary[[#This Row],[實際花費]])</calculatedColumnFormula>
      <totalsRowFormula>TBL_Summary[[#Totals],[預估花費]]-TBL_Summary[[#Totals],[實際花費]]</totalsRowFormula>
    </tableColumn>
    <tableColumn id="5" xr3:uid="{00000000-0010-0000-0000-000005000000}" name="預算 %" totalsRowFunction="sum" dataDxfId="133" totalsRowDxfId="1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包含依支出類別的預算摘要表格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9000000}" name="TBL_WeddingRings" displayName="TBL_WeddingRings" ref="B79:E82" totalsRowCount="1" headerRowDxfId="49" dataDxfId="47" totalsRowDxfId="46" headerRowBorderDxfId="48" totalsRowBorderDxfId="45">
  <tableColumns count="4">
    <tableColumn id="1" xr3:uid="{00000000-0010-0000-0900-000001000000}" name="結婚戒指" totalsRowLabel="結婚戒指總計" dataDxfId="44" totalsRowDxfId="43"/>
    <tableColumn id="2" xr3:uid="{00000000-0010-0000-0900-000002000000}" name="預估" totalsRowFunction="sum" dataDxfId="42" totalsRowDxfId="5"/>
    <tableColumn id="3" xr3:uid="{00000000-0010-0000-0900-000003000000}" name="實際" totalsRowFunction="sum" dataDxfId="41" totalsRowDxfId="4"/>
    <tableColumn id="4" xr3:uid="{00000000-0010-0000-0900-000004000000}" name="差異" totalsRowFunction="custom" dataDxfId="40" totalsRowDxfId="3">
      <totalsRowFormula>TBL_WeddingRings[[#Totals],[預估]]-TBL_WeddingRings[[#Totals],[實際]]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婚戒相關的成本表格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A000000}" name="TBL_Transportation" displayName="TBL_Transportation" ref="B85:E91" totalsRowCount="1" headerRowDxfId="39" dataDxfId="37" totalsRowDxfId="36" headerRowBorderDxfId="38" totalsRowBorderDxfId="35">
  <autoFilter ref="B85:E90" xr:uid="{1874CCD5-90DA-4D63-B97F-603C66F43EBF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交通  " totalsRowLabel="交通總計" dataDxfId="34" totalsRowDxfId="33"/>
    <tableColumn id="2" xr3:uid="{00000000-0010-0000-0A00-000002000000}" name="預估" totalsRowFunction="sum" dataDxfId="32" totalsRowDxfId="2"/>
    <tableColumn id="3" xr3:uid="{00000000-0010-0000-0A00-000003000000}" name="實際" totalsRowFunction="sum" dataDxfId="31" totalsRowDxfId="1"/>
    <tableColumn id="4" xr3:uid="{00000000-0010-0000-0A00-000004000000}" name="差異" totalsRowFunction="custom" dataDxfId="30" totalsRowDxfId="0">
      <totalsRowFormula>TBL_Transportation[[#Totals],[預估]]-TBL_Transportation[[#Totals],[實際]]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交通相關的成本表格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Reception" displayName="TBL_Reception" ref="B4:E10" totalsRowCount="1" headerRowDxfId="131" dataDxfId="129" totalsRowDxfId="127" headerRowBorderDxfId="130" tableBorderDxfId="128" totalsRowBorderDxfId="126">
  <tableColumns count="4">
    <tableColumn id="1" xr3:uid="{00000000-0010-0000-0100-000001000000}" name="接待處" totalsRowLabel="婚宴總計" dataDxfId="125" totalsRowDxfId="124"/>
    <tableColumn id="2" xr3:uid="{00000000-0010-0000-0100-000002000000}" name="預估" totalsRowFunction="sum" dataDxfId="123" totalsRowDxfId="29"/>
    <tableColumn id="3" xr3:uid="{00000000-0010-0000-0100-000003000000}" name="實際" totalsRowFunction="sum" dataDxfId="122" totalsRowDxfId="28"/>
    <tableColumn id="4" xr3:uid="{00000000-0010-0000-0100-000004000000}" name="差異" totalsRowFunction="custom" dataDxfId="121" totalsRowDxfId="27">
      <calculatedColumnFormula>IF(OR(TBL_Reception[[#This Row],[預估]]="",TBL_Reception[[#This Row],[實際]]=""),"",TBL_Reception[[#This Row],[預估]]-TBL_Reception[[#This Row],[實際]])</calculatedColumnFormula>
      <totalsRowFormula>TBL_Reception[[#Totals],[預估]]-TBL_Reception[[#Totals],[實際]]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婚宴會場相關的成本表格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Attire" displayName="TBL_Attire" ref="B13:E20" totalsRowCount="1" headerRowDxfId="120" dataDxfId="118" totalsRowDxfId="116" headerRowBorderDxfId="119" tableBorderDxfId="117" totalsRowBorderDxfId="115">
  <tableColumns count="4">
    <tableColumn id="1" xr3:uid="{00000000-0010-0000-0200-000001000000}" name="服裝" totalsRowLabel="服裝總計" dataDxfId="114" totalsRowDxfId="113"/>
    <tableColumn id="2" xr3:uid="{00000000-0010-0000-0200-000002000000}" name="預估" totalsRowFunction="sum" dataDxfId="112" totalsRowDxfId="26"/>
    <tableColumn id="3" xr3:uid="{00000000-0010-0000-0200-000003000000}" name="實際" totalsRowFunction="sum" dataDxfId="111" totalsRowDxfId="25"/>
    <tableColumn id="4" xr3:uid="{00000000-0010-0000-0200-000004000000}" name="差異" totalsRowFunction="custom" dataDxfId="110" totalsRowDxfId="24">
      <totalsRowFormula>TBL_Attire[[#Totals],[預估]]-TBL_Attire[[#Totals],[實際]]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服飾相關的成本表格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BL_FlowersAndDecor" displayName="TBL_FlowersAndDecor" ref="B23:E33" totalsRowCount="1" headerRowDxfId="109" dataDxfId="107" totalsRowDxfId="106" headerRowBorderDxfId="108" totalsRowBorderDxfId="105">
  <tableColumns count="4">
    <tableColumn id="1" xr3:uid="{00000000-0010-0000-0300-000001000000}" name="花卉與佈置" totalsRowLabel="花卉與佈置總計" dataDxfId="104" totalsRowDxfId="103"/>
    <tableColumn id="2" xr3:uid="{00000000-0010-0000-0300-000002000000}" name="預估" totalsRowFunction="sum" dataDxfId="102" totalsRowDxfId="23"/>
    <tableColumn id="3" xr3:uid="{00000000-0010-0000-0300-000003000000}" name="實際" totalsRowFunction="sum" dataDxfId="101" totalsRowDxfId="22"/>
    <tableColumn id="4" xr3:uid="{00000000-0010-0000-0300-000004000000}" name="差異" totalsRowFunction="custom" dataDxfId="100" totalsRowDxfId="21">
      <totalsRowFormula>TBL_FlowersAndDecor[[#Totals],[預估]]-TBL_FlowersAndDecor[[#Totals],[實際]]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鮮花跟裝飾相關的成本表格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BL_Music" displayName="TBL_Music" ref="B36:E42" totalsRowCount="1" headerRowDxfId="99" dataDxfId="97" totalsRowDxfId="96" headerRowBorderDxfId="98" totalsRowBorderDxfId="95">
  <tableColumns count="4">
    <tableColumn id="1" xr3:uid="{00000000-0010-0000-0400-000001000000}" name="音樂" totalsRowLabel="音樂總計" dataDxfId="94" totalsRowDxfId="93"/>
    <tableColumn id="2" xr3:uid="{00000000-0010-0000-0400-000002000000}" name="預估" totalsRowFunction="sum" dataDxfId="92" totalsRowDxfId="20"/>
    <tableColumn id="3" xr3:uid="{00000000-0010-0000-0400-000003000000}" name="實際" totalsRowFunction="sum" dataDxfId="91" totalsRowDxfId="19"/>
    <tableColumn id="4" xr3:uid="{00000000-0010-0000-0400-000004000000}" name="差異" totalsRowFunction="custom" dataDxfId="90" totalsRowDxfId="18">
      <totalsRowFormula>TBL_Music[[#Totals],[預估]]-TBL_Music[[#Totals],[實際]]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音樂相關的成本表格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5000000}" name="TBL_PhotographsAndVideo" displayName="TBL_PhotographsAndVideo" ref="B45:E50" totalsRowCount="1" headerRowDxfId="89" dataDxfId="87" totalsRowDxfId="86" headerRowBorderDxfId="88" totalsRowBorderDxfId="85">
  <tableColumns count="4">
    <tableColumn id="1" xr3:uid="{00000000-0010-0000-0500-000001000000}" name="攝影與錄影" totalsRowLabel="攝影與錄影總計" dataDxfId="84" totalsRowDxfId="83"/>
    <tableColumn id="2" xr3:uid="{00000000-0010-0000-0500-000002000000}" name="預估" totalsRowFunction="sum" dataDxfId="82" totalsRowDxfId="17"/>
    <tableColumn id="3" xr3:uid="{00000000-0010-0000-0500-000003000000}" name="實際" totalsRowFunction="sum" dataDxfId="81" totalsRowDxfId="16"/>
    <tableColumn id="4" xr3:uid="{00000000-0010-0000-0500-000004000000}" name="差異" totalsRowFunction="custom" dataDxfId="80" totalsRowDxfId="15">
      <totalsRowFormula>TBL_PhotographsAndVideo[[#Totals],[預估]]-TBL_PhotographsAndVideo[[#Totals],[實際]]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相片和影片相關的成本表格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6000000}" name="TBL_FavorsAndGifts" displayName="TBL_FavorsAndGifts" ref="B53:E57" totalsRowCount="1" headerRowDxfId="79" dataDxfId="77" totalsRowDxfId="76" headerRowBorderDxfId="78" totalsRowBorderDxfId="75">
  <tableColumns count="4">
    <tableColumn id="1" xr3:uid="{00000000-0010-0000-0600-000001000000}" name="回禮與贈禮" totalsRowLabel="回禮與贈禮總計" dataDxfId="74" totalsRowDxfId="73"/>
    <tableColumn id="2" xr3:uid="{00000000-0010-0000-0600-000002000000}" name="預估" totalsRowFunction="sum" dataDxfId="72" totalsRowDxfId="14"/>
    <tableColumn id="3" xr3:uid="{00000000-0010-0000-0600-000003000000}" name="實際" totalsRowFunction="sum" dataDxfId="71" totalsRowDxfId="13"/>
    <tableColumn id="4" xr3:uid="{00000000-0010-0000-0600-000004000000}" name="差異" totalsRowFunction="custom" dataDxfId="70" totalsRowDxfId="12">
      <totalsRowFormula>TBL_FavorsAndGifts[[#Totals],[預估]]-TBL_FavorsAndGifts[[#Totals],[實際]]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回禮和禮物相關的成本表格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7000000}" name="TBL_Ceremony" displayName="TBL_Ceremony" ref="B60:E64" totalsRowCount="1" headerRowDxfId="69" dataDxfId="67" totalsRowDxfId="66" headerRowBorderDxfId="68" totalsRowBorderDxfId="65">
  <tableColumns count="4">
    <tableColumn id="1" xr3:uid="{00000000-0010-0000-0700-000001000000}" name="典禮" totalsRowLabel="典禮總計" dataDxfId="64" totalsRowDxfId="63"/>
    <tableColumn id="2" xr3:uid="{00000000-0010-0000-0700-000002000000}" name="預估" totalsRowFunction="sum" dataDxfId="62" totalsRowDxfId="11"/>
    <tableColumn id="3" xr3:uid="{00000000-0010-0000-0700-000003000000}" name="實際" totalsRowFunction="sum" dataDxfId="61" totalsRowDxfId="10"/>
    <tableColumn id="4" xr3:uid="{00000000-0010-0000-0700-000004000000}" name="差異" totalsRowFunction="custom" dataDxfId="60" totalsRowDxfId="9">
      <totalsRowFormula>TBL_Ceremony[[#Totals],[預估]]-TBL_Ceremony[[#Totals],[實際]]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與婚禮儀式相關的成本表格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BL_Stationery" displayName="TBL_Stationery" ref="B67:E76" totalsRowCount="1" headerRowDxfId="59" dataDxfId="57" totalsRowDxfId="56" headerRowBorderDxfId="58" totalsRowBorderDxfId="55">
  <tableColumns count="4">
    <tableColumn id="1" xr3:uid="{00000000-0010-0000-0800-000001000000}" name="文具信箋" totalsRowLabel="文具信箋總計" dataDxfId="54" totalsRowDxfId="53"/>
    <tableColumn id="2" xr3:uid="{00000000-0010-0000-0800-000002000000}" name="預估" totalsRowFunction="sum" dataDxfId="52" totalsRowDxfId="8"/>
    <tableColumn id="3" xr3:uid="{00000000-0010-0000-0800-000003000000}" name="實際" totalsRowFunction="sum" dataDxfId="51" totalsRowDxfId="7"/>
    <tableColumn id="4" xr3:uid="{00000000-0010-0000-0800-000004000000}" name="差異" totalsRowFunction="custom" dataDxfId="50" totalsRowDxfId="6">
      <totalsRowFormula>TBL_Stationery[[#Totals],[預估]]-TBL_Stationery[[#Totals],[實際]]</totalsRowFormula>
    </tableColumn>
  </tableColumns>
  <tableStyleInfo name="TableStyleMedium3 2" showFirstColumn="0" showLastColumn="0" showRowStripes="0" showColumnStripes="0"/>
  <extLst>
    <ext xmlns:x14="http://schemas.microsoft.com/office/spreadsheetml/2009/9/main" uri="{504A1905-F514-4f6f-8877-14C23A59335A}">
      <x14:table altTextSummary="包含文具信箋相關成本的表格"/>
    </ext>
  </extLst>
</table>
</file>

<file path=xl/theme/theme1.xml><?xml version="1.0" encoding="utf-8"?>
<a:theme xmlns:a="http://schemas.openxmlformats.org/drawingml/2006/main" name="Water Color Wash">
  <a:themeElements>
    <a:clrScheme name="Watercolor Wedding">
      <a:dk1>
        <a:srgbClr val="818B8A"/>
      </a:dk1>
      <a:lt1>
        <a:srgbClr val="FFFFFF"/>
      </a:lt1>
      <a:dk2>
        <a:srgbClr val="17A1AB"/>
      </a:dk2>
      <a:lt2>
        <a:srgbClr val="D6D5D5"/>
      </a:lt2>
      <a:accent1>
        <a:srgbClr val="0C4A80"/>
      </a:accent1>
      <a:accent2>
        <a:srgbClr val="0D6397"/>
      </a:accent2>
      <a:accent3>
        <a:srgbClr val="1E83A9"/>
      </a:accent3>
      <a:accent4>
        <a:srgbClr val="478FB1"/>
      </a:accent4>
      <a:accent5>
        <a:srgbClr val="8CB8D1"/>
      </a:accent5>
      <a:accent6>
        <a:srgbClr val="C9E6F1"/>
      </a:accent6>
      <a:hlink>
        <a:srgbClr val="0000FF"/>
      </a:hlink>
      <a:folHlink>
        <a:srgbClr val="FF00FF"/>
      </a:folHlink>
    </a:clrScheme>
    <a:fontScheme name="_Water color Wash 2">
      <a:majorFont>
        <a:latin typeface="Franklin Gothic Medium Cond"/>
        <a:ea typeface="Gill Sans"/>
        <a:cs typeface="Gill Sans"/>
      </a:majorFont>
      <a:minorFont>
        <a:latin typeface="Franklin Gothic Book"/>
        <a:ea typeface="Gill Sans"/>
        <a:cs typeface="Gill Sans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Watercolor 1" id="{8A5BE941-2D50-7147-A6D2-425273CFF5A9}" vid="{4F5C25E9-A4BC-F745-AAFC-F933520838C1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5" Type="http://schemas.openxmlformats.org/officeDocument/2006/relationships/table" Target="../tables/table5.xml"/><Relationship Id="rId10" Type="http://schemas.openxmlformats.org/officeDocument/2006/relationships/table" Target="../tables/table10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24"/>
  <sheetViews>
    <sheetView showGridLines="0" tabSelected="1" zoomScaleNormal="100" workbookViewId="0"/>
  </sheetViews>
  <sheetFormatPr defaultColWidth="8.77734375" defaultRowHeight="21" customHeight="1" x14ac:dyDescent="0.25"/>
  <cols>
    <col min="1" max="1" width="2.6640625" style="4" customWidth="1"/>
    <col min="2" max="2" width="27.21875" style="28" customWidth="1"/>
    <col min="3" max="6" width="17.6640625" style="4" customWidth="1"/>
    <col min="7" max="7" width="1.44140625" style="4" customWidth="1"/>
    <col min="8" max="9" width="8.77734375" style="4" customWidth="1"/>
    <col min="10" max="10" width="11.6640625" style="5" hidden="1" customWidth="1"/>
    <col min="11" max="12" width="8.21875" style="5" hidden="1" customWidth="1"/>
    <col min="13" max="13" width="15.21875" style="4" hidden="1" customWidth="1"/>
    <col min="14" max="14" width="4.88671875" style="4" hidden="1" customWidth="1"/>
    <col min="15" max="15" width="3.5546875" style="4" hidden="1" customWidth="1"/>
    <col min="16" max="16" width="11.6640625" style="5" hidden="1" customWidth="1"/>
    <col min="17" max="16384" width="8.77734375" style="4"/>
  </cols>
  <sheetData>
    <row r="1" spans="1:17" ht="72.599999999999994" customHeight="1" x14ac:dyDescent="0.25">
      <c r="A1" s="1"/>
      <c r="B1" s="2"/>
      <c r="C1" s="1"/>
      <c r="D1" s="1"/>
      <c r="E1" s="1"/>
      <c r="F1" s="1"/>
      <c r="G1" s="3" t="s">
        <v>5</v>
      </c>
    </row>
    <row r="2" spans="1:17" s="7" customFormat="1" ht="87.75" customHeight="1" x14ac:dyDescent="0.65">
      <c r="A2" s="6"/>
      <c r="B2" s="64" t="s">
        <v>83</v>
      </c>
      <c r="C2" s="64"/>
      <c r="D2" s="64"/>
      <c r="E2" s="64"/>
      <c r="F2" s="64"/>
      <c r="G2" s="6"/>
      <c r="J2" s="8"/>
      <c r="K2" s="8"/>
      <c r="L2" s="8"/>
      <c r="P2" s="8"/>
    </row>
    <row r="3" spans="1:17" ht="220.15" customHeight="1" x14ac:dyDescent="0.25">
      <c r="A3" s="1"/>
      <c r="B3" s="9"/>
      <c r="C3" s="1"/>
      <c r="D3" s="1"/>
      <c r="E3" s="1"/>
      <c r="F3" s="1"/>
      <c r="G3" s="10"/>
      <c r="H3" s="11" t="s">
        <v>5</v>
      </c>
      <c r="Q3" s="12"/>
    </row>
    <row r="4" spans="1:17" ht="15" customHeight="1" x14ac:dyDescent="0.25">
      <c r="A4" s="1"/>
      <c r="B4" s="13"/>
      <c r="C4" s="14"/>
      <c r="D4" s="14"/>
      <c r="E4" s="14"/>
      <c r="F4" s="14"/>
      <c r="G4" s="10"/>
    </row>
    <row r="5" spans="1:17" ht="34.9" customHeight="1" x14ac:dyDescent="0.25">
      <c r="A5" s="1"/>
      <c r="B5" s="15" t="s">
        <v>0</v>
      </c>
      <c r="C5" s="16" t="s">
        <v>1</v>
      </c>
      <c r="D5" s="16" t="s">
        <v>2</v>
      </c>
      <c r="E5" s="16" t="s">
        <v>3</v>
      </c>
      <c r="F5" s="16" t="s">
        <v>4</v>
      </c>
      <c r="J5" s="5" t="s">
        <v>6</v>
      </c>
      <c r="K5" s="4" t="s">
        <v>17</v>
      </c>
      <c r="L5" s="4" t="s">
        <v>18</v>
      </c>
      <c r="M5" s="17" t="s">
        <v>19</v>
      </c>
      <c r="N5" s="4" t="s">
        <v>20</v>
      </c>
      <c r="O5" s="4" t="s">
        <v>21</v>
      </c>
      <c r="P5" s="5" t="s">
        <v>22</v>
      </c>
    </row>
    <row r="6" spans="1:17" ht="19.899999999999999" customHeight="1" x14ac:dyDescent="0.25">
      <c r="A6" s="1"/>
      <c r="B6" s="18" t="str">
        <f>P6</f>
        <v>接待處</v>
      </c>
      <c r="C6" s="19">
        <f>VLOOKUP(TBL_Summary[[#This Row],[類別]],TBL_RankingData,2,FALSE)</f>
        <v>14500</v>
      </c>
      <c r="D6" s="19">
        <f>IF(VLOOKUP(TBL_Summary[[#This Row],[類別]],TBL_RankingData,3,FALSE)=0,"",VLOOKUP(TBL_Summary[[#This Row],[類別]],TBL_RankingData,3,FALSE))</f>
        <v>12800</v>
      </c>
      <c r="E6" s="19">
        <f>IF(OR(TBL_Summary[[#This Row],[預估花費]]="",TBL_Summary[[#This Row],[實際花費]]=""),"",TBL_Summary[[#This Row],[預估花費]]-TBL_Summary[[#This Row],[實際花費]])</f>
        <v>1700</v>
      </c>
      <c r="F6" s="20">
        <f>TBL_Summary[[#This Row],[預估花費]]/SUM(TBL_Summary[預估花費])</f>
        <v>0.48739495798319327</v>
      </c>
      <c r="J6" s="5" t="s">
        <v>7</v>
      </c>
      <c r="K6" s="4">
        <f>TBL_Reception[[#Totals],[預估]]</f>
        <v>14500</v>
      </c>
      <c r="L6" s="4">
        <f>TBL_Reception[[#Totals],[實際]]</f>
        <v>12800</v>
      </c>
      <c r="M6" s="4">
        <f>K6-O6/100</f>
        <v>14499.99</v>
      </c>
      <c r="N6" s="4">
        <f t="shared" ref="N6:N15" si="0">_xlfn.RANK.AVG(M6,$M$6:$M$15)</f>
        <v>1</v>
      </c>
      <c r="O6" s="4">
        <v>1</v>
      </c>
      <c r="P6" s="5" t="str">
        <f t="shared" ref="P6:P15" si="1">INDEX(TBL_RankingData,MATCH(O6,$N$6:$N$15,0),1)</f>
        <v>接待處</v>
      </c>
    </row>
    <row r="7" spans="1:17" ht="19.899999999999999" customHeight="1" x14ac:dyDescent="0.25">
      <c r="A7" s="1"/>
      <c r="B7" s="18" t="str">
        <f t="shared" ref="B7:B15" si="2">P7</f>
        <v>服裝</v>
      </c>
      <c r="C7" s="19">
        <f>VLOOKUP(TBL_Summary[[#This Row],[類別]],TBL_RankingData,2,FALSE)</f>
        <v>4000</v>
      </c>
      <c r="D7" s="19">
        <f>IF(VLOOKUP(TBL_Summary[[#This Row],[類別]],TBL_RankingData,3,FALSE)=0,"",VLOOKUP(TBL_Summary[[#This Row],[類別]],TBL_RankingData,3,FALSE))</f>
        <v>2900</v>
      </c>
      <c r="E7" s="19">
        <f>IF(OR(TBL_Summary[[#This Row],[預估花費]]="",TBL_Summary[[#This Row],[實際花費]]=""),"",TBL_Summary[[#This Row],[預估花費]]-TBL_Summary[[#This Row],[實際花費]])</f>
        <v>1100</v>
      </c>
      <c r="F7" s="20">
        <f>TBL_Summary[[#This Row],[預估花費]]/SUM(TBL_Summary[預估花費])</f>
        <v>0.13445378151260504</v>
      </c>
      <c r="J7" s="5" t="s">
        <v>8</v>
      </c>
      <c r="K7" s="4">
        <f>TBL_Attire[[#Totals],[預估]]</f>
        <v>4000</v>
      </c>
      <c r="L7" s="4">
        <f>TBL_Attire[[#Totals],[實際]]</f>
        <v>2900</v>
      </c>
      <c r="M7" s="4">
        <f t="shared" ref="M7:M15" si="3">K7-O7/100</f>
        <v>3999.98</v>
      </c>
      <c r="N7" s="4">
        <f t="shared" si="0"/>
        <v>2</v>
      </c>
      <c r="O7" s="4">
        <v>2</v>
      </c>
      <c r="P7" s="5" t="str">
        <f t="shared" si="1"/>
        <v>服裝</v>
      </c>
    </row>
    <row r="8" spans="1:17" ht="19.899999999999999" customHeight="1" x14ac:dyDescent="0.25">
      <c r="A8" s="1"/>
      <c r="B8" s="18" t="str">
        <f t="shared" si="2"/>
        <v>花與佈置裝飾</v>
      </c>
      <c r="C8" s="19">
        <f>VLOOKUP(TBL_Summary[[#This Row],[類別]],TBL_RankingData,2,FALSE)</f>
        <v>3000</v>
      </c>
      <c r="D8" s="19" t="str">
        <f>IF(VLOOKUP(TBL_Summary[[#This Row],[類別]],TBL_RankingData,3,FALSE)=0,"",VLOOKUP(TBL_Summary[[#This Row],[類別]],TBL_RankingData,3,FALSE))</f>
        <v/>
      </c>
      <c r="E8" s="19" t="str">
        <f>IF(OR(TBL_Summary[[#This Row],[預估花費]]="",TBL_Summary[[#This Row],[實際花費]]=""),"",TBL_Summary[[#This Row],[預估花費]]-TBL_Summary[[#This Row],[實際花費]])</f>
        <v/>
      </c>
      <c r="F8" s="20">
        <f>TBL_Summary[[#This Row],[預估花費]]/SUM(TBL_Summary[預估花費])</f>
        <v>0.10084033613445378</v>
      </c>
      <c r="J8" s="5" t="s">
        <v>9</v>
      </c>
      <c r="K8" s="4">
        <f>TBL_FlowersAndDecor[[#Totals],[預估]]</f>
        <v>3000</v>
      </c>
      <c r="L8" s="4">
        <f>TBL_FlowersAndDecor[[#Totals],[實際]]</f>
        <v>0</v>
      </c>
      <c r="M8" s="4">
        <f t="shared" si="3"/>
        <v>2999.97</v>
      </c>
      <c r="N8" s="4">
        <f t="shared" si="0"/>
        <v>3</v>
      </c>
      <c r="O8" s="4">
        <v>3</v>
      </c>
      <c r="P8" s="5" t="str">
        <f t="shared" si="1"/>
        <v>花與佈置裝飾</v>
      </c>
    </row>
    <row r="9" spans="1:17" ht="19.899999999999999" customHeight="1" x14ac:dyDescent="0.25">
      <c r="A9" s="1"/>
      <c r="B9" s="18" t="str">
        <f t="shared" si="2"/>
        <v>相片和影片</v>
      </c>
      <c r="C9" s="19">
        <f>VLOOKUP(TBL_Summary[[#This Row],[類別]],TBL_RankingData,2,FALSE)</f>
        <v>2500</v>
      </c>
      <c r="D9" s="19" t="str">
        <f>IF(VLOOKUP(TBL_Summary[[#This Row],[類別]],TBL_RankingData,3,FALSE)=0,"",VLOOKUP(TBL_Summary[[#This Row],[類別]],TBL_RankingData,3,FALSE))</f>
        <v/>
      </c>
      <c r="E9" s="19" t="str">
        <f>IF(OR(TBL_Summary[[#This Row],[預估花費]]="",TBL_Summary[[#This Row],[實際花費]]=""),"",TBL_Summary[[#This Row],[預估花費]]-TBL_Summary[[#This Row],[實際花費]])</f>
        <v/>
      </c>
      <c r="F9" s="20">
        <f>TBL_Summary[[#This Row],[預估花費]]/SUM(TBL_Summary[預估花費])</f>
        <v>8.4033613445378158E-2</v>
      </c>
      <c r="J9" s="5" t="s">
        <v>10</v>
      </c>
      <c r="K9" s="4">
        <f>TBL_Music[[#Totals],[預估]]</f>
        <v>1800</v>
      </c>
      <c r="L9" s="4">
        <f>TBL_Music[[#Totals],[實際]]</f>
        <v>0</v>
      </c>
      <c r="M9" s="4">
        <f t="shared" si="3"/>
        <v>1799.96</v>
      </c>
      <c r="N9" s="4">
        <f t="shared" si="0"/>
        <v>5</v>
      </c>
      <c r="O9" s="4">
        <v>4</v>
      </c>
      <c r="P9" s="5" t="str">
        <f t="shared" si="1"/>
        <v>相片和影片</v>
      </c>
    </row>
    <row r="10" spans="1:17" ht="19.899999999999999" customHeight="1" x14ac:dyDescent="0.25">
      <c r="A10" s="1"/>
      <c r="B10" s="18" t="str">
        <f t="shared" si="2"/>
        <v>音樂</v>
      </c>
      <c r="C10" s="19">
        <f>VLOOKUP(TBL_Summary[[#This Row],[類別]],TBL_RankingData,2,FALSE)</f>
        <v>1800</v>
      </c>
      <c r="D10" s="19" t="str">
        <f>IF(VLOOKUP(TBL_Summary[[#This Row],[類別]],TBL_RankingData,3,FALSE)=0,"",VLOOKUP(TBL_Summary[[#This Row],[類別]],TBL_RankingData,3,FALSE))</f>
        <v/>
      </c>
      <c r="E10" s="19" t="str">
        <f>IF(OR(TBL_Summary[[#This Row],[預估花費]]="",TBL_Summary[[#This Row],[實際花費]]=""),"",TBL_Summary[[#This Row],[預估花費]]-TBL_Summary[[#This Row],[實際花費]])</f>
        <v/>
      </c>
      <c r="F10" s="20">
        <f>TBL_Summary[[#This Row],[預估花費]]/SUM(TBL_Summary[預估花費])</f>
        <v>6.0504201680672269E-2</v>
      </c>
      <c r="J10" s="5" t="s">
        <v>11</v>
      </c>
      <c r="K10" s="4">
        <f>TBL_PhotographsAndVideo[[#Totals],[預估]]</f>
        <v>2500</v>
      </c>
      <c r="L10" s="4">
        <f>TBL_PhotographsAndVideo[[#Totals],[實際]]</f>
        <v>0</v>
      </c>
      <c r="M10" s="4">
        <f t="shared" si="3"/>
        <v>2499.9499999999998</v>
      </c>
      <c r="N10" s="4">
        <f t="shared" si="0"/>
        <v>4</v>
      </c>
      <c r="O10" s="4">
        <v>5</v>
      </c>
      <c r="P10" s="5" t="str">
        <f t="shared" si="1"/>
        <v>音樂</v>
      </c>
    </row>
    <row r="11" spans="1:17" ht="19.899999999999999" customHeight="1" x14ac:dyDescent="0.25">
      <c r="A11" s="1"/>
      <c r="B11" s="18" t="str">
        <f t="shared" si="2"/>
        <v>回禮和禮物</v>
      </c>
      <c r="C11" s="19">
        <f>VLOOKUP(TBL_Summary[[#This Row],[類別]],TBL_RankingData,2,FALSE)</f>
        <v>1100</v>
      </c>
      <c r="D11" s="19" t="str">
        <f>IF(VLOOKUP(TBL_Summary[[#This Row],[類別]],TBL_RankingData,3,FALSE)=0,"",VLOOKUP(TBL_Summary[[#This Row],[類別]],TBL_RankingData,3,FALSE))</f>
        <v/>
      </c>
      <c r="E11" s="19" t="str">
        <f>IF(OR(TBL_Summary[[#This Row],[預估花費]]="",TBL_Summary[[#This Row],[實際花費]]=""),"",TBL_Summary[[#This Row],[預估花費]]-TBL_Summary[[#This Row],[實際花費]])</f>
        <v/>
      </c>
      <c r="F11" s="20">
        <f>TBL_Summary[[#This Row],[預估花費]]/SUM(TBL_Summary[預估花費])</f>
        <v>3.6974789915966387E-2</v>
      </c>
      <c r="J11" s="5" t="s">
        <v>12</v>
      </c>
      <c r="K11" s="4">
        <f>TBL_FavorsAndGifts[[#Totals],[預估]]</f>
        <v>1100</v>
      </c>
      <c r="L11" s="4">
        <f>TBL_FavorsAndGifts[[#Totals],[實際]]</f>
        <v>0</v>
      </c>
      <c r="M11" s="4">
        <f t="shared" si="3"/>
        <v>1099.94</v>
      </c>
      <c r="N11" s="4">
        <f t="shared" si="0"/>
        <v>6</v>
      </c>
      <c r="O11" s="4">
        <v>6</v>
      </c>
      <c r="P11" s="5" t="str">
        <f t="shared" si="1"/>
        <v>回禮和禮物</v>
      </c>
    </row>
    <row r="12" spans="1:17" ht="19.899999999999999" customHeight="1" x14ac:dyDescent="0.25">
      <c r="A12" s="1"/>
      <c r="B12" s="18" t="str">
        <f>P12</f>
        <v>結婚戒指</v>
      </c>
      <c r="C12" s="19">
        <f>VLOOKUP(TBL_Summary[[#This Row],[類別]],TBL_RankingData,2,FALSE)</f>
        <v>1100</v>
      </c>
      <c r="D12" s="19" t="str">
        <f>IF(VLOOKUP(TBL_Summary[[#This Row],[類別]],TBL_RankingData,3,FALSE)=0,"",VLOOKUP(TBL_Summary[[#This Row],[類別]],TBL_RankingData,3,FALSE))</f>
        <v/>
      </c>
      <c r="E12" s="19" t="str">
        <f>IF(OR(TBL_Summary[[#This Row],[預估花費]]="",TBL_Summary[[#This Row],[實際花費]]=""),"",TBL_Summary[[#This Row],[預估花費]]-TBL_Summary[[#This Row],[實際花費]])</f>
        <v/>
      </c>
      <c r="F12" s="20">
        <f>TBL_Summary[[#This Row],[預估花費]]/SUM(TBL_Summary[預估花費])</f>
        <v>3.6974789915966387E-2</v>
      </c>
      <c r="J12" s="5" t="s">
        <v>13</v>
      </c>
      <c r="K12" s="4">
        <f>TBL_Ceremony[[#Totals],[預估]]</f>
        <v>800</v>
      </c>
      <c r="L12" s="4">
        <f>TBL_Ceremony[[#Totals],[實際]]</f>
        <v>0</v>
      </c>
      <c r="M12" s="4">
        <f t="shared" si="3"/>
        <v>799.93</v>
      </c>
      <c r="N12" s="4">
        <f t="shared" si="0"/>
        <v>8</v>
      </c>
      <c r="O12" s="4">
        <v>7</v>
      </c>
      <c r="P12" s="5" t="str">
        <f t="shared" si="1"/>
        <v>結婚戒指</v>
      </c>
    </row>
    <row r="13" spans="1:17" ht="19.899999999999999" customHeight="1" x14ac:dyDescent="0.25">
      <c r="A13" s="1"/>
      <c r="B13" s="18" t="str">
        <f t="shared" si="2"/>
        <v>典禮</v>
      </c>
      <c r="C13" s="19">
        <f>VLOOKUP(TBL_Summary[[#This Row],[類別]],TBL_RankingData,2,FALSE)</f>
        <v>800</v>
      </c>
      <c r="D13" s="19" t="str">
        <f>IF(VLOOKUP(TBL_Summary[[#This Row],[類別]],TBL_RankingData,3,FALSE)=0,"",VLOOKUP(TBL_Summary[[#This Row],[類別]],TBL_RankingData,3,FALSE))</f>
        <v/>
      </c>
      <c r="E13" s="19" t="str">
        <f>IF(OR(TBL_Summary[[#This Row],[預估花費]]="",TBL_Summary[[#This Row],[實際花費]]=""),"",TBL_Summary[[#This Row],[預估花費]]-TBL_Summary[[#This Row],[實際花費]])</f>
        <v/>
      </c>
      <c r="F13" s="20">
        <f>TBL_Summary[[#This Row],[預估花費]]/SUM(TBL_Summary[預估花費])</f>
        <v>2.689075630252101E-2</v>
      </c>
      <c r="J13" s="5" t="s">
        <v>14</v>
      </c>
      <c r="K13" s="4">
        <f>TBL_Stationery[[#Totals],[預估]]</f>
        <v>500</v>
      </c>
      <c r="L13" s="4">
        <f>TBL_Stationery[[#Totals],[實際]]</f>
        <v>0</v>
      </c>
      <c r="M13" s="4">
        <f t="shared" si="3"/>
        <v>499.92</v>
      </c>
      <c r="N13" s="4">
        <f t="shared" si="0"/>
        <v>9</v>
      </c>
      <c r="O13" s="4">
        <v>8</v>
      </c>
      <c r="P13" s="5" t="str">
        <f t="shared" si="1"/>
        <v>典禮</v>
      </c>
    </row>
    <row r="14" spans="1:17" ht="19.899999999999999" customHeight="1" x14ac:dyDescent="0.25">
      <c r="A14" s="1"/>
      <c r="B14" s="18" t="str">
        <f t="shared" si="2"/>
        <v>信箋</v>
      </c>
      <c r="C14" s="19">
        <f>VLOOKUP(TBL_Summary[[#This Row],[類別]],TBL_RankingData,2,FALSE)</f>
        <v>500</v>
      </c>
      <c r="D14" s="19" t="str">
        <f>IF(VLOOKUP(TBL_Summary[[#This Row],[類別]],TBL_RankingData,3,FALSE)=0,"",VLOOKUP(TBL_Summary[[#This Row],[類別]],TBL_RankingData,3,FALSE))</f>
        <v/>
      </c>
      <c r="E14" s="19" t="str">
        <f>IF(OR(TBL_Summary[[#This Row],[預估花費]]="",TBL_Summary[[#This Row],[實際花費]]=""),"",TBL_Summary[[#This Row],[預估花費]]-TBL_Summary[[#This Row],[實際花費]])</f>
        <v/>
      </c>
      <c r="F14" s="20">
        <f>TBL_Summary[[#This Row],[預估花費]]/SUM(TBL_Summary[預估花費])</f>
        <v>1.680672268907563E-2</v>
      </c>
      <c r="J14" s="5" t="s">
        <v>15</v>
      </c>
      <c r="K14" s="4">
        <f>TBL_WeddingRings[[#Totals],[預估]]</f>
        <v>1100</v>
      </c>
      <c r="L14" s="4">
        <f>TBL_WeddingRings[[#Totals],[實際]]</f>
        <v>0</v>
      </c>
      <c r="M14" s="4">
        <f t="shared" si="3"/>
        <v>1099.9100000000001</v>
      </c>
      <c r="N14" s="4">
        <f t="shared" si="0"/>
        <v>7</v>
      </c>
      <c r="O14" s="4">
        <v>9</v>
      </c>
      <c r="P14" s="5" t="str">
        <f t="shared" si="1"/>
        <v>信箋</v>
      </c>
    </row>
    <row r="15" spans="1:17" ht="19.899999999999999" customHeight="1" x14ac:dyDescent="0.25">
      <c r="A15" s="1"/>
      <c r="B15" s="18" t="str">
        <f t="shared" si="2"/>
        <v>交通</v>
      </c>
      <c r="C15" s="19">
        <f>VLOOKUP(TBL_Summary[[#This Row],[類別]],TBL_RankingData,2,FALSE)</f>
        <v>450</v>
      </c>
      <c r="D15" s="19" t="str">
        <f>IF(VLOOKUP(TBL_Summary[[#This Row],[類別]],TBL_RankingData,3,FALSE)=0,"",VLOOKUP(TBL_Summary[[#This Row],[類別]],TBL_RankingData,3,FALSE))</f>
        <v/>
      </c>
      <c r="E15" s="19" t="str">
        <f>IF(OR(TBL_Summary[[#This Row],[預估花費]]="",TBL_Summary[[#This Row],[實際花費]]=""),"",TBL_Summary[[#This Row],[預估花費]]-TBL_Summary[[#This Row],[實際花費]])</f>
        <v/>
      </c>
      <c r="F15" s="20">
        <f>TBL_Summary[[#This Row],[預估花費]]/SUM(TBL_Summary[預估花費])</f>
        <v>1.5126050420168067E-2</v>
      </c>
      <c r="J15" s="5" t="s">
        <v>16</v>
      </c>
      <c r="K15" s="4">
        <f>TBL_Transportation[[#Totals],[預估]]</f>
        <v>450</v>
      </c>
      <c r="L15" s="4">
        <f>TBL_Transportation[[#Totals],[實際]]</f>
        <v>0</v>
      </c>
      <c r="M15" s="4">
        <f t="shared" si="3"/>
        <v>449.9</v>
      </c>
      <c r="N15" s="4">
        <f t="shared" si="0"/>
        <v>10</v>
      </c>
      <c r="O15" s="4">
        <v>10</v>
      </c>
      <c r="P15" s="5" t="str">
        <f t="shared" si="1"/>
        <v>交通</v>
      </c>
    </row>
    <row r="16" spans="1:17" s="25" customFormat="1" ht="34.9" customHeight="1" x14ac:dyDescent="0.25">
      <c r="A16" s="21"/>
      <c r="B16" s="22" t="s">
        <v>82</v>
      </c>
      <c r="C16" s="23">
        <f>SUBTOTAL(109,TBL_Summary[預估花費])</f>
        <v>29750</v>
      </c>
      <c r="D16" s="23">
        <f>SUBTOTAL(109,TBL_Summary[實際花費])</f>
        <v>15700</v>
      </c>
      <c r="E16" s="23">
        <f>TBL_Summary[[#Totals],[預估花費]]-TBL_Summary[[#Totals],[實際花費]]</f>
        <v>14050</v>
      </c>
      <c r="F16" s="24">
        <f>SUBTOTAL(109,TBL_Summary[預算 %])</f>
        <v>1</v>
      </c>
      <c r="J16" s="26"/>
      <c r="K16" s="26"/>
      <c r="L16" s="26"/>
      <c r="P16" s="26"/>
    </row>
    <row r="17" spans="1:7" ht="21" customHeight="1" x14ac:dyDescent="0.25">
      <c r="A17" s="1"/>
      <c r="B17" s="13"/>
      <c r="C17" s="14"/>
      <c r="D17" s="14"/>
      <c r="E17" s="14"/>
      <c r="F17" s="14"/>
    </row>
    <row r="18" spans="1:7" ht="21" customHeight="1" x14ac:dyDescent="0.25">
      <c r="A18" s="1"/>
      <c r="B18" s="14"/>
      <c r="C18" s="14"/>
      <c r="D18" s="14"/>
      <c r="E18" s="14"/>
      <c r="F18" s="14"/>
    </row>
    <row r="19" spans="1:7" ht="21" customHeight="1" x14ac:dyDescent="0.25">
      <c r="A19" s="1"/>
      <c r="B19" s="14"/>
      <c r="C19" s="14"/>
      <c r="D19" s="14"/>
      <c r="E19" s="14"/>
      <c r="F19" s="14"/>
    </row>
    <row r="20" spans="1:7" ht="21" customHeight="1" x14ac:dyDescent="0.25">
      <c r="A20" s="1"/>
      <c r="B20" s="14"/>
      <c r="C20" s="14"/>
      <c r="D20" s="14"/>
      <c r="E20" s="14"/>
      <c r="F20" s="14"/>
    </row>
    <row r="21" spans="1:7" ht="21" customHeight="1" x14ac:dyDescent="0.25">
      <c r="B21" s="4"/>
    </row>
    <row r="22" spans="1:7" ht="21" customHeight="1" x14ac:dyDescent="0.25">
      <c r="B22" s="4"/>
    </row>
    <row r="23" spans="1:7" ht="21" customHeight="1" x14ac:dyDescent="0.25">
      <c r="B23" s="4"/>
    </row>
    <row r="24" spans="1:7" ht="21" customHeight="1" x14ac:dyDescent="0.25">
      <c r="B24" s="4"/>
      <c r="G24" s="27"/>
    </row>
  </sheetData>
  <mergeCells count="1">
    <mergeCell ref="B2:F2"/>
  </mergeCells>
  <phoneticPr fontId="30" type="noConversion"/>
  <dataValidations count="6">
    <dataValidation allowBlank="1" showInputMessage="1" showErrorMessage="1" promptTitle="婚禮預算" prompt="使用此範本來建立您的婚禮預算。_x000a__x000a_在此預算詳細資料索引標籤中，為每個支出類別輸入詳細資料。._x000a__x000a_儲存格 B5 中的摘要表格與儲存格 B3 中的圖表會自動更新。_x000a_" sqref="A1" xr:uid="{00000000-0002-0000-0000-000000000000}"/>
    <dataValidation allowBlank="1" showInputMessage="1" showErrorMessage="1" prompt="我們會在此表格中自動摘要您的婚禮預算。_x000a__x000a_根據總估計成本，系統會自動以遞減順序排序支出類別。_x000a__x000a_" sqref="B5" xr:uid="{00000000-0002-0000-0000-000001000000}"/>
    <dataValidation allowBlank="1" showInputMessage="1" showErrorMessage="1" prompt="系統會自動計算估計成本。_x000a__x000a_系統會從 [預算詳細資料] 索引標籤讀出資料。" sqref="C5" xr:uid="{00000000-0002-0000-0000-000002000000}"/>
    <dataValidation allowBlank="1" showInputMessage="1" showErrorMessage="1" prompt="系統會自動計算實際成本。_x000a__x000a_系統會從 [預算詳細資料] 索引標籤讀出資料。" sqref="D5" xr:uid="{00000000-0002-0000-0000-000003000000}"/>
    <dataValidation allowBlank="1" showInputMessage="1" showErrorMessage="1" prompt="系統會自動計算差異。_x000a__x000a_這會顯示預估成本與實際成本之間的差異。" sqref="E5" xr:uid="{00000000-0002-0000-0000-000004000000}"/>
    <dataValidation allowBlank="1" showInputMessage="1" showErrorMessage="1" prompt="系統會自動計算預算 %。_x000a__x000a_這會根據總估計成本顯示明細。" sqref="F5" xr:uid="{00000000-0002-0000-0000-000005000000}"/>
  </dataValidations>
  <printOptions horizontalCentered="1"/>
  <pageMargins left="0.25" right="0.25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94"/>
  <sheetViews>
    <sheetView showGridLines="0" zoomScaleNormal="100" workbookViewId="0"/>
  </sheetViews>
  <sheetFormatPr defaultColWidth="8.77734375" defaultRowHeight="21" customHeight="1" x14ac:dyDescent="0.25"/>
  <cols>
    <col min="1" max="1" width="1.44140625" style="29" customWidth="1"/>
    <col min="2" max="2" width="34.44140625" style="30" customWidth="1"/>
    <col min="3" max="5" width="14.44140625" style="63" customWidth="1"/>
    <col min="6" max="6" width="1.44140625" style="4" customWidth="1"/>
    <col min="7" max="16384" width="8.77734375" style="4"/>
  </cols>
  <sheetData>
    <row r="1" spans="1:6" ht="9" customHeight="1" x14ac:dyDescent="0.25">
      <c r="C1" s="31"/>
      <c r="D1" s="31"/>
      <c r="E1" s="31"/>
      <c r="F1" s="32" t="s">
        <v>5</v>
      </c>
    </row>
    <row r="2" spans="1:6" s="8" customFormat="1" ht="41.25" customHeight="1" x14ac:dyDescent="0.25">
      <c r="A2" s="33"/>
      <c r="B2" s="65" t="s">
        <v>23</v>
      </c>
      <c r="C2" s="34"/>
      <c r="D2" s="34"/>
      <c r="E2" s="34"/>
    </row>
    <row r="3" spans="1:6" ht="21" customHeight="1" x14ac:dyDescent="0.25">
      <c r="A3" s="35"/>
      <c r="B3" s="36"/>
      <c r="C3" s="37"/>
      <c r="D3" s="37"/>
      <c r="E3" s="37"/>
    </row>
    <row r="4" spans="1:6" ht="21" customHeight="1" x14ac:dyDescent="0.25">
      <c r="B4" s="38" t="s">
        <v>7</v>
      </c>
      <c r="C4" s="39" t="s">
        <v>80</v>
      </c>
      <c r="D4" s="39" t="s">
        <v>81</v>
      </c>
      <c r="E4" s="40" t="s">
        <v>3</v>
      </c>
    </row>
    <row r="5" spans="1:6" ht="21" customHeight="1" x14ac:dyDescent="0.25">
      <c r="B5" s="41" t="s">
        <v>24</v>
      </c>
      <c r="C5" s="42">
        <v>8000</v>
      </c>
      <c r="D5" s="43">
        <v>7800</v>
      </c>
      <c r="E5" s="44">
        <f>IF(OR(TBL_Reception[[#This Row],[預估]]="",TBL_Reception[[#This Row],[實際]]=""),"",TBL_Reception[[#This Row],[預估]]-TBL_Reception[[#This Row],[實際]])</f>
        <v>200</v>
      </c>
    </row>
    <row r="6" spans="1:6" ht="21" customHeight="1" x14ac:dyDescent="0.25">
      <c r="B6" s="45" t="s">
        <v>25</v>
      </c>
      <c r="C6" s="46">
        <v>4000</v>
      </c>
      <c r="D6" s="47">
        <v>4200</v>
      </c>
      <c r="E6" s="48">
        <f>IF(OR(TBL_Reception[[#This Row],[預估]]="",TBL_Reception[[#This Row],[實際]]=""),"",TBL_Reception[[#This Row],[預估]]-TBL_Reception[[#This Row],[實際]])</f>
        <v>-200</v>
      </c>
    </row>
    <row r="7" spans="1:6" ht="21" customHeight="1" x14ac:dyDescent="0.25">
      <c r="B7" s="45" t="s">
        <v>26</v>
      </c>
      <c r="C7" s="46">
        <v>1000</v>
      </c>
      <c r="D7" s="47">
        <v>800</v>
      </c>
      <c r="E7" s="48">
        <f>IF(OR(TBL_Reception[[#This Row],[預估]]="",TBL_Reception[[#This Row],[實際]]=""),"",TBL_Reception[[#This Row],[預估]]-TBL_Reception[[#This Row],[實際]])</f>
        <v>200</v>
      </c>
    </row>
    <row r="8" spans="1:6" ht="21" customHeight="1" x14ac:dyDescent="0.25">
      <c r="B8" s="45" t="s">
        <v>27</v>
      </c>
      <c r="C8" s="46">
        <v>1000</v>
      </c>
      <c r="D8" s="47"/>
      <c r="E8" s="48" t="str">
        <f>IF(OR(TBL_Reception[[#This Row],[預估]]="",TBL_Reception[[#This Row],[實際]]=""),"",TBL_Reception[[#This Row],[預估]]-TBL_Reception[[#This Row],[實際]])</f>
        <v/>
      </c>
    </row>
    <row r="9" spans="1:6" ht="21" customHeight="1" x14ac:dyDescent="0.25">
      <c r="B9" s="49" t="s">
        <v>28</v>
      </c>
      <c r="C9" s="50">
        <v>500</v>
      </c>
      <c r="D9" s="51"/>
      <c r="E9" s="52" t="str">
        <f>IF(OR(TBL_Reception[[#This Row],[預估]]="",TBL_Reception[[#This Row],[實際]]=""),"",TBL_Reception[[#This Row],[預估]]-TBL_Reception[[#This Row],[實際]])</f>
        <v/>
      </c>
    </row>
    <row r="10" spans="1:6" ht="21" customHeight="1" x14ac:dyDescent="0.25">
      <c r="B10" s="53" t="s">
        <v>29</v>
      </c>
      <c r="C10" s="66">
        <f>SUBTOTAL(109,TBL_Reception[預估])</f>
        <v>14500</v>
      </c>
      <c r="D10" s="66">
        <f>SUBTOTAL(109,TBL_Reception[實際])</f>
        <v>12800</v>
      </c>
      <c r="E10" s="67">
        <f>TBL_Reception[[#Totals],[預估]]-TBL_Reception[[#Totals],[實際]]</f>
        <v>1700</v>
      </c>
      <c r="F10" s="54"/>
    </row>
    <row r="11" spans="1:6" ht="21" customHeight="1" x14ac:dyDescent="0.25">
      <c r="B11" s="36"/>
      <c r="C11" s="31"/>
      <c r="D11" s="55"/>
      <c r="E11" s="31"/>
    </row>
    <row r="12" spans="1:6" ht="21" customHeight="1" x14ac:dyDescent="0.25">
      <c r="B12" s="36"/>
      <c r="C12" s="31"/>
      <c r="D12" s="31"/>
      <c r="E12" s="31"/>
    </row>
    <row r="13" spans="1:6" ht="21" customHeight="1" x14ac:dyDescent="0.25">
      <c r="B13" s="38" t="s">
        <v>8</v>
      </c>
      <c r="C13" s="56" t="s">
        <v>80</v>
      </c>
      <c r="D13" s="56" t="s">
        <v>81</v>
      </c>
      <c r="E13" s="57" t="s">
        <v>3</v>
      </c>
    </row>
    <row r="14" spans="1:6" ht="21" customHeight="1" x14ac:dyDescent="0.25">
      <c r="B14" s="41" t="s">
        <v>30</v>
      </c>
      <c r="C14" s="46">
        <v>3000</v>
      </c>
      <c r="D14" s="46">
        <v>2900</v>
      </c>
      <c r="E14" s="46">
        <f>IF(OR(TBL_Attire[[#This Row],[預估]]="",TBL_Attire[[#This Row],[實際]]=""),"",TBL_Attire[[#This Row],[預估]]-TBL_Attire[[#This Row],[實際]])</f>
        <v>100</v>
      </c>
    </row>
    <row r="15" spans="1:6" ht="21" customHeight="1" x14ac:dyDescent="0.25">
      <c r="B15" s="45" t="s">
        <v>31</v>
      </c>
      <c r="C15" s="46">
        <v>100</v>
      </c>
      <c r="D15" s="46"/>
      <c r="E15" s="46" t="str">
        <f>IF(OR(TBL_Attire[[#This Row],[預估]]="",TBL_Attire[[#This Row],[實際]]=""),"",TBL_Attire[[#This Row],[預估]]-TBL_Attire[[#This Row],[實際]])</f>
        <v/>
      </c>
    </row>
    <row r="16" spans="1:6" ht="21" customHeight="1" x14ac:dyDescent="0.25">
      <c r="B16" s="45" t="s">
        <v>32</v>
      </c>
      <c r="C16" s="46">
        <v>200</v>
      </c>
      <c r="D16" s="46"/>
      <c r="E16" s="46" t="str">
        <f>IF(OR(TBL_Attire[[#This Row],[預估]]="",TBL_Attire[[#This Row],[實際]]=""),"",TBL_Attire[[#This Row],[預估]]-TBL_Attire[[#This Row],[實際]])</f>
        <v/>
      </c>
    </row>
    <row r="17" spans="2:5" ht="21" customHeight="1" x14ac:dyDescent="0.25">
      <c r="B17" s="45" t="s">
        <v>33</v>
      </c>
      <c r="C17" s="46">
        <v>100</v>
      </c>
      <c r="D17" s="46"/>
      <c r="E17" s="46" t="str">
        <f>IF(OR(TBL_Attire[[#This Row],[預估]]="",TBL_Attire[[#This Row],[實際]]=""),"",TBL_Attire[[#This Row],[預估]]-TBL_Attire[[#This Row],[實際]])</f>
        <v/>
      </c>
    </row>
    <row r="18" spans="2:5" ht="21" customHeight="1" x14ac:dyDescent="0.25">
      <c r="B18" s="45" t="s">
        <v>34</v>
      </c>
      <c r="C18" s="46">
        <v>500</v>
      </c>
      <c r="D18" s="46"/>
      <c r="E18" s="46" t="str">
        <f>IF(OR(TBL_Attire[[#This Row],[預估]]="",TBL_Attire[[#This Row],[實際]]=""),"",TBL_Attire[[#This Row],[預估]]-TBL_Attire[[#This Row],[實際]])</f>
        <v/>
      </c>
    </row>
    <row r="19" spans="2:5" ht="21" customHeight="1" x14ac:dyDescent="0.25">
      <c r="B19" s="49" t="s">
        <v>28</v>
      </c>
      <c r="C19" s="46">
        <v>100</v>
      </c>
      <c r="D19" s="46"/>
      <c r="E19" s="46" t="str">
        <f>IF(OR(TBL_Attire[[#This Row],[預估]]="",TBL_Attire[[#This Row],[實際]]=""),"",TBL_Attire[[#This Row],[預估]]-TBL_Attire[[#This Row],[實際]])</f>
        <v/>
      </c>
    </row>
    <row r="20" spans="2:5" ht="21" customHeight="1" x14ac:dyDescent="0.25">
      <c r="B20" s="58" t="s">
        <v>35</v>
      </c>
      <c r="C20" s="66">
        <f>SUBTOTAL(109,TBL_Attire[預估])</f>
        <v>4000</v>
      </c>
      <c r="D20" s="66">
        <f>SUBTOTAL(109,TBL_Attire[實際])</f>
        <v>2900</v>
      </c>
      <c r="E20" s="67">
        <f>TBL_Attire[[#Totals],[預估]]-TBL_Attire[[#Totals],[實際]]</f>
        <v>1100</v>
      </c>
    </row>
    <row r="21" spans="2:5" ht="21" customHeight="1" x14ac:dyDescent="0.25">
      <c r="B21" s="36"/>
      <c r="C21" s="31"/>
      <c r="D21" s="31"/>
      <c r="E21" s="31"/>
    </row>
    <row r="22" spans="2:5" ht="21" customHeight="1" x14ac:dyDescent="0.25">
      <c r="B22" s="36"/>
      <c r="C22" s="31"/>
      <c r="D22" s="31"/>
      <c r="E22" s="31"/>
    </row>
    <row r="23" spans="2:5" ht="21" customHeight="1" x14ac:dyDescent="0.25">
      <c r="B23" s="38" t="s">
        <v>36</v>
      </c>
      <c r="C23" s="56" t="s">
        <v>80</v>
      </c>
      <c r="D23" s="56" t="s">
        <v>81</v>
      </c>
      <c r="E23" s="57" t="s">
        <v>3</v>
      </c>
    </row>
    <row r="24" spans="2:5" ht="21" customHeight="1" x14ac:dyDescent="0.25">
      <c r="B24" s="41" t="s">
        <v>37</v>
      </c>
      <c r="C24" s="59">
        <v>1000</v>
      </c>
      <c r="D24" s="59"/>
      <c r="E24" s="59" t="str">
        <f>IF(OR(TBL_FlowersAndDecor[[#This Row],[預估]]="",TBL_FlowersAndDecor[[#This Row],[實際]]=""),"",TBL_FlowersAndDecor[[#This Row],[預估]]-TBL_FlowersAndDecor[[#This Row],[實際]])</f>
        <v/>
      </c>
    </row>
    <row r="25" spans="2:5" ht="21" customHeight="1" x14ac:dyDescent="0.25">
      <c r="B25" s="45" t="s">
        <v>38</v>
      </c>
      <c r="C25" s="59">
        <v>500</v>
      </c>
      <c r="D25" s="59"/>
      <c r="E25" s="59" t="str">
        <f>IF(OR(TBL_FlowersAndDecor[[#This Row],[預估]]="",TBL_FlowersAndDecor[[#This Row],[實際]]=""),"",TBL_FlowersAndDecor[[#This Row],[預估]]-TBL_FlowersAndDecor[[#This Row],[實際]])</f>
        <v/>
      </c>
    </row>
    <row r="26" spans="2:5" ht="21" customHeight="1" x14ac:dyDescent="0.25">
      <c r="B26" s="45" t="s">
        <v>39</v>
      </c>
      <c r="C26" s="59">
        <v>100</v>
      </c>
      <c r="D26" s="59"/>
      <c r="E26" s="59" t="str">
        <f>IF(OR(TBL_FlowersAndDecor[[#This Row],[預估]]="",TBL_FlowersAndDecor[[#This Row],[實際]]=""),"",TBL_FlowersAndDecor[[#This Row],[預估]]-TBL_FlowersAndDecor[[#This Row],[實際]])</f>
        <v/>
      </c>
    </row>
    <row r="27" spans="2:5" ht="21" customHeight="1" x14ac:dyDescent="0.25">
      <c r="B27" s="45" t="s">
        <v>40</v>
      </c>
      <c r="C27" s="59">
        <v>500</v>
      </c>
      <c r="D27" s="59"/>
      <c r="E27" s="59" t="str">
        <f>IF(OR(TBL_FlowersAndDecor[[#This Row],[預估]]="",TBL_FlowersAndDecor[[#This Row],[實際]]=""),"",TBL_FlowersAndDecor[[#This Row],[預估]]-TBL_FlowersAndDecor[[#This Row],[實際]])</f>
        <v/>
      </c>
    </row>
    <row r="28" spans="2:5" ht="21" customHeight="1" x14ac:dyDescent="0.25">
      <c r="B28" s="45" t="s">
        <v>41</v>
      </c>
      <c r="C28" s="59">
        <v>100</v>
      </c>
      <c r="D28" s="59"/>
      <c r="E28" s="59" t="str">
        <f>IF(OR(TBL_FlowersAndDecor[[#This Row],[預估]]="",TBL_FlowersAndDecor[[#This Row],[實際]]=""),"",TBL_FlowersAndDecor[[#This Row],[預估]]-TBL_FlowersAndDecor[[#This Row],[實際]])</f>
        <v/>
      </c>
    </row>
    <row r="29" spans="2:5" ht="21" customHeight="1" x14ac:dyDescent="0.25">
      <c r="B29" s="45" t="s">
        <v>42</v>
      </c>
      <c r="C29" s="59">
        <v>200</v>
      </c>
      <c r="D29" s="59"/>
      <c r="E29" s="59" t="str">
        <f>IF(OR(TBL_FlowersAndDecor[[#This Row],[預估]]="",TBL_FlowersAndDecor[[#This Row],[實際]]=""),"",TBL_FlowersAndDecor[[#This Row],[預估]]-TBL_FlowersAndDecor[[#This Row],[實際]])</f>
        <v/>
      </c>
    </row>
    <row r="30" spans="2:5" ht="21" customHeight="1" x14ac:dyDescent="0.25">
      <c r="B30" s="45" t="s">
        <v>43</v>
      </c>
      <c r="C30" s="59">
        <v>300</v>
      </c>
      <c r="D30" s="59"/>
      <c r="E30" s="59" t="str">
        <f>IF(OR(TBL_FlowersAndDecor[[#This Row],[預估]]="",TBL_FlowersAndDecor[[#This Row],[實際]]=""),"",TBL_FlowersAndDecor[[#This Row],[預估]]-TBL_FlowersAndDecor[[#This Row],[實際]])</f>
        <v/>
      </c>
    </row>
    <row r="31" spans="2:5" ht="21" customHeight="1" x14ac:dyDescent="0.25">
      <c r="B31" s="45" t="s">
        <v>44</v>
      </c>
      <c r="C31" s="59">
        <v>200</v>
      </c>
      <c r="D31" s="59"/>
      <c r="E31" s="59" t="str">
        <f>IF(OR(TBL_FlowersAndDecor[[#This Row],[預估]]="",TBL_FlowersAndDecor[[#This Row],[實際]]=""),"",TBL_FlowersAndDecor[[#This Row],[預估]]-TBL_FlowersAndDecor[[#This Row],[實際]])</f>
        <v/>
      </c>
    </row>
    <row r="32" spans="2:5" ht="21" customHeight="1" x14ac:dyDescent="0.25">
      <c r="B32" s="49" t="s">
        <v>28</v>
      </c>
      <c r="C32" s="59">
        <v>100</v>
      </c>
      <c r="D32" s="59"/>
      <c r="E32" s="59" t="str">
        <f>IF(OR(TBL_FlowersAndDecor[[#This Row],[預估]]="",TBL_FlowersAndDecor[[#This Row],[實際]]=""),"",TBL_FlowersAndDecor[[#This Row],[預估]]-TBL_FlowersAndDecor[[#This Row],[實際]])</f>
        <v/>
      </c>
    </row>
    <row r="33" spans="2:5" ht="21" customHeight="1" x14ac:dyDescent="0.25">
      <c r="B33" s="58" t="s">
        <v>45</v>
      </c>
      <c r="C33" s="66">
        <f>SUBTOTAL(109,TBL_FlowersAndDecor[預估])</f>
        <v>3000</v>
      </c>
      <c r="D33" s="66">
        <f>SUBTOTAL(109,TBL_FlowersAndDecor[實際])</f>
        <v>0</v>
      </c>
      <c r="E33" s="67">
        <f>TBL_FlowersAndDecor[[#Totals],[預估]]-TBL_FlowersAndDecor[[#Totals],[實際]]</f>
        <v>3000</v>
      </c>
    </row>
    <row r="34" spans="2:5" ht="21" customHeight="1" x14ac:dyDescent="0.25">
      <c r="B34" s="36"/>
      <c r="C34" s="31"/>
      <c r="D34" s="31"/>
      <c r="E34" s="31"/>
    </row>
    <row r="35" spans="2:5" ht="21" customHeight="1" x14ac:dyDescent="0.25">
      <c r="B35" s="36"/>
      <c r="C35" s="31"/>
      <c r="D35" s="31"/>
      <c r="E35" s="31"/>
    </row>
    <row r="36" spans="2:5" ht="21" customHeight="1" x14ac:dyDescent="0.25">
      <c r="B36" s="38" t="s">
        <v>10</v>
      </c>
      <c r="C36" s="56" t="s">
        <v>80</v>
      </c>
      <c r="D36" s="56" t="s">
        <v>81</v>
      </c>
      <c r="E36" s="57" t="s">
        <v>3</v>
      </c>
    </row>
    <row r="37" spans="2:5" ht="21" customHeight="1" x14ac:dyDescent="0.25">
      <c r="B37" s="41" t="s">
        <v>46</v>
      </c>
      <c r="C37" s="59">
        <v>700</v>
      </c>
      <c r="D37" s="59"/>
      <c r="E37" s="59" t="str">
        <f>IF(OR(TBL_Music[[#This Row],[預估]]="",TBL_Music[[#This Row],[實際]]=""),"",TBL_Music[[#This Row],[預估]]-TBL_Music[[#This Row],[實際]])</f>
        <v/>
      </c>
    </row>
    <row r="38" spans="2:5" ht="21" customHeight="1" x14ac:dyDescent="0.25">
      <c r="B38" s="45" t="s">
        <v>47</v>
      </c>
      <c r="C38" s="59">
        <v>300</v>
      </c>
      <c r="D38" s="59"/>
      <c r="E38" s="59" t="str">
        <f>IF(OR(TBL_Music[[#This Row],[預估]]="",TBL_Music[[#This Row],[實際]]=""),"",TBL_Music[[#This Row],[預估]]-TBL_Music[[#This Row],[實際]])</f>
        <v/>
      </c>
    </row>
    <row r="39" spans="2:5" ht="21" customHeight="1" x14ac:dyDescent="0.25">
      <c r="B39" s="45" t="s">
        <v>48</v>
      </c>
      <c r="C39" s="59">
        <v>200</v>
      </c>
      <c r="D39" s="59"/>
      <c r="E39" s="59" t="str">
        <f>IF(OR(TBL_Music[[#This Row],[預估]]="",TBL_Music[[#This Row],[實際]]=""),"",TBL_Music[[#This Row],[預估]]-TBL_Music[[#This Row],[實際]])</f>
        <v/>
      </c>
    </row>
    <row r="40" spans="2:5" ht="21" customHeight="1" x14ac:dyDescent="0.25">
      <c r="B40" s="45" t="s">
        <v>49</v>
      </c>
      <c r="C40" s="59">
        <v>400</v>
      </c>
      <c r="D40" s="59"/>
      <c r="E40" s="59" t="str">
        <f>IF(OR(TBL_Music[[#This Row],[預估]]="",TBL_Music[[#This Row],[實際]]=""),"",TBL_Music[[#This Row],[預估]]-TBL_Music[[#This Row],[實際]])</f>
        <v/>
      </c>
    </row>
    <row r="41" spans="2:5" ht="21" customHeight="1" x14ac:dyDescent="0.25">
      <c r="B41" s="49" t="s">
        <v>28</v>
      </c>
      <c r="C41" s="59">
        <v>200</v>
      </c>
      <c r="D41" s="59"/>
      <c r="E41" s="59" t="str">
        <f>IF(OR(TBL_Music[[#This Row],[預估]]="",TBL_Music[[#This Row],[實際]]=""),"",TBL_Music[[#This Row],[預估]]-TBL_Music[[#This Row],[實際]])</f>
        <v/>
      </c>
    </row>
    <row r="42" spans="2:5" ht="21" customHeight="1" x14ac:dyDescent="0.25">
      <c r="B42" s="58" t="s">
        <v>50</v>
      </c>
      <c r="C42" s="66">
        <f>SUBTOTAL(109,TBL_Music[預估])</f>
        <v>1800</v>
      </c>
      <c r="D42" s="66">
        <f>SUBTOTAL(109,TBL_Music[實際])</f>
        <v>0</v>
      </c>
      <c r="E42" s="66">
        <f>TBL_Music[[#Totals],[預估]]-TBL_Music[[#Totals],[實際]]</f>
        <v>1800</v>
      </c>
    </row>
    <row r="43" spans="2:5" ht="21" customHeight="1" x14ac:dyDescent="0.25">
      <c r="B43" s="36"/>
      <c r="C43" s="31"/>
      <c r="D43" s="31"/>
      <c r="E43" s="31"/>
    </row>
    <row r="44" spans="2:5" ht="21" customHeight="1" x14ac:dyDescent="0.25">
      <c r="B44" s="36"/>
      <c r="C44" s="31"/>
      <c r="D44" s="31"/>
      <c r="E44" s="31"/>
    </row>
    <row r="45" spans="2:5" ht="21" customHeight="1" x14ac:dyDescent="0.25">
      <c r="B45" s="38" t="s">
        <v>51</v>
      </c>
      <c r="C45" s="56" t="s">
        <v>80</v>
      </c>
      <c r="D45" s="56" t="s">
        <v>81</v>
      </c>
      <c r="E45" s="57" t="s">
        <v>3</v>
      </c>
    </row>
    <row r="46" spans="2:5" ht="21" customHeight="1" x14ac:dyDescent="0.25">
      <c r="B46" s="41" t="s">
        <v>52</v>
      </c>
      <c r="C46" s="59">
        <v>1000</v>
      </c>
      <c r="D46" s="59"/>
      <c r="E46" s="59" t="str">
        <f>IF(OR(TBL_PhotographsAndVideo[[#This Row],[預估]]="",TBL_PhotographsAndVideo[[#This Row],[實際]]=""),"",TBL_PhotographsAndVideo[[#This Row],[預估]]-TBL_PhotographsAndVideo[[#This Row],[實際]])</f>
        <v/>
      </c>
    </row>
    <row r="47" spans="2:5" ht="21" customHeight="1" x14ac:dyDescent="0.25">
      <c r="B47" s="45" t="s">
        <v>53</v>
      </c>
      <c r="C47" s="59">
        <v>800</v>
      </c>
      <c r="D47" s="59"/>
      <c r="E47" s="59" t="str">
        <f>IF(OR(TBL_PhotographsAndVideo[[#This Row],[預估]]="",TBL_PhotographsAndVideo[[#This Row],[實際]]=""),"",TBL_PhotographsAndVideo[[#This Row],[預估]]-TBL_PhotographsAndVideo[[#This Row],[實際]])</f>
        <v/>
      </c>
    </row>
    <row r="48" spans="2:5" ht="21" customHeight="1" x14ac:dyDescent="0.25">
      <c r="B48" s="45" t="s">
        <v>54</v>
      </c>
      <c r="C48" s="59">
        <v>500</v>
      </c>
      <c r="D48" s="59"/>
      <c r="E48" s="59" t="str">
        <f>IF(OR(TBL_PhotographsAndVideo[[#This Row],[預估]]="",TBL_PhotographsAndVideo[[#This Row],[實際]]=""),"",TBL_PhotographsAndVideo[[#This Row],[預估]]-TBL_PhotographsAndVideo[[#This Row],[實際]])</f>
        <v/>
      </c>
    </row>
    <row r="49" spans="2:5" ht="21" customHeight="1" x14ac:dyDescent="0.25">
      <c r="B49" s="49" t="s">
        <v>28</v>
      </c>
      <c r="C49" s="59">
        <v>200</v>
      </c>
      <c r="D49" s="59"/>
      <c r="E49" s="59" t="str">
        <f>IF(OR(TBL_PhotographsAndVideo[[#This Row],[預估]]="",TBL_PhotographsAndVideo[[#This Row],[實際]]=""),"",TBL_PhotographsAndVideo[[#This Row],[預估]]-TBL_PhotographsAndVideo[[#This Row],[實際]])</f>
        <v/>
      </c>
    </row>
    <row r="50" spans="2:5" ht="21" customHeight="1" x14ac:dyDescent="0.25">
      <c r="B50" s="58" t="s">
        <v>55</v>
      </c>
      <c r="C50" s="66">
        <f>SUBTOTAL(109,TBL_PhotographsAndVideo[預估])</f>
        <v>2500</v>
      </c>
      <c r="D50" s="66">
        <f>SUBTOTAL(109,TBL_PhotographsAndVideo[實際])</f>
        <v>0</v>
      </c>
      <c r="E50" s="66">
        <f>TBL_PhotographsAndVideo[[#Totals],[預估]]-TBL_PhotographsAndVideo[[#Totals],[實際]]</f>
        <v>2500</v>
      </c>
    </row>
    <row r="51" spans="2:5" ht="21" customHeight="1" x14ac:dyDescent="0.25">
      <c r="B51" s="36"/>
      <c r="C51" s="31"/>
      <c r="D51" s="31"/>
      <c r="E51" s="31"/>
    </row>
    <row r="52" spans="2:5" ht="21" customHeight="1" x14ac:dyDescent="0.25">
      <c r="B52" s="36"/>
      <c r="C52" s="31"/>
      <c r="D52" s="31"/>
      <c r="E52" s="31"/>
    </row>
    <row r="53" spans="2:5" ht="21" customHeight="1" x14ac:dyDescent="0.25">
      <c r="B53" s="38" t="s">
        <v>56</v>
      </c>
      <c r="C53" s="56" t="s">
        <v>80</v>
      </c>
      <c r="D53" s="56" t="s">
        <v>81</v>
      </c>
      <c r="E53" s="57" t="s">
        <v>3</v>
      </c>
    </row>
    <row r="54" spans="2:5" ht="21" customHeight="1" x14ac:dyDescent="0.25">
      <c r="B54" s="41" t="s">
        <v>57</v>
      </c>
      <c r="C54" s="59">
        <v>700</v>
      </c>
      <c r="D54" s="59"/>
      <c r="E54" s="59" t="str">
        <f>IF(OR(TBL_FavorsAndGifts[[#This Row],[預估]]="",TBL_FavorsAndGifts[[#This Row],[實際]]=""),"",TBL_FavorsAndGifts[[#This Row],[預估]]-TBL_FavorsAndGifts[[#This Row],[實際]])</f>
        <v/>
      </c>
    </row>
    <row r="55" spans="2:5" ht="21" customHeight="1" x14ac:dyDescent="0.25">
      <c r="B55" s="45" t="s">
        <v>58</v>
      </c>
      <c r="C55" s="59">
        <v>200</v>
      </c>
      <c r="D55" s="59"/>
      <c r="E55" s="59" t="str">
        <f>IF(OR(TBL_FavorsAndGifts[[#This Row],[預估]]="",TBL_FavorsAndGifts[[#This Row],[實際]]=""),"",TBL_FavorsAndGifts[[#This Row],[預估]]-TBL_FavorsAndGifts[[#This Row],[實際]])</f>
        <v/>
      </c>
    </row>
    <row r="56" spans="2:5" ht="21" customHeight="1" x14ac:dyDescent="0.25">
      <c r="B56" s="49" t="s">
        <v>28</v>
      </c>
      <c r="C56" s="59">
        <v>200</v>
      </c>
      <c r="D56" s="59"/>
      <c r="E56" s="59" t="str">
        <f>IF(OR(TBL_FavorsAndGifts[[#This Row],[預估]]="",TBL_FavorsAndGifts[[#This Row],[實際]]=""),"",TBL_FavorsAndGifts[[#This Row],[預估]]-TBL_FavorsAndGifts[[#This Row],[實際]])</f>
        <v/>
      </c>
    </row>
    <row r="57" spans="2:5" ht="21" customHeight="1" x14ac:dyDescent="0.25">
      <c r="B57" s="58" t="s">
        <v>59</v>
      </c>
      <c r="C57" s="66">
        <f>SUBTOTAL(109,TBL_FavorsAndGifts[預估])</f>
        <v>1100</v>
      </c>
      <c r="D57" s="66">
        <f>SUBTOTAL(109,TBL_FavorsAndGifts[實際])</f>
        <v>0</v>
      </c>
      <c r="E57" s="66">
        <f>TBL_FavorsAndGifts[[#Totals],[預估]]-TBL_FavorsAndGifts[[#Totals],[實際]]</f>
        <v>1100</v>
      </c>
    </row>
    <row r="58" spans="2:5" ht="21" customHeight="1" x14ac:dyDescent="0.25">
      <c r="B58" s="36"/>
      <c r="C58" s="31"/>
      <c r="D58" s="31"/>
      <c r="E58" s="31"/>
    </row>
    <row r="59" spans="2:5" ht="21" customHeight="1" x14ac:dyDescent="0.25">
      <c r="B59" s="36"/>
      <c r="C59" s="31"/>
      <c r="D59" s="31"/>
      <c r="E59" s="31"/>
    </row>
    <row r="60" spans="2:5" ht="21" customHeight="1" x14ac:dyDescent="0.25">
      <c r="B60" s="38" t="s">
        <v>13</v>
      </c>
      <c r="C60" s="56" t="s">
        <v>80</v>
      </c>
      <c r="D60" s="56" t="s">
        <v>81</v>
      </c>
      <c r="E60" s="57" t="s">
        <v>3</v>
      </c>
    </row>
    <row r="61" spans="2:5" ht="21" customHeight="1" x14ac:dyDescent="0.25">
      <c r="B61" s="41" t="s">
        <v>60</v>
      </c>
      <c r="C61" s="59">
        <v>500</v>
      </c>
      <c r="D61" s="59"/>
      <c r="E61" s="59" t="str">
        <f>IF(OR(TBL_Ceremony[[#This Row],[預估]]="",TBL_Ceremony[[#This Row],[實際]]=""),"",TBL_Ceremony[[#This Row],[預估]]-TBL_Ceremony[[#This Row],[實際]])</f>
        <v/>
      </c>
    </row>
    <row r="62" spans="2:5" ht="21" customHeight="1" x14ac:dyDescent="0.25">
      <c r="B62" s="45" t="s">
        <v>61</v>
      </c>
      <c r="C62" s="59">
        <v>200</v>
      </c>
      <c r="D62" s="59"/>
      <c r="E62" s="59" t="str">
        <f>IF(OR(TBL_Ceremony[[#This Row],[預估]]="",TBL_Ceremony[[#This Row],[實際]]=""),"",TBL_Ceremony[[#This Row],[預估]]-TBL_Ceremony[[#This Row],[實際]])</f>
        <v/>
      </c>
    </row>
    <row r="63" spans="2:5" ht="21" customHeight="1" x14ac:dyDescent="0.25">
      <c r="B63" s="49" t="s">
        <v>28</v>
      </c>
      <c r="C63" s="59">
        <v>100</v>
      </c>
      <c r="D63" s="59"/>
      <c r="E63" s="59" t="str">
        <f>IF(OR(TBL_Ceremony[[#This Row],[預估]]="",TBL_Ceremony[[#This Row],[實際]]=""),"",TBL_Ceremony[[#This Row],[預估]]-TBL_Ceremony[[#This Row],[實際]])</f>
        <v/>
      </c>
    </row>
    <row r="64" spans="2:5" ht="21" customHeight="1" x14ac:dyDescent="0.25">
      <c r="B64" s="58" t="s">
        <v>62</v>
      </c>
      <c r="C64" s="66">
        <f>SUBTOTAL(109,TBL_Ceremony[預估])</f>
        <v>800</v>
      </c>
      <c r="D64" s="66">
        <f>SUBTOTAL(109,TBL_Ceremony[實際])</f>
        <v>0</v>
      </c>
      <c r="E64" s="66">
        <f>TBL_Ceremony[[#Totals],[預估]]-TBL_Ceremony[[#Totals],[實際]]</f>
        <v>800</v>
      </c>
    </row>
    <row r="65" spans="2:5" ht="21" customHeight="1" x14ac:dyDescent="0.25">
      <c r="B65" s="36"/>
      <c r="C65" s="31"/>
      <c r="D65" s="31"/>
      <c r="E65" s="31"/>
    </row>
    <row r="66" spans="2:5" ht="21" customHeight="1" x14ac:dyDescent="0.25">
      <c r="B66" s="36"/>
      <c r="C66" s="31"/>
      <c r="D66" s="31"/>
      <c r="E66" s="31"/>
    </row>
    <row r="67" spans="2:5" ht="21" customHeight="1" x14ac:dyDescent="0.25">
      <c r="B67" s="38" t="s">
        <v>63</v>
      </c>
      <c r="C67" s="56" t="s">
        <v>80</v>
      </c>
      <c r="D67" s="56" t="s">
        <v>81</v>
      </c>
      <c r="E67" s="57" t="s">
        <v>3</v>
      </c>
    </row>
    <row r="68" spans="2:5" ht="21" customHeight="1" x14ac:dyDescent="0.25">
      <c r="B68" s="41" t="s">
        <v>64</v>
      </c>
      <c r="C68" s="59">
        <v>50</v>
      </c>
      <c r="D68" s="59"/>
      <c r="E68" s="59" t="str">
        <f>IF(OR(TBL_Stationery[[#This Row],[預估]]="",TBL_Stationery[[#This Row],[實際]]=""),"",TBL_Stationery[[#This Row],[預估]]-TBL_Stationery[[#This Row],[實際]])</f>
        <v/>
      </c>
    </row>
    <row r="69" spans="2:5" ht="21" customHeight="1" x14ac:dyDescent="0.25">
      <c r="B69" s="45" t="s">
        <v>65</v>
      </c>
      <c r="C69" s="59">
        <v>100</v>
      </c>
      <c r="D69" s="59"/>
      <c r="E69" s="59" t="str">
        <f>IF(OR(TBL_Stationery[[#This Row],[預估]]="",TBL_Stationery[[#This Row],[實際]]=""),"",TBL_Stationery[[#This Row],[預估]]-TBL_Stationery[[#This Row],[實際]])</f>
        <v/>
      </c>
    </row>
    <row r="70" spans="2:5" ht="21" customHeight="1" x14ac:dyDescent="0.25">
      <c r="B70" s="45" t="s">
        <v>66</v>
      </c>
      <c r="C70" s="59">
        <v>50</v>
      </c>
      <c r="D70" s="59"/>
      <c r="E70" s="59" t="str">
        <f>IF(OR(TBL_Stationery[[#This Row],[預估]]="",TBL_Stationery[[#This Row],[實際]]=""),"",TBL_Stationery[[#This Row],[預估]]-TBL_Stationery[[#This Row],[實際]])</f>
        <v/>
      </c>
    </row>
    <row r="71" spans="2:5" ht="21" customHeight="1" x14ac:dyDescent="0.25">
      <c r="B71" s="45" t="s">
        <v>67</v>
      </c>
      <c r="C71" s="59">
        <v>50</v>
      </c>
      <c r="D71" s="59"/>
      <c r="E71" s="59" t="str">
        <f>IF(OR(TBL_Stationery[[#This Row],[預估]]="",TBL_Stationery[[#This Row],[實際]]=""),"",TBL_Stationery[[#This Row],[預估]]-TBL_Stationery[[#This Row],[實際]])</f>
        <v/>
      </c>
    </row>
    <row r="72" spans="2:5" ht="21" customHeight="1" x14ac:dyDescent="0.25">
      <c r="B72" s="45" t="s">
        <v>68</v>
      </c>
      <c r="C72" s="59">
        <v>50</v>
      </c>
      <c r="D72" s="59"/>
      <c r="E72" s="59" t="str">
        <f>IF(OR(TBL_Stationery[[#This Row],[預估]]="",TBL_Stationery[[#This Row],[實際]]=""),"",TBL_Stationery[[#This Row],[預估]]-TBL_Stationery[[#This Row],[實際]])</f>
        <v/>
      </c>
    </row>
    <row r="73" spans="2:5" ht="21" customHeight="1" x14ac:dyDescent="0.25">
      <c r="B73" s="45" t="s">
        <v>69</v>
      </c>
      <c r="C73" s="59">
        <v>50</v>
      </c>
      <c r="D73" s="59"/>
      <c r="E73" s="59" t="str">
        <f>IF(OR(TBL_Stationery[[#This Row],[預估]]="",TBL_Stationery[[#This Row],[實際]]=""),"",TBL_Stationery[[#This Row],[預估]]-TBL_Stationery[[#This Row],[實際]])</f>
        <v/>
      </c>
    </row>
    <row r="74" spans="2:5" ht="21" customHeight="1" x14ac:dyDescent="0.25">
      <c r="B74" s="45" t="s">
        <v>70</v>
      </c>
      <c r="C74" s="59">
        <v>50</v>
      </c>
      <c r="D74" s="59"/>
      <c r="E74" s="59" t="str">
        <f>IF(OR(TBL_Stationery[[#This Row],[預估]]="",TBL_Stationery[[#This Row],[實際]]=""),"",TBL_Stationery[[#This Row],[預估]]-TBL_Stationery[[#This Row],[實際]])</f>
        <v/>
      </c>
    </row>
    <row r="75" spans="2:5" ht="21" customHeight="1" x14ac:dyDescent="0.25">
      <c r="B75" s="49" t="s">
        <v>28</v>
      </c>
      <c r="C75" s="59">
        <v>100</v>
      </c>
      <c r="D75" s="59"/>
      <c r="E75" s="59" t="str">
        <f>IF(OR(TBL_Stationery[[#This Row],[預估]]="",TBL_Stationery[[#This Row],[實際]]=""),"",TBL_Stationery[[#This Row],[預估]]-TBL_Stationery[[#This Row],[實際]])</f>
        <v/>
      </c>
    </row>
    <row r="76" spans="2:5" ht="21" customHeight="1" x14ac:dyDescent="0.25">
      <c r="B76" s="58" t="s">
        <v>71</v>
      </c>
      <c r="C76" s="66">
        <f>SUBTOTAL(109,TBL_Stationery[預估])</f>
        <v>500</v>
      </c>
      <c r="D76" s="66">
        <f>SUBTOTAL(109,TBL_Stationery[實際])</f>
        <v>0</v>
      </c>
      <c r="E76" s="66">
        <f>TBL_Stationery[[#Totals],[預估]]-TBL_Stationery[[#Totals],[實際]]</f>
        <v>500</v>
      </c>
    </row>
    <row r="77" spans="2:5" ht="21" customHeight="1" x14ac:dyDescent="0.25">
      <c r="B77" s="36"/>
      <c r="C77" s="31"/>
      <c r="D77" s="31"/>
      <c r="E77" s="31"/>
    </row>
    <row r="78" spans="2:5" ht="21" customHeight="1" x14ac:dyDescent="0.25">
      <c r="B78" s="36"/>
      <c r="C78" s="31"/>
      <c r="D78" s="31"/>
      <c r="E78" s="31"/>
    </row>
    <row r="79" spans="2:5" ht="21" customHeight="1" x14ac:dyDescent="0.25">
      <c r="B79" s="38" t="s">
        <v>15</v>
      </c>
      <c r="C79" s="56" t="s">
        <v>80</v>
      </c>
      <c r="D79" s="56" t="s">
        <v>81</v>
      </c>
      <c r="E79" s="57" t="s">
        <v>3</v>
      </c>
    </row>
    <row r="80" spans="2:5" ht="21" customHeight="1" x14ac:dyDescent="0.25">
      <c r="B80" s="60" t="s">
        <v>15</v>
      </c>
      <c r="C80" s="61">
        <v>1000</v>
      </c>
      <c r="D80" s="61"/>
      <c r="E80" s="61" t="str">
        <f>IF(OR(TBL_WeddingRings[[#This Row],[預估]]="",TBL_WeddingRings[[#This Row],[實際]]=""),"",TBL_WeddingRings[[#This Row],[預估]]-TBL_WeddingRings[[#This Row],[實際]])</f>
        <v/>
      </c>
    </row>
    <row r="81" spans="2:5" ht="21" customHeight="1" x14ac:dyDescent="0.25">
      <c r="B81" s="62" t="s">
        <v>72</v>
      </c>
      <c r="C81" s="61">
        <v>100</v>
      </c>
      <c r="D81" s="61"/>
      <c r="E81" s="61" t="str">
        <f>IF(OR(TBL_WeddingRings[[#This Row],[預估]]="",TBL_WeddingRings[[#This Row],[實際]]=""),"",TBL_WeddingRings[[#This Row],[預估]]-TBL_WeddingRings[[#This Row],[實際]])</f>
        <v/>
      </c>
    </row>
    <row r="82" spans="2:5" ht="21" customHeight="1" x14ac:dyDescent="0.25">
      <c r="B82" s="58" t="s">
        <v>73</v>
      </c>
      <c r="C82" s="66">
        <f>SUBTOTAL(109,TBL_WeddingRings[預估])</f>
        <v>1100</v>
      </c>
      <c r="D82" s="66">
        <f>SUBTOTAL(109,TBL_WeddingRings[實際])</f>
        <v>0</v>
      </c>
      <c r="E82" s="66">
        <f>TBL_WeddingRings[[#Totals],[預估]]-TBL_WeddingRings[[#Totals],[實際]]</f>
        <v>1100</v>
      </c>
    </row>
    <row r="83" spans="2:5" ht="21" customHeight="1" x14ac:dyDescent="0.25">
      <c r="B83" s="36"/>
      <c r="C83" s="31"/>
      <c r="D83" s="31"/>
      <c r="E83" s="31"/>
    </row>
    <row r="84" spans="2:5" ht="21" customHeight="1" x14ac:dyDescent="0.25">
      <c r="B84" s="36"/>
      <c r="C84" s="31"/>
      <c r="D84" s="31"/>
      <c r="E84" s="31"/>
    </row>
    <row r="85" spans="2:5" ht="21" customHeight="1" x14ac:dyDescent="0.25">
      <c r="B85" s="38" t="s">
        <v>74</v>
      </c>
      <c r="C85" s="56" t="s">
        <v>80</v>
      </c>
      <c r="D85" s="56" t="s">
        <v>81</v>
      </c>
      <c r="E85" s="57" t="s">
        <v>3</v>
      </c>
    </row>
    <row r="86" spans="2:5" ht="21" customHeight="1" x14ac:dyDescent="0.25">
      <c r="B86" s="41" t="s">
        <v>75</v>
      </c>
      <c r="C86" s="59">
        <v>100</v>
      </c>
      <c r="D86" s="59"/>
      <c r="E86" s="59" t="str">
        <f>IF(OR(TBL_Transportation[[#This Row],[預估]]="",TBL_Transportation[[#This Row],[實際]]=""),"",TBL_Transportation[[#This Row],[預估]]-TBL_Transportation[[#This Row],[實際]])</f>
        <v/>
      </c>
    </row>
    <row r="87" spans="2:5" ht="21" customHeight="1" x14ac:dyDescent="0.25">
      <c r="B87" s="45" t="s">
        <v>76</v>
      </c>
      <c r="C87" s="59">
        <v>100</v>
      </c>
      <c r="D87" s="59"/>
      <c r="E87" s="59" t="str">
        <f>IF(OR(TBL_Transportation[[#This Row],[預估]]="",TBL_Transportation[[#This Row],[實際]]=""),"",TBL_Transportation[[#This Row],[預估]]-TBL_Transportation[[#This Row],[實際]])</f>
        <v/>
      </c>
    </row>
    <row r="88" spans="2:5" ht="21" customHeight="1" x14ac:dyDescent="0.25">
      <c r="B88" s="45" t="s">
        <v>77</v>
      </c>
      <c r="C88" s="59">
        <v>100</v>
      </c>
      <c r="D88" s="59"/>
      <c r="E88" s="59" t="str">
        <f>IF(OR(TBL_Transportation[[#This Row],[預估]]="",TBL_Transportation[[#This Row],[實際]]=""),"",TBL_Transportation[[#This Row],[預估]]-TBL_Transportation[[#This Row],[實際]])</f>
        <v/>
      </c>
    </row>
    <row r="89" spans="2:5" ht="21" customHeight="1" x14ac:dyDescent="0.25">
      <c r="B89" s="45" t="s">
        <v>78</v>
      </c>
      <c r="C89" s="59">
        <v>50</v>
      </c>
      <c r="D89" s="59"/>
      <c r="E89" s="59" t="str">
        <f>IF(OR(TBL_Transportation[[#This Row],[預估]]="",TBL_Transportation[[#This Row],[實際]]=""),"",TBL_Transportation[[#This Row],[預估]]-TBL_Transportation[[#This Row],[實際]])</f>
        <v/>
      </c>
    </row>
    <row r="90" spans="2:5" ht="21" customHeight="1" x14ac:dyDescent="0.25">
      <c r="B90" s="49" t="s">
        <v>28</v>
      </c>
      <c r="C90" s="59">
        <v>100</v>
      </c>
      <c r="D90" s="59"/>
      <c r="E90" s="59" t="str">
        <f>IF(OR(TBL_Transportation[[#This Row],[預估]]="",TBL_Transportation[[#This Row],[實際]]=""),"",TBL_Transportation[[#This Row],[預估]]-TBL_Transportation[[#This Row],[實際]])</f>
        <v/>
      </c>
    </row>
    <row r="91" spans="2:5" ht="21" customHeight="1" x14ac:dyDescent="0.25">
      <c r="B91" s="58" t="s">
        <v>79</v>
      </c>
      <c r="C91" s="66">
        <f>SUBTOTAL(109,TBL_Transportation[預估])</f>
        <v>450</v>
      </c>
      <c r="D91" s="66">
        <f>SUBTOTAL(109,TBL_Transportation[實際])</f>
        <v>0</v>
      </c>
      <c r="E91" s="66">
        <f>TBL_Transportation[[#Totals],[預估]]-TBL_Transportation[[#Totals],[實際]]</f>
        <v>450</v>
      </c>
    </row>
    <row r="92" spans="2:5" ht="21" customHeight="1" x14ac:dyDescent="0.25">
      <c r="B92" s="36"/>
      <c r="C92" s="31"/>
      <c r="D92" s="31"/>
      <c r="E92" s="31"/>
    </row>
    <row r="93" spans="2:5" ht="21" customHeight="1" x14ac:dyDescent="0.25">
      <c r="B93" s="36"/>
      <c r="C93" s="31"/>
      <c r="D93" s="31"/>
      <c r="E93" s="31"/>
    </row>
    <row r="94" spans="2:5" ht="21" customHeight="1" x14ac:dyDescent="0.25">
      <c r="B94" s="36"/>
      <c r="C94" s="31"/>
      <c r="D94" s="31"/>
      <c r="E94" s="31"/>
    </row>
  </sheetData>
  <phoneticPr fontId="30" type="noConversion"/>
  <dataValidations count="1">
    <dataValidation allowBlank="1" showInputMessage="1" showErrorMessage="1" prompt="新增或編輯每個類別的特定支出項目。_x000a__x000a_輸入預估成本與實際成本。系統會自動計算 [差異] 行和 [總計] 列。" sqref="A1" xr:uid="{00000000-0002-0000-0100-000000000000}"/>
  </dataValidations>
  <printOptions horizontalCentered="1"/>
  <pageMargins left="0.7" right="0.7" top="0.75" bottom="0.75" header="0.3" footer="0.3"/>
  <pageSetup paperSize="9" orientation="portrait" r:id="rId1"/>
  <rowBreaks count="2" manualBreakCount="2">
    <brk id="35" max="16383" man="1"/>
    <brk id="66" max="16383" man="1"/>
  </rowBreaks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46223853-B9DB-43C6-BAAA-5E1EE7156A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4524A9-AAD4-4D89-AE3F-C59CD6152D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A0F02-85C8-4B8F-89D8-668D4E6F9B8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婚禮預算</vt:lpstr>
      <vt:lpstr>預算詳細資料</vt:lpstr>
      <vt:lpstr>預算詳細資料!Print_Titles</vt:lpstr>
      <vt:lpstr>TBL_RankingData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2020-06-09T06:03:15Z</dcterms:created>
  <dcterms:modified xsi:type="dcterms:W3CDTF">2020-08-27T01:17:01Z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