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61.xml" ContentType="application/vnd.openxmlformats-officedocument.spreadsheetml.table+xml"/>
  <Override PartName="/xl/tables/table102.xml" ContentType="application/vnd.openxmlformats-officedocument.spreadsheetml.table+xml"/>
  <Override PartName="/xl/drawings/drawing21.xml" ContentType="application/vnd.openxmlformats-officedocument.drawing+xml"/>
  <Override PartName="/xl/tables/table93.xml" ContentType="application/vnd.openxmlformats-officedocument.spreadsheetml.table+xml"/>
  <Override PartName="/xl/tables/table84.xml" ContentType="application/vnd.openxmlformats-officedocument.spreadsheetml.table+xml"/>
  <Override PartName="/xl/tables/table75.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16.xml" ContentType="application/vnd.openxmlformats-officedocument.spreadsheetml.table+xml"/>
  <Override PartName="/xl/tables/table57.xml" ContentType="application/vnd.openxmlformats-officedocument.spreadsheetml.table+xml"/>
  <Override PartName="/xl/drawings/drawing12.xml" ContentType="application/vnd.openxmlformats-officedocument.drawing+xml"/>
  <Override PartName="/xl/tables/table48.xml" ContentType="application/vnd.openxmlformats-officedocument.spreadsheetml.table+xml"/>
  <Override PartName="/xl/tables/table39.xml" ContentType="application/vnd.openxmlformats-officedocument.spreadsheetml.table+xml"/>
  <Override PartName="/xl/tables/table210.xml" ContentType="application/vnd.openxmlformats-officedocument.spreadsheetml.table+xml"/>
  <Override PartName="/xl/worksheets/sheet13.xml" ContentType="application/vnd.openxmlformats-officedocument.spreadsheetml.worksheet+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54.xml" ContentType="application/vnd.openxmlformats-officedocument.spreadsheetml.worksheet+xml"/>
  <Override PartName="/xl/tables/table1611.xml" ContentType="application/vnd.openxmlformats-officedocument.spreadsheetml.table+xml"/>
  <Override PartName="/xl/drawings/drawing43.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customXml/item13.xml" ContentType="application/xml"/>
  <Override PartName="/customXml/itemProps13.xml" ContentType="application/vnd.openxmlformats-officedocument.customXmlProperties+xml"/>
  <Override PartName="/xl/worksheets/sheet45.xml" ContentType="application/vnd.openxmlformats-officedocument.spreadsheetml.worksheet+xml"/>
  <Override PartName="/xl/tables/table1112.xml" ContentType="application/vnd.openxmlformats-officedocument.spreadsheetml.table+xml"/>
  <Override PartName="/xl/tables/table1513.xml" ContentType="application/vnd.openxmlformats-officedocument.spreadsheetml.table+xml"/>
  <Override PartName="/xl/drawings/drawing34.xml" ContentType="application/vnd.openxmlformats-officedocument.drawing+xml"/>
  <Override PartName="/xl/tables/table1414.xml" ContentType="application/vnd.openxmlformats-officedocument.spreadsheetml.table+xml"/>
  <Override PartName="/xl/tables/table1315.xml" ContentType="application/vnd.openxmlformats-officedocument.spreadsheetml.table+xml"/>
  <Override PartName="/xl/tables/table1216.xml" ContentType="application/vnd.openxmlformats-officedocument.spreadsheetml.tabl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26"/>
  <workbookPr filterPrivacy="1" codeName="ThisWorkbook"/>
  <xr:revisionPtr revIDLastSave="0" documentId="13_ncr:1_{AB96EB88-D0CE-4EED-8558-A87BDD0D2DDE}" xr6:coauthVersionLast="48" xr6:coauthVersionMax="48" xr10:uidLastSave="{00000000-0000-0000-0000-000000000000}"/>
  <bookViews>
    <workbookView xWindow="-120" yWindow="-120" windowWidth="29010" windowHeight="15930" tabRatio="756" xr2:uid="{00000000-000D-0000-FFFF-FFFF00000000}"/>
  </bookViews>
  <sheets>
    <sheet name="開始" sheetId="6" r:id="rId1"/>
    <sheet name="計劃費用" sheetId="2" r:id="rId2"/>
    <sheet name="實際費用" sheetId="3" r:id="rId3"/>
    <sheet name="費用差異" sheetId="4" r:id="rId4"/>
    <sheet name="費用分析" sheetId="5" r:id="rId5"/>
  </sheets>
  <definedNames>
    <definedName name="工作表_標題">計劃費用!$K$2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4" l="1"/>
  <c r="E11" i="4"/>
  <c r="F11" i="4"/>
  <c r="G11" i="4"/>
  <c r="H11" i="4"/>
  <c r="I11" i="4"/>
  <c r="J11" i="4"/>
  <c r="K11" i="4"/>
  <c r="L11" i="4"/>
  <c r="M11" i="4"/>
  <c r="N11" i="4"/>
  <c r="D12" i="4"/>
  <c r="E12" i="4"/>
  <c r="F12" i="4"/>
  <c r="G12" i="4"/>
  <c r="H12" i="4"/>
  <c r="I12" i="4"/>
  <c r="J12" i="4"/>
  <c r="K12" i="4"/>
  <c r="L12" i="4"/>
  <c r="M12" i="4"/>
  <c r="N12" i="4"/>
  <c r="D13" i="4"/>
  <c r="E13" i="4"/>
  <c r="F13" i="4"/>
  <c r="G13" i="4"/>
  <c r="H13" i="4"/>
  <c r="I13" i="4"/>
  <c r="J13" i="4"/>
  <c r="K13" i="4"/>
  <c r="L13" i="4"/>
  <c r="M13" i="4"/>
  <c r="N13" i="4"/>
  <c r="D14" i="4"/>
  <c r="E14" i="4"/>
  <c r="F14" i="4"/>
  <c r="G14" i="4"/>
  <c r="H14" i="4"/>
  <c r="I14" i="4"/>
  <c r="J14" i="4"/>
  <c r="K14" i="4"/>
  <c r="L14" i="4"/>
  <c r="M14" i="4"/>
  <c r="N14" i="4"/>
  <c r="D15" i="4"/>
  <c r="E15" i="4"/>
  <c r="F15" i="4"/>
  <c r="G15" i="4"/>
  <c r="H15" i="4"/>
  <c r="I15" i="4"/>
  <c r="J15" i="4"/>
  <c r="K15" i="4"/>
  <c r="L15" i="4"/>
  <c r="M15" i="4"/>
  <c r="N15" i="4"/>
  <c r="D16" i="4"/>
  <c r="E16" i="4"/>
  <c r="F16" i="4"/>
  <c r="G16" i="4"/>
  <c r="H16" i="4"/>
  <c r="I16" i="4"/>
  <c r="J16" i="4"/>
  <c r="K16" i="4"/>
  <c r="L16" i="4"/>
  <c r="M16" i="4"/>
  <c r="N16" i="4"/>
  <c r="D17" i="4"/>
  <c r="E17" i="4"/>
  <c r="F17" i="4"/>
  <c r="G17" i="4"/>
  <c r="H17" i="4"/>
  <c r="I17" i="4"/>
  <c r="J17" i="4"/>
  <c r="K17" i="4"/>
  <c r="L17" i="4"/>
  <c r="M17" i="4"/>
  <c r="N17" i="4"/>
  <c r="D18" i="4"/>
  <c r="E18" i="4"/>
  <c r="F18" i="4"/>
  <c r="G18" i="4"/>
  <c r="H18" i="4"/>
  <c r="I18" i="4"/>
  <c r="J18" i="4"/>
  <c r="K18" i="4"/>
  <c r="L18" i="4"/>
  <c r="M18" i="4"/>
  <c r="N18" i="4"/>
  <c r="C12" i="4"/>
  <c r="C13" i="4"/>
  <c r="C14" i="4"/>
  <c r="C15" i="4"/>
  <c r="C16" i="4"/>
  <c r="C17" i="4"/>
  <c r="C18" i="4"/>
  <c r="C11" i="4"/>
  <c r="K2" i="3"/>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C9" i="5"/>
  <c r="O28" i="2"/>
  <c r="C8" i="5" s="1"/>
  <c r="O19" i="2"/>
  <c r="C7" i="5" s="1"/>
  <c r="O7" i="3"/>
  <c r="O8" i="3" s="1"/>
  <c r="D6" i="5" s="1"/>
  <c r="O33" i="4"/>
  <c r="O7" i="2"/>
  <c r="O8" i="2" s="1"/>
  <c r="C6" i="5" s="1"/>
  <c r="O19" i="3" l="1"/>
  <c r="E37" i="2"/>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K37" i="2"/>
  <c r="G37" i="3"/>
  <c r="M37" i="3"/>
  <c r="J37" i="3"/>
  <c r="F37" i="3"/>
  <c r="H37" i="3"/>
  <c r="N37" i="3"/>
  <c r="I37" i="3"/>
  <c r="C37" i="3"/>
  <c r="D37" i="3"/>
  <c r="E37" i="3"/>
  <c r="K37" i="3"/>
  <c r="L37" i="3"/>
  <c r="N37" i="2"/>
  <c r="H37" i="2"/>
  <c r="M37" i="2"/>
  <c r="L37" i="2"/>
  <c r="G37" i="2"/>
  <c r="E6" i="5"/>
  <c r="F6" i="5" s="1"/>
  <c r="D7" i="5" l="1"/>
  <c r="E7" i="5" s="1"/>
  <c r="F7" i="5" s="1"/>
  <c r="O36" i="3"/>
  <c r="D10" i="5" s="1"/>
  <c r="O37" i="3"/>
  <c r="O36" i="4"/>
  <c r="E10" i="5"/>
  <c r="F10" i="5" s="1"/>
</calcChain>
</file>

<file path=xl/sharedStrings.xml><?xml version="1.0" encoding="utf-8"?>
<sst xmlns="http://schemas.openxmlformats.org/spreadsheetml/2006/main" count="348" uniqueCount="59">
  <si>
    <t>關於此範本</t>
  </si>
  <si>
    <t>使用這份 [商業費用預算] 活頁簿來追蹤計劃與實際費用以及差異。</t>
  </si>
  <si>
    <t>填入公司名稱並新增標誌。</t>
  </si>
  <si>
    <t>在 [計劃費用] 工作表和 [實際費用] 工作表中輸入詳細資料。</t>
  </si>
  <si>
    <t>[費用差異] 工作表中的表格和 [費用分析] 工作表中的圖表會自動更新</t>
  </si>
  <si>
    <t>附註： </t>
  </si>
  <si>
    <t>我們已在每張工作表的 A 欄提供額外指示。此文字已刻意隱藏。若要移除文字，請選取欄 A，然後選取 [刪除]。若要取消隱藏文字，請選取 A 欄，然後變更字型色彩。</t>
  </si>
  <si>
    <t>若要深入了解表格，請在表格內按 SHIFT 並按 F10，選取 [表格] 選項，然後選取 [替代文字]</t>
  </si>
  <si>
    <t>公司名稱</t>
  </si>
  <si>
    <t>計劃費用</t>
  </si>
  <si>
    <t>員工成本</t>
  </si>
  <si>
    <t>薪資</t>
  </si>
  <si>
    <t>福利金</t>
  </si>
  <si>
    <t>小計</t>
  </si>
  <si>
    <t>辦公室成本</t>
  </si>
  <si>
    <t>辦公室租金</t>
  </si>
  <si>
    <t>瓦斯費</t>
  </si>
  <si>
    <t>電費</t>
  </si>
  <si>
    <t>水費</t>
  </si>
  <si>
    <t>電話費</t>
  </si>
  <si>
    <t>網際網路連線</t>
  </si>
  <si>
    <t>辦公室用品</t>
  </si>
  <si>
    <t>保全</t>
  </si>
  <si>
    <t>行銷成本</t>
  </si>
  <si>
    <t>網站託管</t>
  </si>
  <si>
    <t>網站更新</t>
  </si>
  <si>
    <t>準備相關資料</t>
  </si>
  <si>
    <t>列印相關資料</t>
  </si>
  <si>
    <t>行銷活動</t>
  </si>
  <si>
    <t>其他費用</t>
  </si>
  <si>
    <t>教育訓練/差旅</t>
  </si>
  <si>
    <t>教育訓練課程</t>
  </si>
  <si>
    <t>教育訓練相關差旅費用</t>
  </si>
  <si>
    <t>總計</t>
  </si>
  <si>
    <t>每月計劃費用</t>
  </si>
  <si>
    <t>總計計劃費用</t>
  </si>
  <si>
    <t>1 月</t>
  </si>
  <si>
    <t>2 月</t>
  </si>
  <si>
    <t>3 月</t>
  </si>
  <si>
    <t>4 月</t>
  </si>
  <si>
    <t>5 月</t>
  </si>
  <si>
    <t>6 月</t>
  </si>
  <si>
    <t>7 月</t>
  </si>
  <si>
    <t>8 月</t>
  </si>
  <si>
    <t>預估費用明細</t>
  </si>
  <si>
    <t>會計算顏色較深的儲存格。</t>
  </si>
  <si>
    <t>9 月</t>
  </si>
  <si>
    <t>10 月</t>
  </si>
  <si>
    <t>11 月</t>
  </si>
  <si>
    <t>12 月</t>
  </si>
  <si>
    <t>年度</t>
  </si>
  <si>
    <t xml:space="preserve"> </t>
  </si>
  <si>
    <t>每月實際費用</t>
  </si>
  <si>
    <t>總計實際費用</t>
  </si>
  <si>
    <t>支出類別</t>
  </si>
  <si>
    <t>差異百分比</t>
  </si>
  <si>
    <t>實際費用</t>
    <phoneticPr fontId="1" type="noConversion"/>
  </si>
  <si>
    <t>費用差異</t>
    <phoneticPr fontId="1" type="noConversion"/>
  </si>
  <si>
    <t>計劃費用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</si>
</sst>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quot;$&quot;#,##0.00_);[Red]\(&quot;$&quot;#,##0.00\)"/>
    <numFmt numFmtId="177" formatCode="_(&quot;$&quot;* #,##0_);_(&quot;$&quot;* \(#,##0\);_(&quot;$&quot;* &quot;-&quot;??_);_(@_)"/>
    <numFmt numFmtId="178" formatCode="&quot;NT$&quot;#,##0.00_);[Red]\(&quot;NT$&quot;#,##0.00\)"/>
  </numFmts>
  <fonts count="40" x14ac:knownFonts="1">
    <font>
      <sz val="9"/>
      <color theme="1" tint="0.24994659260841701"/>
      <name val="Microsoft JhengHei UI"/>
      <family val="2"/>
      <charset val="136"/>
    </font>
    <font>
      <sz val="9"/>
      <name val="細明體"/>
      <family val="3"/>
      <charset val="136"/>
      <scheme val="minor"/>
    </font>
    <font>
      <sz val="9"/>
      <color theme="1"/>
      <name val="Microsoft JhengHei UI"/>
      <family val="2"/>
      <charset val="136"/>
    </font>
    <font>
      <b/>
      <sz val="22"/>
      <color theme="1" tint="0.24994659260841701"/>
      <name val="Microsoft JhengHei UI"/>
      <family val="2"/>
      <charset val="136"/>
    </font>
    <font>
      <b/>
      <sz val="16"/>
      <color theme="0"/>
      <name val="Microsoft JhengHei UI"/>
      <family val="2"/>
      <charset val="136"/>
    </font>
    <font>
      <b/>
      <sz val="10"/>
      <color theme="2"/>
      <name val="Microsoft JhengHei UI"/>
      <family val="2"/>
      <charset val="136"/>
    </font>
    <font>
      <i/>
      <sz val="11"/>
      <color theme="3" tint="0.79995117038483843"/>
      <name val="Microsoft JhengHei UI"/>
      <family val="2"/>
      <charset val="136"/>
    </font>
    <font>
      <b/>
      <sz val="11"/>
      <color theme="1" tint="0.24994659260841701"/>
      <name val="Microsoft JhengHei UI"/>
      <family val="2"/>
      <charset val="136"/>
    </font>
    <font>
      <sz val="14"/>
      <color theme="3" tint="-0.249977111117893"/>
      <name val="Microsoft JhengHei UI"/>
      <family val="2"/>
      <charset val="136"/>
    </font>
    <font>
      <sz val="14"/>
      <color theme="1"/>
      <name val="Microsoft JhengHei UI"/>
      <family val="2"/>
      <charset val="136"/>
    </font>
    <font>
      <sz val="14"/>
      <color theme="0"/>
      <name val="Microsoft JhengHei UI"/>
      <family val="2"/>
      <charset val="136"/>
    </font>
    <font>
      <b/>
      <sz val="36"/>
      <color theme="0"/>
      <name val="Microsoft JhengHei UI"/>
      <family val="2"/>
      <charset val="136"/>
    </font>
    <font>
      <b/>
      <sz val="14"/>
      <color theme="1"/>
      <name val="Microsoft JhengHei UI"/>
      <family val="2"/>
      <charset val="136"/>
    </font>
    <font>
      <b/>
      <sz val="14"/>
      <color theme="3"/>
      <name val="Microsoft JhengHei UI"/>
      <family val="2"/>
      <charset val="136"/>
    </font>
    <font>
      <b/>
      <u/>
      <sz val="10"/>
      <color theme="1"/>
      <name val="Microsoft JhengHei UI"/>
      <family val="2"/>
      <charset val="136"/>
    </font>
    <font>
      <i/>
      <sz val="11"/>
      <color theme="0"/>
      <name val="Microsoft JhengHei UI"/>
      <family val="2"/>
      <charset val="136"/>
    </font>
    <font>
      <sz val="14"/>
      <color theme="6" tint="0.39997558519241921"/>
      <name val="Microsoft JhengHei UI"/>
      <family val="2"/>
      <charset val="136"/>
    </font>
    <font>
      <b/>
      <sz val="13"/>
      <color theme="3"/>
      <name val="Microsoft JhengHei UI"/>
      <family val="2"/>
      <charset val="136"/>
    </font>
    <font>
      <sz val="14"/>
      <color theme="3"/>
      <name val="Microsoft JhengHei UI"/>
      <family val="2"/>
      <charset val="136"/>
    </font>
    <font>
      <b/>
      <sz val="14"/>
      <color theme="0"/>
      <name val="Microsoft JhengHei UI"/>
      <family val="2"/>
      <charset val="136"/>
    </font>
    <font>
      <sz val="9"/>
      <color theme="6" tint="0.39997558519241921"/>
      <name val="Microsoft JhengHei UI"/>
      <family val="2"/>
      <charset val="136"/>
    </font>
    <font>
      <sz val="10"/>
      <color theme="1"/>
      <name val="Microsoft JhengHei UI"/>
      <family val="2"/>
      <charset val="136"/>
    </font>
    <font>
      <b/>
      <sz val="10"/>
      <color theme="0"/>
      <name val="Microsoft JhengHei UI"/>
      <family val="2"/>
      <charset val="136"/>
    </font>
    <font>
      <b/>
      <sz val="10"/>
      <color theme="1" tint="0.24994659260841701"/>
      <name val="Microsoft JhengHei UI"/>
      <family val="2"/>
      <charset val="136"/>
    </font>
    <font>
      <b/>
      <sz val="10"/>
      <color theme="1"/>
      <name val="Microsoft JhengHei UI"/>
      <family val="2"/>
      <charset val="136"/>
    </font>
    <font>
      <b/>
      <i/>
      <sz val="10"/>
      <color theme="1"/>
      <name val="Microsoft JhengHei UI"/>
      <family val="2"/>
      <charset val="136"/>
    </font>
    <font>
      <sz val="10"/>
      <color theme="1" tint="0.24994659260841701"/>
      <name val="Microsoft JhengHei UI"/>
      <family val="2"/>
      <charset val="136"/>
    </font>
    <font>
      <b/>
      <sz val="14"/>
      <color theme="2"/>
      <name val="Microsoft JhengHei UI"/>
      <family val="2"/>
      <charset val="136"/>
    </font>
    <font>
      <b/>
      <sz val="14"/>
      <color theme="3" tint="-0.499984740745262"/>
      <name val="Microsoft JhengHei UI"/>
      <family val="2"/>
      <charset val="136"/>
    </font>
    <font>
      <b/>
      <sz val="9"/>
      <name val="Microsoft JhengHei UI"/>
      <family val="2"/>
      <charset val="136"/>
    </font>
    <font>
      <b/>
      <sz val="9"/>
      <color theme="1"/>
      <name val="Microsoft JhengHei UI"/>
      <family val="2"/>
      <charset val="136"/>
    </font>
    <font>
      <b/>
      <sz val="10"/>
      <name val="Microsoft JhengHei UI"/>
      <family val="2"/>
      <charset val="136"/>
    </font>
    <font>
      <sz val="10"/>
      <name val="Microsoft JhengHei UI"/>
      <family val="2"/>
      <charset val="136"/>
    </font>
    <font>
      <sz val="9"/>
      <name val="Microsoft JhengHei UI"/>
      <family val="2"/>
      <charset val="136"/>
    </font>
    <font>
      <b/>
      <sz val="10"/>
      <color theme="3" tint="-0.499984740745262"/>
      <name val="Microsoft JhengHei UI"/>
      <family val="2"/>
      <charset val="136"/>
    </font>
    <font>
      <sz val="11"/>
      <color theme="1" tint="4.9989318521683403E-2"/>
      <name val="Microsoft JhengHei UI"/>
      <family val="2"/>
      <charset val="136"/>
    </font>
    <font>
      <b/>
      <sz val="11"/>
      <color theme="1" tint="4.9989318521683403E-2"/>
      <name val="Microsoft JhengHei UI"/>
      <family val="2"/>
      <charset val="136"/>
    </font>
    <font>
      <b/>
      <sz val="16"/>
      <color theme="3"/>
      <name val="Microsoft JhengHei UI"/>
      <family val="2"/>
      <charset val="136"/>
    </font>
    <font>
      <sz val="11"/>
      <color theme="6" tint="0.39997558519241921"/>
      <name val="Microsoft JhengHei UI"/>
      <family val="2"/>
      <charset val="136"/>
    </font>
    <font>
      <sz val="10"/>
      <color theme="5" tint="0.79998168889431442"/>
      <name val="Microsoft JhengHei UI"/>
      <family val="2"/>
      <charset val="136"/>
    </font>
  </fonts>
  <fills count="14">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s>
  <borders count="35">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4506668294322"/>
      </right>
      <top/>
      <bottom style="medium">
        <color theme="6" tint="0.39997558519241921"/>
      </bottom>
      <diagonal/>
    </border>
    <border>
      <left style="medium">
        <color theme="6" tint="0.39994506668294322"/>
      </left>
      <right/>
      <top/>
      <bottom/>
      <diagonal/>
    </border>
    <border>
      <left/>
      <right style="medium">
        <color theme="6" tint="0.39994506668294322"/>
      </right>
      <top/>
      <bottom/>
      <diagonal/>
    </border>
    <border>
      <left style="medium">
        <color theme="6" tint="0.39994506668294322"/>
      </left>
      <right style="medium">
        <color theme="6" tint="0.39994506668294322"/>
      </right>
      <top/>
      <bottom/>
      <diagonal/>
    </border>
  </borders>
  <cellStyleXfs count="6">
    <xf numFmtId="0" fontId="0" fillId="10" borderId="0"/>
    <xf numFmtId="0" fontId="3" fillId="0" borderId="0" applyNumberFormat="0" applyFill="0" applyProtection="0">
      <alignment vertical="center"/>
    </xf>
    <xf numFmtId="0" fontId="4" fillId="4" borderId="0" applyNumberFormat="0" applyProtection="0">
      <alignment vertical="center"/>
    </xf>
    <xf numFmtId="0" fontId="5" fillId="2" borderId="0" applyNumberFormat="0" applyProtection="0">
      <alignment vertical="center"/>
    </xf>
    <xf numFmtId="0" fontId="7" fillId="3" borderId="1" applyNumberFormat="0" applyProtection="0">
      <alignment horizontal="left" vertical="center" indent="1"/>
    </xf>
    <xf numFmtId="0" fontId="6" fillId="0" borderId="0" applyNumberFormat="0" applyFill="0" applyBorder="0" applyAlignment="0" applyProtection="0"/>
  </cellStyleXfs>
  <cellXfs count="137">
    <xf numFmtId="0" fontId="0" fillId="10" borderId="0" xfId="0"/>
    <xf numFmtId="0" fontId="8" fillId="8" borderId="0" xfId="0" applyFont="1" applyFill="1" applyAlignment="1">
      <alignment horizontal="left" vertical="top" wrapText="1" indent="1"/>
    </xf>
    <xf numFmtId="0" fontId="9" fillId="8" borderId="0" xfId="0" applyFont="1" applyFill="1" applyAlignment="1">
      <alignment horizontal="left" vertical="top" indent="1"/>
    </xf>
    <xf numFmtId="0" fontId="9" fillId="4" borderId="0" xfId="0" applyFont="1" applyFill="1" applyAlignment="1">
      <alignment horizontal="left" vertical="top" indent="1"/>
    </xf>
    <xf numFmtId="0" fontId="10" fillId="4" borderId="0" xfId="0" applyFont="1" applyFill="1" applyAlignment="1">
      <alignment horizontal="left" vertical="top" indent="1"/>
    </xf>
    <xf numFmtId="0" fontId="9" fillId="10" borderId="0" xfId="0" applyFont="1"/>
    <xf numFmtId="0" fontId="8" fillId="8" borderId="0" xfId="0" applyFont="1" applyFill="1" applyAlignment="1">
      <alignment horizontal="left" vertical="top" indent="1"/>
    </xf>
    <xf numFmtId="0" fontId="11" fillId="8" borderId="0" xfId="1" applyFont="1" applyFill="1" applyAlignment="1">
      <alignment horizontal="left" vertical="top" indent="1"/>
    </xf>
    <xf numFmtId="177" fontId="12" fillId="8" borderId="0" xfId="0" applyNumberFormat="1" applyFont="1" applyFill="1" applyAlignment="1">
      <alignment horizontal="left" vertical="top" indent="1"/>
    </xf>
    <xf numFmtId="0" fontId="12" fillId="4" borderId="0" xfId="0" applyFont="1" applyFill="1" applyAlignment="1">
      <alignment horizontal="left" vertical="top" indent="1"/>
    </xf>
    <xf numFmtId="0" fontId="13" fillId="4" borderId="0" xfId="0" applyFont="1" applyFill="1" applyAlignment="1">
      <alignment horizontal="center" vertical="top"/>
    </xf>
    <xf numFmtId="177" fontId="14" fillId="8" borderId="0" xfId="0" applyNumberFormat="1" applyFont="1" applyFill="1" applyAlignment="1">
      <alignment horizontal="left" vertical="top" indent="1"/>
    </xf>
    <xf numFmtId="0" fontId="14" fillId="4" borderId="0" xfId="0" applyFont="1" applyFill="1" applyAlignment="1">
      <alignment horizontal="left" vertical="top" indent="1"/>
    </xf>
    <xf numFmtId="0" fontId="16" fillId="10" borderId="0" xfId="0" applyFont="1"/>
    <xf numFmtId="0" fontId="17" fillId="12" borderId="0" xfId="3" applyFont="1" applyFill="1" applyAlignment="1">
      <alignment horizontal="left"/>
    </xf>
    <xf numFmtId="0" fontId="17" fillId="12" borderId="0" xfId="3" applyFont="1" applyFill="1" applyAlignment="1">
      <alignment horizontal="center"/>
    </xf>
    <xf numFmtId="177" fontId="17" fillId="12" borderId="0" xfId="3" applyNumberFormat="1" applyFont="1" applyFill="1" applyAlignment="1">
      <alignment horizontal="center"/>
    </xf>
    <xf numFmtId="0" fontId="18" fillId="10" borderId="0" xfId="0" applyFont="1"/>
    <xf numFmtId="0" fontId="19" fillId="6" borderId="14" xfId="4" applyFont="1" applyFill="1" applyBorder="1">
      <alignment horizontal="left" vertical="center" indent="1"/>
    </xf>
    <xf numFmtId="0" fontId="20" fillId="12" borderId="15" xfId="4" applyFont="1" applyFill="1" applyBorder="1" applyAlignment="1">
      <alignment horizontal="left"/>
    </xf>
    <xf numFmtId="177" fontId="20" fillId="12" borderId="15" xfId="4" applyNumberFormat="1" applyFont="1" applyFill="1" applyBorder="1" applyAlignment="1">
      <alignment horizontal="left"/>
    </xf>
    <xf numFmtId="0" fontId="20" fillId="12" borderId="16" xfId="4" applyFont="1" applyFill="1" applyBorder="1" applyAlignment="1">
      <alignment horizontal="left"/>
    </xf>
    <xf numFmtId="0" fontId="21" fillId="10" borderId="0" xfId="0" applyFont="1"/>
    <xf numFmtId="0" fontId="22" fillId="4" borderId="10" xfId="0" applyFont="1" applyFill="1" applyBorder="1" applyAlignment="1">
      <alignment horizontal="left" vertical="center" indent="1"/>
    </xf>
    <xf numFmtId="178" fontId="0" fillId="13" borderId="17" xfId="0" applyNumberFormat="1" applyFill="1" applyBorder="1" applyAlignment="1">
      <alignment horizontal="right" vertical="center"/>
    </xf>
    <xf numFmtId="178" fontId="0" fillId="13" borderId="13" xfId="0" applyNumberFormat="1" applyFill="1" applyBorder="1" applyAlignment="1">
      <alignment horizontal="right" vertical="center"/>
    </xf>
    <xf numFmtId="178" fontId="0" fillId="11" borderId="18" xfId="0" applyNumberFormat="1" applyFill="1" applyBorder="1" applyAlignment="1">
      <alignment horizontal="right" vertical="center"/>
    </xf>
    <xf numFmtId="0" fontId="23" fillId="11" borderId="19" xfId="0" applyFont="1" applyFill="1" applyBorder="1" applyAlignment="1">
      <alignment horizontal="left" vertical="center" indent="1"/>
    </xf>
    <xf numFmtId="178" fontId="0" fillId="11" borderId="20" xfId="0" applyNumberFormat="1" applyFill="1" applyBorder="1" applyAlignment="1">
      <alignment vertical="center"/>
    </xf>
    <xf numFmtId="178" fontId="0" fillId="11" borderId="21" xfId="0" applyNumberFormat="1" applyFill="1" applyBorder="1" applyAlignment="1">
      <alignment vertical="center"/>
    </xf>
    <xf numFmtId="0" fontId="24" fillId="10" borderId="0" xfId="0" applyFont="1" applyAlignment="1">
      <alignment horizontal="center"/>
    </xf>
    <xf numFmtId="37" fontId="21" fillId="10" borderId="0" xfId="0" applyNumberFormat="1" applyFont="1" applyAlignment="1">
      <alignment horizontal="right"/>
    </xf>
    <xf numFmtId="37" fontId="24" fillId="10" borderId="0" xfId="0" applyNumberFormat="1" applyFont="1" applyAlignment="1">
      <alignment horizontal="right"/>
    </xf>
    <xf numFmtId="0" fontId="19" fillId="5" borderId="14" xfId="4" applyFont="1" applyFill="1" applyBorder="1">
      <alignment horizontal="left" vertical="center" indent="1"/>
    </xf>
    <xf numFmtId="0" fontId="20" fillId="12" borderId="15" xfId="4" applyFont="1" applyFill="1" applyBorder="1">
      <alignment horizontal="left" vertical="center" indent="1"/>
    </xf>
    <xf numFmtId="177" fontId="20" fillId="12" borderId="15" xfId="4" applyNumberFormat="1" applyFont="1" applyFill="1" applyBorder="1">
      <alignment horizontal="left" vertical="center" indent="1"/>
    </xf>
    <xf numFmtId="0" fontId="20" fillId="12" borderId="16" xfId="4" applyFont="1" applyFill="1" applyBorder="1">
      <alignment horizontal="left" vertical="center" indent="1"/>
    </xf>
    <xf numFmtId="0" fontId="22" fillId="4" borderId="17" xfId="0" applyFont="1" applyFill="1" applyBorder="1" applyAlignment="1">
      <alignment horizontal="left" vertical="center" indent="1"/>
    </xf>
    <xf numFmtId="0" fontId="24" fillId="11" borderId="19" xfId="0" applyFont="1" applyFill="1" applyBorder="1" applyAlignment="1">
      <alignment horizontal="left" vertical="center" indent="1"/>
    </xf>
    <xf numFmtId="178" fontId="2" fillId="11" borderId="20" xfId="0" applyNumberFormat="1" applyFont="1" applyFill="1" applyBorder="1" applyAlignment="1">
      <alignment vertical="center"/>
    </xf>
    <xf numFmtId="0" fontId="21" fillId="10" borderId="0" xfId="0" applyFont="1" applyAlignment="1">
      <alignment horizontal="center"/>
    </xf>
    <xf numFmtId="37" fontId="25" fillId="10" borderId="0" xfId="0" applyNumberFormat="1" applyFont="1" applyAlignment="1">
      <alignment horizontal="right"/>
    </xf>
    <xf numFmtId="0" fontId="19" fillId="7" borderId="14" xfId="4" applyFont="1" applyFill="1" applyBorder="1">
      <alignment horizontal="left" vertical="center" indent="1"/>
    </xf>
    <xf numFmtId="0" fontId="26" fillId="11" borderId="19" xfId="0" applyFont="1" applyFill="1" applyBorder="1" applyAlignment="1">
      <alignment horizontal="left" vertical="center" indent="2"/>
    </xf>
    <xf numFmtId="0" fontId="23" fillId="11" borderId="19" xfId="0" applyFont="1" applyFill="1" applyBorder="1" applyAlignment="1">
      <alignment horizontal="left" vertical="center" indent="2"/>
    </xf>
    <xf numFmtId="0" fontId="16" fillId="10" borderId="6" xfId="0" applyFont="1" applyBorder="1"/>
    <xf numFmtId="0" fontId="27" fillId="9" borderId="0" xfId="3" applyFont="1" applyFill="1" applyAlignment="1">
      <alignment horizontal="left" vertical="center" indent="1"/>
    </xf>
    <xf numFmtId="0" fontId="28" fillId="9" borderId="0" xfId="3" applyFont="1" applyFill="1">
      <alignment vertical="center"/>
    </xf>
    <xf numFmtId="0" fontId="22" fillId="4" borderId="5" xfId="0" applyFont="1" applyFill="1" applyBorder="1" applyAlignment="1">
      <alignment horizontal="left" vertical="center" indent="1"/>
    </xf>
    <xf numFmtId="178" fontId="29" fillId="11" borderId="2" xfId="0" applyNumberFormat="1" applyFont="1" applyFill="1" applyBorder="1" applyAlignment="1">
      <alignment horizontal="right"/>
    </xf>
    <xf numFmtId="178" fontId="29" fillId="11" borderId="8" xfId="0" applyNumberFormat="1" applyFont="1" applyFill="1" applyBorder="1" applyAlignment="1">
      <alignment horizontal="right"/>
    </xf>
    <xf numFmtId="0" fontId="21" fillId="10" borderId="4" xfId="0" applyFont="1" applyBorder="1"/>
    <xf numFmtId="0" fontId="19" fillId="6" borderId="9" xfId="4" applyFont="1" applyFill="1" applyBorder="1">
      <alignment horizontal="left" vertical="center" indent="1"/>
    </xf>
    <xf numFmtId="0" fontId="20" fillId="12" borderId="14" xfId="4" applyFont="1" applyFill="1" applyBorder="1">
      <alignment horizontal="left" vertical="center" indent="1"/>
    </xf>
    <xf numFmtId="0" fontId="31" fillId="11" borderId="11" xfId="0" applyFont="1" applyFill="1" applyBorder="1" applyAlignment="1">
      <alignment horizontal="left" vertical="center" indent="1"/>
    </xf>
    <xf numFmtId="178" fontId="0" fillId="11" borderId="19" xfId="0" applyNumberFormat="1" applyFill="1" applyBorder="1" applyAlignment="1">
      <alignment vertical="center"/>
    </xf>
    <xf numFmtId="0" fontId="19" fillId="5" borderId="9" xfId="4" applyFont="1" applyFill="1" applyBorder="1">
      <alignment horizontal="left" vertical="center" indent="1"/>
    </xf>
    <xf numFmtId="0" fontId="19" fillId="7" borderId="9" xfId="4" applyFont="1" applyFill="1" applyBorder="1">
      <alignment horizontal="left" vertical="center" indent="1"/>
    </xf>
    <xf numFmtId="0" fontId="31" fillId="11" borderId="19" xfId="0" applyFont="1" applyFill="1" applyBorder="1" applyAlignment="1">
      <alignment horizontal="left" vertical="center" indent="1"/>
    </xf>
    <xf numFmtId="178" fontId="33" fillId="11" borderId="20" xfId="0" applyNumberFormat="1" applyFont="1" applyFill="1" applyBorder="1" applyAlignment="1">
      <alignment horizontal="right" vertical="center"/>
    </xf>
    <xf numFmtId="178" fontId="0" fillId="11" borderId="20" xfId="0" applyNumberFormat="1" applyFill="1" applyBorder="1" applyAlignment="1">
      <alignment horizontal="right" vertical="center"/>
    </xf>
    <xf numFmtId="178" fontId="0" fillId="11" borderId="21" xfId="0" applyNumberFormat="1" applyFill="1" applyBorder="1" applyAlignment="1">
      <alignment horizontal="right" vertical="center"/>
    </xf>
    <xf numFmtId="0" fontId="31" fillId="11" borderId="19" xfId="0" applyFont="1" applyFill="1" applyBorder="1" applyAlignment="1">
      <alignment horizontal="left" vertical="center" indent="2"/>
    </xf>
    <xf numFmtId="0" fontId="27" fillId="9" borderId="3" xfId="3" applyFont="1" applyFill="1" applyBorder="1" applyAlignment="1">
      <alignment horizontal="left" vertical="center" indent="1"/>
    </xf>
    <xf numFmtId="0" fontId="28" fillId="9" borderId="31" xfId="3" applyFont="1" applyFill="1" applyBorder="1">
      <alignment vertical="center"/>
    </xf>
    <xf numFmtId="0" fontId="22" fillId="4" borderId="4" xfId="0" applyFont="1" applyFill="1" applyBorder="1" applyAlignment="1">
      <alignment horizontal="left" vertical="center" indent="1"/>
    </xf>
    <xf numFmtId="178" fontId="30" fillId="11" borderId="2" xfId="0" applyNumberFormat="1" applyFont="1" applyFill="1" applyBorder="1" applyAlignment="1">
      <alignment horizontal="right"/>
    </xf>
    <xf numFmtId="178" fontId="30" fillId="11" borderId="6" xfId="0" applyNumberFormat="1" applyFont="1" applyFill="1" applyBorder="1" applyAlignment="1">
      <alignment horizontal="right"/>
    </xf>
    <xf numFmtId="178" fontId="30" fillId="11" borderId="8" xfId="0" applyNumberFormat="1" applyFont="1" applyFill="1" applyBorder="1" applyAlignment="1">
      <alignment horizontal="right"/>
    </xf>
    <xf numFmtId="178" fontId="30" fillId="11" borderId="5" xfId="0" applyNumberFormat="1" applyFont="1" applyFill="1" applyBorder="1" applyAlignment="1">
      <alignment horizontal="right"/>
    </xf>
    <xf numFmtId="0" fontId="20" fillId="12" borderId="14" xfId="4" applyFont="1" applyFill="1" applyBorder="1" applyAlignment="1">
      <alignment horizontal="center" vertical="center"/>
    </xf>
    <xf numFmtId="0" fontId="20" fillId="12" borderId="15" xfId="4" applyFont="1" applyFill="1" applyBorder="1" applyAlignment="1">
      <alignment horizontal="center" vertical="center"/>
    </xf>
    <xf numFmtId="177" fontId="20" fillId="12" borderId="15" xfId="4" applyNumberFormat="1" applyFont="1" applyFill="1" applyBorder="1" applyAlignment="1">
      <alignment horizontal="center" vertical="center"/>
    </xf>
    <xf numFmtId="0" fontId="20" fillId="12" borderId="16" xfId="4" applyFont="1" applyFill="1" applyBorder="1" applyAlignment="1">
      <alignment horizontal="center" vertical="center"/>
    </xf>
    <xf numFmtId="178" fontId="2" fillId="13" borderId="17" xfId="0" applyNumberFormat="1" applyFont="1" applyFill="1" applyBorder="1" applyAlignment="1">
      <alignment horizontal="right" vertical="center"/>
    </xf>
    <xf numFmtId="178" fontId="2" fillId="13" borderId="13" xfId="0" applyNumberFormat="1" applyFont="1" applyFill="1" applyBorder="1" applyAlignment="1">
      <alignment horizontal="right" vertical="center"/>
    </xf>
    <xf numFmtId="178" fontId="2" fillId="11" borderId="18" xfId="0" applyNumberFormat="1" applyFont="1" applyFill="1" applyBorder="1" applyAlignment="1">
      <alignment horizontal="right" vertical="center"/>
    </xf>
    <xf numFmtId="0" fontId="24" fillId="11" borderId="12" xfId="0" applyFont="1" applyFill="1" applyBorder="1" applyAlignment="1">
      <alignment horizontal="left" vertical="center" indent="1"/>
    </xf>
    <xf numFmtId="178" fontId="2" fillId="11" borderId="19" xfId="0" applyNumberFormat="1" applyFont="1" applyFill="1" applyBorder="1" applyAlignment="1">
      <alignment horizontal="right" vertical="center"/>
    </xf>
    <xf numFmtId="178" fontId="2" fillId="11" borderId="20" xfId="0" applyNumberFormat="1" applyFont="1" applyFill="1" applyBorder="1" applyAlignment="1">
      <alignment horizontal="right" vertical="center"/>
    </xf>
    <xf numFmtId="178" fontId="2" fillId="11" borderId="21" xfId="0" applyNumberFormat="1" applyFont="1" applyFill="1" applyBorder="1" applyAlignment="1">
      <alignment horizontal="right" vertical="center"/>
    </xf>
    <xf numFmtId="0" fontId="19" fillId="5" borderId="25" xfId="4" applyFont="1" applyFill="1" applyBorder="1">
      <alignment horizontal="left" vertical="center" indent="1"/>
    </xf>
    <xf numFmtId="0" fontId="20" fillId="12" borderId="22" xfId="4" applyFont="1" applyFill="1" applyBorder="1">
      <alignment horizontal="left" vertical="center" indent="1"/>
    </xf>
    <xf numFmtId="0" fontId="20" fillId="12" borderId="23" xfId="4" applyFont="1" applyFill="1" applyBorder="1">
      <alignment horizontal="left" vertical="center" indent="1"/>
    </xf>
    <xf numFmtId="177" fontId="20" fillId="12" borderId="23" xfId="4" applyNumberFormat="1" applyFont="1" applyFill="1" applyBorder="1">
      <alignment horizontal="left" vertical="center" indent="1"/>
    </xf>
    <xf numFmtId="0" fontId="20" fillId="12" borderId="24" xfId="4" applyFont="1" applyFill="1" applyBorder="1">
      <alignment horizontal="left" vertical="center" indent="1"/>
    </xf>
    <xf numFmtId="0" fontId="22" fillId="4" borderId="26" xfId="0" applyFont="1" applyFill="1" applyBorder="1" applyAlignment="1">
      <alignment horizontal="left" vertical="center" indent="1"/>
    </xf>
    <xf numFmtId="0" fontId="24" fillId="11" borderId="30" xfId="0" applyFont="1" applyFill="1" applyBorder="1" applyAlignment="1">
      <alignment horizontal="left" vertical="center" indent="2"/>
    </xf>
    <xf numFmtId="178" fontId="2" fillId="11" borderId="27" xfId="0" applyNumberFormat="1" applyFont="1" applyFill="1" applyBorder="1" applyAlignment="1">
      <alignment horizontal="right" vertical="center"/>
    </xf>
    <xf numFmtId="178" fontId="2" fillId="11" borderId="28" xfId="0" applyNumberFormat="1" applyFont="1" applyFill="1" applyBorder="1" applyAlignment="1">
      <alignment horizontal="right" vertical="center"/>
    </xf>
    <xf numFmtId="178" fontId="2" fillId="11" borderId="29" xfId="0" applyNumberFormat="1" applyFont="1" applyFill="1" applyBorder="1" applyAlignment="1">
      <alignment horizontal="right" vertical="center"/>
    </xf>
    <xf numFmtId="0" fontId="24" fillId="11" borderId="12" xfId="0" applyFont="1" applyFill="1" applyBorder="1" applyAlignment="1">
      <alignment horizontal="left" vertical="center" indent="2"/>
    </xf>
    <xf numFmtId="178" fontId="0" fillId="11" borderId="19" xfId="0" applyNumberFormat="1" applyFill="1" applyBorder="1" applyAlignment="1">
      <alignment horizontal="right" vertical="center"/>
    </xf>
    <xf numFmtId="0" fontId="19" fillId="9" borderId="3" xfId="3" applyFont="1" applyFill="1" applyBorder="1" applyAlignment="1">
      <alignment horizontal="left" vertical="center" indent="1"/>
    </xf>
    <xf numFmtId="0" fontId="34" fillId="9" borderId="3" xfId="3" applyFont="1" applyFill="1" applyBorder="1">
      <alignment vertical="center"/>
    </xf>
    <xf numFmtId="0" fontId="22" fillId="4" borderId="7" xfId="0" applyFont="1" applyFill="1" applyBorder="1" applyAlignment="1">
      <alignment horizontal="left" vertical="center" indent="1"/>
    </xf>
    <xf numFmtId="178" fontId="30" fillId="11" borderId="5" xfId="0" applyNumberFormat="1" applyFont="1" applyFill="1" applyBorder="1" applyAlignment="1">
      <alignment horizontal="right" vertical="center"/>
    </xf>
    <xf numFmtId="178" fontId="30" fillId="11" borderId="2" xfId="0" applyNumberFormat="1" applyFont="1" applyFill="1" applyBorder="1" applyAlignment="1">
      <alignment horizontal="right" vertical="center"/>
    </xf>
    <xf numFmtId="0" fontId="4" fillId="8" borderId="0" xfId="2" applyFill="1" applyAlignment="1">
      <alignment horizontal="center" vertical="center"/>
    </xf>
    <xf numFmtId="0" fontId="0" fillId="10" borderId="0" xfId="0" applyAlignment="1">
      <alignment vertical="center"/>
    </xf>
    <xf numFmtId="0" fontId="35" fillId="10" borderId="0" xfId="0" applyFont="1" applyAlignment="1">
      <alignment vertical="center" wrapText="1"/>
    </xf>
    <xf numFmtId="0" fontId="36" fillId="10" borderId="0" xfId="0" applyFont="1" applyAlignment="1">
      <alignment vertical="center" wrapText="1"/>
    </xf>
    <xf numFmtId="0" fontId="35" fillId="10" borderId="0" xfId="0" applyFont="1" applyAlignment="1">
      <alignment wrapText="1"/>
    </xf>
    <xf numFmtId="0" fontId="32" fillId="11" borderId="33" xfId="0" applyFont="1" applyFill="1" applyBorder="1" applyAlignment="1">
      <alignment horizontal="left" vertical="center"/>
    </xf>
    <xf numFmtId="178" fontId="0" fillId="11" borderId="34" xfId="0" applyNumberFormat="1" applyFill="1" applyBorder="1" applyAlignment="1">
      <alignment vertical="center"/>
    </xf>
    <xf numFmtId="178" fontId="0" fillId="11" borderId="32" xfId="0" applyNumberFormat="1" applyFill="1" applyBorder="1" applyAlignment="1">
      <alignment vertical="center"/>
    </xf>
    <xf numFmtId="0" fontId="20" fillId="10" borderId="0" xfId="0" applyFont="1" applyAlignment="1">
      <alignment wrapText="1"/>
    </xf>
    <xf numFmtId="0" fontId="20" fillId="10" borderId="0" xfId="0" applyFont="1" applyAlignment="1">
      <alignment wrapText="1"/>
    </xf>
    <xf numFmtId="0" fontId="20" fillId="10" borderId="0" xfId="0" applyFont="1"/>
    <xf numFmtId="0" fontId="4" fillId="4" borderId="0" xfId="2" applyAlignment="1">
      <alignment horizontal="left" indent="1"/>
    </xf>
    <xf numFmtId="0" fontId="6" fillId="4" borderId="0" xfId="5" applyFill="1" applyAlignment="1">
      <alignment horizontal="left" vertical="top" indent="1"/>
    </xf>
    <xf numFmtId="0" fontId="15" fillId="4" borderId="0" xfId="5" applyFont="1" applyFill="1" applyAlignment="1">
      <alignment horizontal="left" vertical="top" indent="1"/>
    </xf>
    <xf numFmtId="0" fontId="8" fillId="8" borderId="0" xfId="0" applyFont="1" applyFill="1" applyAlignment="1">
      <alignment horizontal="left" vertical="top" wrapText="1"/>
    </xf>
    <xf numFmtId="0" fontId="0" fillId="10" borderId="0" xfId="0" applyFont="1"/>
    <xf numFmtId="0" fontId="4" fillId="4" borderId="0" xfId="2" applyFont="1" applyAlignment="1"/>
    <xf numFmtId="0" fontId="37" fillId="4" borderId="0" xfId="2" applyFont="1" applyAlignment="1">
      <alignment horizontal="center" wrapText="1"/>
    </xf>
    <xf numFmtId="0" fontId="4" fillId="4" borderId="0" xfId="2" applyFont="1" applyAlignment="1">
      <alignment horizontal="right" vertical="center" indent="3"/>
    </xf>
    <xf numFmtId="0" fontId="16" fillId="10" borderId="0" xfId="0" applyFont="1" applyAlignment="1">
      <alignment wrapText="1"/>
    </xf>
    <xf numFmtId="0" fontId="5" fillId="6" borderId="0" xfId="3" applyFont="1" applyFill="1" applyAlignment="1">
      <alignment horizontal="left" vertical="center" indent="2"/>
    </xf>
    <xf numFmtId="0" fontId="5" fillId="5" borderId="0" xfId="3" applyFont="1" applyFill="1" applyAlignment="1">
      <alignment horizontal="left" vertical="center" indent="2"/>
    </xf>
    <xf numFmtId="0" fontId="5" fillId="7" borderId="0" xfId="3" applyFont="1" applyFill="1" applyAlignment="1">
      <alignment horizontal="left" vertical="center" indent="2"/>
    </xf>
    <xf numFmtId="0" fontId="5" fillId="4" borderId="0" xfId="3" applyFont="1" applyFill="1" applyAlignment="1">
      <alignment horizontal="left" vertical="center" indent="2"/>
    </xf>
    <xf numFmtId="0" fontId="38" fillId="10" borderId="0" xfId="0" applyFont="1" applyAlignment="1">
      <alignment vertical="center" wrapText="1"/>
    </xf>
    <xf numFmtId="0" fontId="0" fillId="11" borderId="2" xfId="0" applyFont="1" applyFill="1" applyBorder="1" applyAlignment="1">
      <alignment horizontal="left" vertical="center" indent="1"/>
    </xf>
    <xf numFmtId="178" fontId="0" fillId="11" borderId="2" xfId="0" applyNumberFormat="1" applyFont="1" applyFill="1" applyBorder="1" applyAlignment="1">
      <alignment horizontal="right" vertical="center" indent="2"/>
    </xf>
    <xf numFmtId="9" fontId="0" fillId="11" borderId="2" xfId="0" applyNumberFormat="1" applyFont="1" applyFill="1" applyBorder="1" applyAlignment="1">
      <alignment horizontal="right" vertical="center" indent="2"/>
    </xf>
    <xf numFmtId="0" fontId="0" fillId="11" borderId="2" xfId="0" applyFont="1" applyFill="1" applyBorder="1" applyAlignment="1">
      <alignment horizontal="left" vertical="center" indent="2"/>
    </xf>
    <xf numFmtId="0" fontId="0" fillId="11" borderId="5" xfId="0" applyFont="1" applyFill="1" applyBorder="1" applyAlignment="1">
      <alignment horizontal="left" vertical="center" indent="2"/>
    </xf>
    <xf numFmtId="178" fontId="0" fillId="11" borderId="5" xfId="0" applyNumberFormat="1" applyFont="1" applyFill="1" applyBorder="1" applyAlignment="1">
      <alignment horizontal="right" vertical="center" indent="2"/>
    </xf>
    <xf numFmtId="9" fontId="0" fillId="11" borderId="5" xfId="0" applyNumberFormat="1" applyFont="1" applyFill="1" applyBorder="1" applyAlignment="1">
      <alignment horizontal="right" vertical="center" indent="2"/>
    </xf>
    <xf numFmtId="0" fontId="0" fillId="10" borderId="0" xfId="0" applyFont="1" applyAlignment="1">
      <alignment horizontal="left" indent="1"/>
    </xf>
    <xf numFmtId="176" fontId="0" fillId="10" borderId="0" xfId="0" applyNumberFormat="1" applyFont="1" applyAlignment="1">
      <alignment horizontal="right"/>
    </xf>
    <xf numFmtId="9" fontId="0" fillId="10" borderId="0" xfId="0" applyNumberFormat="1" applyFont="1" applyAlignment="1">
      <alignment horizontal="right"/>
    </xf>
    <xf numFmtId="0" fontId="39" fillId="11" borderId="0" xfId="0" applyFont="1" applyFill="1" applyAlignment="1">
      <alignment horizontal="center"/>
    </xf>
    <xf numFmtId="0" fontId="21" fillId="10" borderId="0" xfId="0" applyFont="1" applyAlignment="1">
      <alignment horizontal="left"/>
    </xf>
    <xf numFmtId="0" fontId="21" fillId="10" borderId="0" xfId="0" applyFont="1" applyAlignment="1">
      <alignment horizontal="left" indent="1"/>
    </xf>
    <xf numFmtId="0" fontId="9" fillId="10" borderId="0" xfId="0" applyFont="1" applyAlignment="1">
      <alignment wrapText="1"/>
    </xf>
  </cellXfs>
  <cellStyles count="6">
    <cellStyle name="一般" xfId="0" builtinId="0" customBuiltin="1"/>
    <cellStyle name="說明文字" xfId="5" builtinId="53" customBuiltin="1"/>
    <cellStyle name="標題 1" xfId="1" builtinId="16" customBuiltin="1"/>
    <cellStyle name="標題 2" xfId="2" builtinId="17" customBuiltin="1"/>
    <cellStyle name="標題 3" xfId="3" builtinId="18" customBuiltin="1"/>
    <cellStyle name="標題 4" xfId="4" builtinId="19" customBuiltin="1"/>
  </cellStyles>
  <dxfs count="467">
    <dxf>
      <font>
        <b val="0"/>
        <i val="0"/>
        <strike val="0"/>
        <condense val="0"/>
        <extend val="0"/>
        <outline val="0"/>
        <shadow val="0"/>
        <u val="none"/>
        <vertAlign val="baseline"/>
        <sz val="9"/>
        <color theme="1" tint="0.24994659260841701"/>
        <name val="Microsoft JhengHei UI"/>
        <family val="2"/>
        <charset val="136"/>
        <scheme val="none"/>
      </font>
      <fill>
        <patternFill patternType="solid">
          <fgColor indexed="64"/>
          <bgColor theme="6" tint="0.79998168889431442"/>
        </patternFill>
      </fill>
      <alignment horizontal="right" vertical="center" textRotation="0" wrapText="0" indent="2"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9"/>
        <color theme="1" tint="0.24994659260841701"/>
        <name val="Microsoft JhengHei UI"/>
        <family val="2"/>
        <charset val="136"/>
        <scheme val="none"/>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JhengHei UI"/>
        <family val="2"/>
        <charset val="136"/>
        <scheme val="none"/>
      </font>
      <numFmt numFmtId="178" formatCode="&quot;NT$&quot;#,##0.00_);[Red]\(&quot;N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JhengHei UI"/>
        <family val="2"/>
        <charset val="136"/>
        <scheme val="none"/>
      </font>
      <numFmt numFmtId="178" formatCode="&quot;NT$&quot;#,##0.00_);[Red]\(&quot;N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JhengHei UI"/>
        <family val="2"/>
        <charset val="136"/>
        <scheme val="none"/>
      </font>
      <numFmt numFmtId="178" formatCode="&quot;NT$&quot;#,##0.00_);[Red]\(&quot;N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JhengHei UI"/>
        <family val="2"/>
        <charset val="136"/>
        <scheme val="none"/>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JhengHei UI"/>
        <family val="2"/>
        <charset val="136"/>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JhengHei UI"/>
        <family val="2"/>
        <charset val="136"/>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Microsoft JhengHei UI"/>
        <family val="2"/>
        <charset val="136"/>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right style="medium">
          <color theme="6" tint="0.39994506668294322"/>
        </right>
        <top/>
        <bottom/>
      </border>
    </dxf>
    <dxf>
      <font>
        <b/>
        <strike val="0"/>
        <outline val="0"/>
        <shadow val="0"/>
        <u val="none"/>
        <vertAlign val="baseline"/>
        <sz val="10"/>
        <color theme="0"/>
        <name val="Microsoft JhengHei UI"/>
        <family val="2"/>
        <charset val="136"/>
        <scheme val="minor"/>
      </font>
      <fill>
        <patternFill patternType="solid">
          <fgColor indexed="64"/>
          <bgColor theme="3"/>
        </patternFill>
      </fill>
      <alignment horizontal="left" vertical="center" textRotation="0" wrapText="0" relativeIndent="-1" justifyLastLine="0" shrinkToFit="0" readingOrder="0"/>
      <border diagonalUp="0" diagonalDown="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right style="medium">
          <color theme="6" tint="0.39994506668294322"/>
        </right>
        <top/>
        <bottom/>
      </border>
    </dxf>
    <dxf>
      <font>
        <b/>
        <strike val="0"/>
        <outline val="0"/>
        <shadow val="0"/>
        <u val="none"/>
        <vertAlign val="baseline"/>
        <sz val="10"/>
        <color theme="0"/>
        <name val="Microsoft JhengHei UI"/>
        <family val="2"/>
        <charset val="136"/>
        <scheme val="minor"/>
      </font>
      <fill>
        <patternFill patternType="solid">
          <fgColor indexed="64"/>
          <bgColor theme="3"/>
        </patternFill>
      </fill>
      <alignment horizontal="left" vertical="center" textRotation="0" wrapText="0" relativeIndent="-1" justifyLastLine="0" shrinkToFit="0" readingOrder="0"/>
      <border diagonalUp="0" diagonalDown="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10"/>
        <color theme="1"/>
        <name val="Microsoft JhengHei UI"/>
        <family val="2"/>
        <charset val="136"/>
        <scheme val="minor"/>
      </font>
      <fill>
        <patternFill patternType="solid">
          <fgColor indexed="64"/>
          <bgColor theme="6" tint="0.79998168889431442"/>
        </patternFill>
      </fill>
      <alignment horizontal="left" vertical="center" textRotation="0" wrapText="0" indent="1" justifyLastLine="0" shrinkToFit="0" readingOrder="0"/>
      <border diagonalUp="0" diagonalDown="0">
        <left/>
        <right style="medium">
          <color theme="6" tint="0.39994506668294322"/>
        </right>
        <top style="medium">
          <color theme="6" tint="0.39994506668294322"/>
        </top>
        <bottom/>
      </border>
    </dxf>
    <dxf>
      <font>
        <b/>
        <strike val="0"/>
        <outline val="0"/>
        <shadow val="0"/>
        <u val="none"/>
        <vertAlign val="baseline"/>
        <sz val="10"/>
        <color theme="0"/>
        <name val="Microsoft JhengHei UI"/>
        <family val="2"/>
        <charset val="136"/>
        <scheme val="minor"/>
      </font>
      <fill>
        <patternFill patternType="solid">
          <fgColor indexed="64"/>
          <bgColor theme="3"/>
        </patternFill>
      </fill>
      <alignment horizontal="left" vertical="center" textRotation="0" wrapText="0" relativeIndent="-1" justifyLastLine="0" shrinkToFit="0" readingOrder="0"/>
      <border diagonalUp="0" diagonalDown="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dxf>
    <dxf>
      <font>
        <b val="0"/>
        <strike val="0"/>
        <outline val="0"/>
        <shadow val="0"/>
        <vertAlign val="baseline"/>
        <name val="Microsoft JhengHei UI"/>
        <family val="2"/>
        <charset val="136"/>
      </font>
      <numFmt numFmtId="178" formatCode="&quot;NT$&quot;#,##0.00_);[Red]\(&quot;NT$&quot;#,##0.00\)"/>
      <fill>
        <patternFill patternType="solid">
          <fgColor indexed="64"/>
          <bgColor theme="6" tint="0.79998168889431442"/>
        </patternFill>
      </fill>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dxf>
    <dxf>
      <font>
        <strike val="0"/>
        <outline val="0"/>
        <shadow val="0"/>
        <vertAlign val="baseline"/>
        <name val="Microsoft JhengHei UI"/>
        <family val="2"/>
        <charset val="136"/>
      </font>
      <numFmt numFmtId="178" formatCode="&quot;NT$&quot;#,##0.00_);[Red]\(&quot;NT$&quot;#,##0.00\)"/>
    </dxf>
    <dxf>
      <font>
        <strike val="0"/>
        <outline val="0"/>
        <shadow val="0"/>
        <vertAlign val="baseline"/>
        <name val="Microsoft JhengHei UI"/>
        <family val="2"/>
        <charset val="136"/>
      </font>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alignment horizontal="left" vertical="center" textRotation="0" wrapText="0" relativeIndent="1" justifyLastLine="0" shrinkToFit="0" readingOrder="0"/>
    </dxf>
    <dxf>
      <border>
        <top style="medium">
          <color theme="6" tint="0.39994506668294322"/>
        </top>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JhengHei UI"/>
        <family val="2"/>
        <charset val="136"/>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JhengHei UI"/>
        <family val="2"/>
        <charset val="136"/>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Microsoft JhengHei UI"/>
        <family val="2"/>
        <charset val="136"/>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bottom/>
      </border>
    </dxf>
    <dxf>
      <font>
        <strike val="0"/>
        <outline val="0"/>
        <shadow val="0"/>
        <vertAlign val="baseline"/>
        <name val="Microsoft JhengHei UI"/>
        <family val="2"/>
        <charset val="136"/>
      </font>
      <numFmt numFmtId="178" formatCode="&quot;NT$&quot;#,##0.00_);[Red]\(&quot;NT$&quot;#,##0.00\)"/>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JhengHei UI"/>
        <family val="2"/>
        <charset val="136"/>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font>
        <strike val="0"/>
        <outline val="0"/>
        <shadow val="0"/>
        <vertAlign val="baseline"/>
        <name val="Microsoft JhengHei UI"/>
        <family val="2"/>
        <charset val="136"/>
      </font>
      <alignment horizontal="left" vertical="center" textRotation="0" wrapText="0" relativeIndent="1" justifyLastLine="0" shrinkToFit="0" readingOrder="0"/>
      <border diagonalUp="0" diagonalDown="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top/>
        <bottom/>
      </border>
    </dxf>
    <dxf>
      <font>
        <strike val="0"/>
        <outline val="0"/>
        <shadow val="0"/>
        <vertAlign val="baseline"/>
        <name val="Microsoft JhengHei UI"/>
        <family val="2"/>
        <charset val="136"/>
      </font>
      <numFmt numFmtId="178" formatCode="&quot;NT$&quot;#,##0.00_);[Red]\(&quot;NT$&quot;#,##0.00\)"/>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JhengHei UI"/>
        <family val="2"/>
        <charset val="136"/>
        <scheme val="minor"/>
      </font>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border>
    </dxf>
    <dxf>
      <font>
        <b/>
        <strike val="0"/>
        <outline val="0"/>
        <shadow val="0"/>
        <u val="none"/>
        <vertAlign val="baseline"/>
        <sz val="10"/>
        <color theme="0"/>
        <name val="Microsoft JhengHei UI"/>
        <family val="2"/>
        <charset val="136"/>
        <scheme val="minor"/>
      </font>
      <fill>
        <patternFill patternType="solid">
          <fgColor indexed="64"/>
          <bgColor theme="3"/>
        </patternFill>
      </fill>
      <alignment horizontal="left" vertical="center" textRotation="0" wrapText="0" relativeIndent="-1" justifyLastLine="0" shrinkToFit="0" readingOrder="0"/>
      <border diagonalUp="0" diagonalDown="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auto="1"/>
        <name val="Microsoft JhengHei UI"/>
        <family val="2"/>
        <charset val="136"/>
        <scheme val="minor"/>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JhengHei UI"/>
        <family val="2"/>
        <charset val="136"/>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alignment horizontal="left" vertical="center" textRotation="0" wrapText="0" relativeIndent="-1" justifyLastLine="0" shrinkToFit="0" readingOrder="0"/>
      <border diagonalUp="0" diagonalDown="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u val="none"/>
        <vertAlign val="baseline"/>
        <sz val="10"/>
        <color auto="1"/>
        <name val="Microsoft JhengHei UI"/>
        <family val="2"/>
        <charset val="136"/>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border>
        <top style="medium">
          <color theme="6" tint="0.39994506668294322"/>
        </top>
      </border>
    </dxf>
    <dxf>
      <font>
        <strike val="0"/>
        <outline val="0"/>
        <shadow val="0"/>
        <vertAlign val="baseline"/>
        <name val="Microsoft JhengHei UI"/>
        <family val="2"/>
        <charset val="136"/>
      </font>
      <alignment vertical="center" textRotation="0" wrapText="0" indent="0" justifyLastLine="0" shrinkToFit="0" readingOrder="0"/>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Microsoft JhengHei UI"/>
        <family val="2"/>
        <charset val="136"/>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JhengHei UI"/>
        <family val="2"/>
        <charset val="136"/>
        <scheme val="minor"/>
      </font>
      <numFmt numFmtId="0" formatCode="General"/>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Microsoft JhengHei UI"/>
        <family val="2"/>
        <charset val="136"/>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top/>
        <bottom/>
      </border>
    </dxf>
    <dxf>
      <font>
        <strike val="0"/>
        <outline val="0"/>
        <shadow val="0"/>
        <u val="none"/>
        <vertAlign val="baseline"/>
        <sz val="9"/>
        <color theme="1"/>
        <name val="Microsoft JhengHei UI"/>
        <family val="2"/>
        <charset val="136"/>
        <scheme val="minor"/>
      </font>
      <numFmt numFmtId="178" formatCode="&quot;NT$&quot;#,##0.00_);[Red]\(&quot;NT$&quot;#,##0.0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1"/>
        <name val="Microsoft JhengHei UI"/>
        <family val="2"/>
        <charset val="136"/>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JhengHei UI"/>
        <family val="2"/>
        <charset val="136"/>
        <scheme val="minor"/>
      </font>
      <fill>
        <patternFill patternType="solid">
          <fgColor indexed="64"/>
          <bgColor theme="3"/>
        </patternFill>
      </fill>
      <alignment horizontal="left" vertical="center" textRotation="0" wrapText="0" relativeIndent="1" justifyLastLine="0" shrinkToFit="0" readingOrder="0"/>
      <border diagonalUp="0" diagonalDown="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top/>
        <bottom/>
      </border>
    </dxf>
    <dxf>
      <font>
        <strike val="0"/>
        <outline val="0"/>
        <shadow val="0"/>
        <vertAlign val="baseline"/>
        <name val="Microsoft JhengHei UI"/>
        <family val="2"/>
        <charset val="136"/>
      </font>
      <numFmt numFmtId="178" formatCode="&quot;NT$&quot;#,##0.00_);[Red]\(&quot;NT$&quot;#,##0.00\)"/>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JhengHei UI"/>
        <family val="2"/>
        <charset val="136"/>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JhengHei UI"/>
        <family val="2"/>
        <charset val="136"/>
        <scheme val="minor"/>
      </font>
      <fill>
        <patternFill patternType="solid">
          <fgColor indexed="64"/>
          <bgColor theme="3"/>
        </patternFill>
      </fill>
      <alignment horizontal="left" vertical="center" textRotation="0" wrapText="0" relativeIndent="-1" justifyLastLine="0" shrinkToFit="0" readingOrder="0"/>
      <border diagonalUp="0" diagonalDown="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fill>
        <patternFill patternType="solid">
          <fgColor indexed="64"/>
          <bgColor theme="6" tint="0.79998168889431442"/>
        </patternFill>
      </fill>
      <border diagonalUp="0" diagonalDown="0">
        <left style="medium">
          <color theme="6" tint="0.39994506668294322"/>
        </left>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JhengHei UI"/>
        <family val="2"/>
        <charset val="136"/>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strike val="0"/>
        <outline val="0"/>
        <shadow val="0"/>
        <vertAlign val="baseline"/>
        <name val="Microsoft JhengHei UI"/>
        <family val="2"/>
        <charset val="136"/>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JhengHei UI"/>
        <family val="2"/>
        <charset val="136"/>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JhengHei UI"/>
        <family val="2"/>
        <charset val="136"/>
        <scheme val="minor"/>
      </font>
      <fill>
        <patternFill patternType="solid">
          <fgColor indexed="64"/>
          <bgColor theme="3"/>
        </patternFill>
      </fill>
      <alignment horizontal="left" vertical="center" textRotation="0" wrapText="0" relativeIndent="-1" justifyLastLine="0" shrinkToFit="0" readingOrder="0"/>
      <border diagonalUp="0" diagonalDown="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JhengHei UI"/>
        <family val="2"/>
        <charset val="136"/>
        <scheme val="minor"/>
      </font>
      <numFmt numFmtId="176"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4506668294322"/>
        </right>
        <top/>
        <bottom/>
        <horizontal/>
      </border>
    </dxf>
    <dxf>
      <font>
        <strike val="0"/>
        <outline val="0"/>
        <shadow val="0"/>
        <u val="none"/>
        <vertAlign val="baseline"/>
        <sz val="9"/>
        <color theme="1"/>
        <name val="Microsoft JhengHei UI"/>
        <family val="2"/>
        <charset val="136"/>
        <scheme val="minor"/>
      </font>
      <numFmt numFmtId="178" formatCode="&quot;NT$&quot;#,##0.00_);[Red]\(&quot;NT$&quot;#,##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10"/>
        <color theme="1"/>
        <name val="Microsoft JhengHei UI"/>
        <family val="2"/>
        <charset val="136"/>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JhengHei UI"/>
        <family val="2"/>
        <charset val="136"/>
        <scheme val="minor"/>
      </font>
      <fill>
        <patternFill patternType="solid">
          <fgColor indexed="64"/>
          <bgColor theme="3"/>
        </patternFill>
      </fill>
      <alignment horizontal="left" vertical="center" textRotation="0" wrapText="0" relativeIndent="-1" justifyLastLine="0" shrinkToFit="0" readingOrder="0"/>
      <border diagonalUp="0" diagonalDown="0">
        <left style="medium">
          <color theme="6" tint="0.39988402966399123"/>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font>
        <strike val="0"/>
        <outline val="0"/>
        <shadow val="0"/>
        <vertAlign val="baseline"/>
        <name val="Microsoft JhengHei UI"/>
        <family val="2"/>
        <charset val="136"/>
      </font>
    </dxf>
    <dxf>
      <border>
        <bottom style="medium">
          <color theme="6" tint="0.39994506668294322"/>
        </bottom>
      </border>
    </dxf>
    <dxf>
      <font>
        <strike val="0"/>
        <outline val="0"/>
        <shadow val="0"/>
        <vertAlign val="baseline"/>
        <name val="Microsoft JhengHei UI"/>
        <family val="2"/>
        <charset val="136"/>
      </font>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PivotStyle="PivotStyleLight16">
    <tableStyle name="詳細費用預估表 2" pivot="0" count="7" xr9:uid="{00000000-0011-0000-FFFF-FFFF00000000}">
      <tableStyleElement type="wholeTable" dxfId="466"/>
      <tableStyleElement type="headerRow" dxfId="465"/>
      <tableStyleElement type="totalRow" dxfId="464"/>
      <tableStyleElement type="firstColumn" dxfId="463"/>
      <tableStyleElement type="lastColumn" dxfId="462"/>
      <tableStyleElement type="firstRowStripe" size="9" dxfId="461"/>
      <tableStyleElement type="firstColumnStripe" dxfId="460"/>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worksheet" Target="/xl/worksheets/sheet54.xml" Id="rId5" /><Relationship Type="http://schemas.openxmlformats.org/officeDocument/2006/relationships/customXml" Target="/customXml/item13.xml" Id="rId10" /><Relationship Type="http://schemas.openxmlformats.org/officeDocument/2006/relationships/worksheet" Target="/xl/worksheets/sheet45.xml" Id="rId4" /><Relationship Type="http://schemas.openxmlformats.org/officeDocument/2006/relationships/calcChain" Target="/xl/calcChain.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JhengHei UI" panose="020B0604030504040204" pitchFamily="34" charset="-120"/>
                <a:ea typeface="Microsoft JhengHei UI" panose="020B0604030504040204" pitchFamily="34" charset="-120"/>
                <a:cs typeface="+mn-cs"/>
              </a:defRPr>
            </a:pPr>
            <a:r>
              <a:rPr lang="en-US"/>
              <a:t>每月費用</a:t>
            </a:r>
          </a:p>
        </c:rich>
      </c:tx>
      <c:layout>
        <c:manualLayout>
          <c:xMode val="edge"/>
          <c:yMode val="edge"/>
          <c:x val="1.0996591979294411E-2"/>
          <c:y val="8.903205679824600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JhengHei UI" panose="020B0604030504040204" pitchFamily="34" charset="-120"/>
              <a:ea typeface="Microsoft JhengHei UI" panose="020B0604030504040204" pitchFamily="34" charset="-120"/>
              <a:cs typeface="+mn-cs"/>
            </a:defRPr>
          </a:pPr>
          <a:endParaRPr lang="zh-TW"/>
        </a:p>
      </c:txPr>
    </c:title>
    <c:autoTitleDeleted val="0"/>
    <c:plotArea>
      <c:layout/>
      <c:barChart>
        <c:barDir val="col"/>
        <c:grouping val="clustered"/>
        <c:varyColors val="0"/>
        <c:ser>
          <c:idx val="1"/>
          <c:order val="1"/>
          <c:tx>
            <c:v>計劃</c:v>
          </c:tx>
          <c:spPr>
            <a:solidFill>
              <a:schemeClr val="accent2"/>
            </a:solidFill>
            <a:ln>
              <a:noFill/>
            </a:ln>
            <a:effectLst/>
          </c:spPr>
          <c:invertIfNegative val="0"/>
          <c:val>
            <c:numRef>
              <c:f>計劃費用!$C$36:$N$36</c:f>
              <c:numCache>
                <c:formatCode>"NT$"#,##0.00_);[Red]\("NT$"#,##0.00\)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實際</c:v>
          </c:tx>
          <c:spPr>
            <a:solidFill>
              <a:schemeClr val="accent4">
                <a:alpha val="25000"/>
              </a:schemeClr>
            </a:solidFill>
            <a:ln>
              <a:noFill/>
            </a:ln>
            <a:effectLst/>
          </c:spPr>
          <c:invertIfNegative val="0"/>
          <c:val>
            <c:numRef>
              <c:f>實際費用!$C$36:$N$36</c:f>
              <c:numCache>
                <c:formatCode>"NT$"#,##0.00_);[Red]\("NT$"#,##0.00\)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差異</c:v>
          </c:tx>
          <c:spPr>
            <a:ln w="28575" cap="rnd">
              <a:solidFill>
                <a:schemeClr val="accent3">
                  <a:shade val="65000"/>
                </a:schemeClr>
              </a:solidFill>
              <a:round/>
            </a:ln>
            <a:effectLst/>
          </c:spPr>
          <c:marker>
            <c:symbol val="none"/>
          </c:marker>
          <c:val>
            <c:numRef>
              <c:f>費用差異!$C$36:$N$36</c:f>
              <c:numCache>
                <c:formatCode>"NT$"#,##0.00_);[Red]\("NT$"#,##0.00\)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icrosoft JhengHei UI" panose="020B0604030504040204" pitchFamily="34" charset="-120"/>
                    <a:ea typeface="Microsoft JhengHei UI" panose="020B0604030504040204" pitchFamily="34" charset="-120"/>
                    <a:cs typeface="+mn-cs"/>
                  </a:defRPr>
                </a:pPr>
                <a:r>
                  <a:rPr lang="en-US"/>
                  <a:t>月份</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icrosoft JhengHei UI" panose="020B0604030504040204" pitchFamily="34" charset="-120"/>
                  <a:ea typeface="Microsoft JhengHei UI" panose="020B0604030504040204" pitchFamily="34" charset="-120"/>
                  <a:cs typeface="+mn-cs"/>
                </a:defRPr>
              </a:pPr>
              <a:endParaRPr lang="zh-TW"/>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icrosoft JhengHei UI" panose="020B0604030504040204" pitchFamily="34" charset="-120"/>
                <a:ea typeface="Microsoft JhengHei UI" panose="020B0604030504040204" pitchFamily="34" charset="-120"/>
                <a:cs typeface="+mn-cs"/>
              </a:defRPr>
            </a:pPr>
            <a:endParaRPr lang="zh-TW"/>
          </a:p>
        </c:txPr>
        <c:crossAx val="362147008"/>
        <c:crosses val="autoZero"/>
        <c:auto val="1"/>
        <c:lblAlgn val="ctr"/>
        <c:lblOffset val="100"/>
        <c:noMultiLvlLbl val="0"/>
      </c:catAx>
      <c:valAx>
        <c:axId val="362147008"/>
        <c:scaling>
          <c:orientation val="minMax"/>
        </c:scaling>
        <c:delete val="0"/>
        <c:axPos val="l"/>
        <c:majorGridlines>
          <c:spPr>
            <a:ln w="3175" cap="flat" cmpd="sng" algn="ctr">
              <a:solidFill>
                <a:schemeClr val="bg1">
                  <a:lumMod val="75000"/>
                  <a:alpha val="2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icrosoft JhengHei UI" panose="020B0604030504040204" pitchFamily="34" charset="-120"/>
                    <a:ea typeface="Microsoft JhengHei UI" panose="020B0604030504040204" pitchFamily="34" charset="-120"/>
                    <a:cs typeface="+mn-cs"/>
                  </a:defRPr>
                </a:pPr>
                <a:r>
                  <a:rPr lang="en-US"/>
                  <a:t>支出</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icrosoft JhengHei UI" panose="020B0604030504040204" pitchFamily="34" charset="-120"/>
                  <a:ea typeface="Microsoft JhengHei UI" panose="020B0604030504040204" pitchFamily="34" charset="-120"/>
                  <a:cs typeface="+mn-cs"/>
                </a:defRPr>
              </a:pPr>
              <a:endParaRPr lang="zh-TW"/>
            </a:p>
          </c:txPr>
        </c:title>
        <c:numFmt formatCode="[$NT$-404]#,##0_);[Red]\([$NT$-404]#,##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icrosoft JhengHei UI" panose="020B0604030504040204" pitchFamily="34" charset="-120"/>
                <a:ea typeface="Microsoft JhengHei UI" panose="020B0604030504040204" pitchFamily="34" charset="-120"/>
                <a:cs typeface="+mn-cs"/>
              </a:defRPr>
            </a:pPr>
            <a:endParaRPr lang="zh-TW"/>
          </a:p>
        </c:txPr>
        <c:crossAx val="362146616"/>
        <c:crosses val="autoZero"/>
        <c:crossBetween val="between"/>
        <c:dispUnits>
          <c:builtInUnit val="tenThousands"/>
          <c:dispUnitsLbl>
            <c:layout>
              <c:manualLayout>
                <c:xMode val="edge"/>
                <c:yMode val="edge"/>
                <c:x val="4.1853475435826903E-2"/>
                <c:y val="0.11317096082764759"/>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icrosoft JhengHei UI" panose="020B0604030504040204" pitchFamily="34" charset="-120"/>
                    <a:ea typeface="Microsoft JhengHei UI" panose="020B0604030504040204" pitchFamily="34" charset="-120"/>
                    <a:cs typeface="+mn-cs"/>
                  </a:defRPr>
                </a:pPr>
                <a:endParaRPr lang="zh-TW"/>
              </a:p>
            </c:txPr>
          </c:dispUnitsLbl>
        </c:dispUnits>
      </c:valAx>
      <c:spPr>
        <a:noFill/>
        <a:ln>
          <a:noFill/>
        </a:ln>
        <a:effectLst/>
      </c:spPr>
    </c:plotArea>
    <c:legend>
      <c:legendPos val="t"/>
      <c:layout>
        <c:manualLayout>
          <c:xMode val="edge"/>
          <c:yMode val="edge"/>
          <c:x val="1.8591667626513452E-4"/>
          <c:y val="5.3074322488831559E-2"/>
          <c:w val="0.33878368215294763"/>
          <c:h val="3.57978972310679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JhengHei UI" panose="020B0604030504040204" pitchFamily="34" charset="-120"/>
              <a:ea typeface="Microsoft JhengHei UI" panose="020B0604030504040204" pitchFamily="34" charset="-120"/>
              <a:cs typeface="+mn-cs"/>
            </a:defRPr>
          </a:pPr>
          <a:endParaRPr lang="zh-TW"/>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baseline="0">
          <a:solidFill>
            <a:schemeClr val="tx1"/>
          </a:solidFill>
          <a:latin typeface="Microsoft JhengHei UI" panose="020B0604030504040204" pitchFamily="34" charset="-120"/>
          <a:ea typeface="Microsoft JhengHei UI" panose="020B0604030504040204" pitchFamily="34" charset="-120"/>
        </a:defRPr>
      </a:pPr>
      <a:endParaRPr lang="zh-TW"/>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47698573031214"/>
          <c:y val="0.17330539881195353"/>
          <c:w val="0.79968138263906308"/>
          <c:h val="0.71853463513379401"/>
        </c:manualLayout>
      </c:layout>
      <c:barChart>
        <c:barDir val="bar"/>
        <c:grouping val="clustered"/>
        <c:varyColors val="0"/>
        <c:ser>
          <c:idx val="1"/>
          <c:order val="0"/>
          <c:tx>
            <c:strRef>
              <c:f>費用分析!$C$5</c:f>
              <c:strCache>
                <c:ptCount val="1"/>
                <c:pt idx="0">
                  <c:v>計劃費用</c:v>
                </c:pt>
              </c:strCache>
            </c:strRef>
          </c:tx>
          <c:spPr>
            <a:solidFill>
              <a:schemeClr val="accent2"/>
            </a:solidFill>
            <a:ln w="19050">
              <a:noFill/>
            </a:ln>
            <a:effectLst/>
          </c:spPr>
          <c:invertIfNegative val="0"/>
          <c:cat>
            <c:strRef>
              <c:f>費用分析!$B$6:$B$9</c:f>
              <c:strCache>
                <c:ptCount val="4"/>
                <c:pt idx="0">
                  <c:v>員工成本</c:v>
                </c:pt>
                <c:pt idx="1">
                  <c:v>辦公室成本</c:v>
                </c:pt>
                <c:pt idx="2">
                  <c:v>行銷成本</c:v>
                </c:pt>
                <c:pt idx="3">
                  <c:v>教育訓練/差旅</c:v>
                </c:pt>
              </c:strCache>
            </c:strRef>
          </c:cat>
          <c:val>
            <c:numRef>
              <c:f>費用分析!$C$6:$C$9</c:f>
              <c:numCache>
                <c:formatCode>"NT$"#,##0.00_);[Red]\("NT$"#,##0.00\)</c:formatCode>
                <c:ptCount val="4"/>
                <c:pt idx="0">
                  <c:v>1355090</c:v>
                </c:pt>
                <c:pt idx="1">
                  <c:v>138740</c:v>
                </c:pt>
                <c:pt idx="2">
                  <c:v>67800</c:v>
                </c:pt>
                <c:pt idx="3">
                  <c:v>48000</c:v>
                </c:pt>
              </c:numCache>
            </c:numRef>
          </c:val>
          <c:extLst>
            <c:ext xmlns:c16="http://schemas.microsoft.com/office/drawing/2014/chart" uri="{C3380CC4-5D6E-409C-BE32-E72D297353CC}">
              <c16:uniqueId val="{00000009-F485-485F-B818-D5944CB69AAB}"/>
            </c:ext>
          </c:extLst>
        </c:ser>
        <c:ser>
          <c:idx val="0"/>
          <c:order val="1"/>
          <c:tx>
            <c:strRef>
              <c:f>費用分析!$D$5</c:f>
              <c:strCache>
                <c:ptCount val="1"/>
                <c:pt idx="0">
                  <c:v>實際費用</c:v>
                </c:pt>
              </c:strCache>
            </c:strRef>
          </c:tx>
          <c:spPr>
            <a:solidFill>
              <a:schemeClr val="accent4"/>
            </a:solidFill>
            <a:ln w="19050">
              <a:noFill/>
            </a:ln>
            <a:effectLst/>
          </c:spPr>
          <c:invertIfNegative val="0"/>
          <c:dPt>
            <c:idx val="0"/>
            <c:invertIfNegative val="0"/>
            <c:bubble3D val="0"/>
            <c:extLst>
              <c:ext xmlns:c16="http://schemas.microsoft.com/office/drawing/2014/chart" uri="{C3380CC4-5D6E-409C-BE32-E72D297353CC}">
                <c16:uniqueId val="{00000001-F485-485F-B818-D5944CB69AAB}"/>
              </c:ext>
            </c:extLst>
          </c:dPt>
          <c:dPt>
            <c:idx val="1"/>
            <c:invertIfNegative val="0"/>
            <c:bubble3D val="0"/>
            <c:extLst>
              <c:ext xmlns:c16="http://schemas.microsoft.com/office/drawing/2014/chart" uri="{C3380CC4-5D6E-409C-BE32-E72D297353CC}">
                <c16:uniqueId val="{00000003-F485-485F-B818-D5944CB69AAB}"/>
              </c:ext>
            </c:extLst>
          </c:dPt>
          <c:dPt>
            <c:idx val="2"/>
            <c:invertIfNegative val="0"/>
            <c:bubble3D val="0"/>
            <c:extLst>
              <c:ext xmlns:c16="http://schemas.microsoft.com/office/drawing/2014/chart" uri="{C3380CC4-5D6E-409C-BE32-E72D297353CC}">
                <c16:uniqueId val="{00000005-F485-485F-B818-D5944CB69AAB}"/>
              </c:ext>
            </c:extLst>
          </c:dPt>
          <c:dPt>
            <c:idx val="3"/>
            <c:invertIfNegative val="0"/>
            <c:bubble3D val="0"/>
            <c:extLst>
              <c:ext xmlns:c16="http://schemas.microsoft.com/office/drawing/2014/chart" uri="{C3380CC4-5D6E-409C-BE32-E72D297353CC}">
                <c16:uniqueId val="{00000007-F485-485F-B818-D5944CB69AAB}"/>
              </c:ext>
            </c:extLst>
          </c:dPt>
          <c:cat>
            <c:strRef>
              <c:f>費用分析!$B$6:$B$9</c:f>
              <c:strCache>
                <c:ptCount val="4"/>
                <c:pt idx="0">
                  <c:v>員工成本</c:v>
                </c:pt>
                <c:pt idx="1">
                  <c:v>辦公室成本</c:v>
                </c:pt>
                <c:pt idx="2">
                  <c:v>行銷成本</c:v>
                </c:pt>
                <c:pt idx="3">
                  <c:v>教育訓練/差旅</c:v>
                </c:pt>
              </c:strCache>
            </c:strRef>
          </c:cat>
          <c:val>
            <c:numRef>
              <c:f>費用分析!$D$6:$D$9</c:f>
              <c:numCache>
                <c:formatCode>"NT$"#,##0.00_);[Red]\("NT$"#,##0.00\)</c:formatCode>
                <c:ptCount val="4"/>
                <c:pt idx="0">
                  <c:v>659130</c:v>
                </c:pt>
                <c:pt idx="1">
                  <c:v>69350</c:v>
                </c:pt>
                <c:pt idx="2">
                  <c:v>33159</c:v>
                </c:pt>
                <c:pt idx="3">
                  <c:v>21300</c:v>
                </c:pt>
              </c:numCache>
            </c:numRef>
          </c:val>
          <c:extLst>
            <c:ext xmlns:c16="http://schemas.microsoft.com/office/drawing/2014/chart" uri="{C3380CC4-5D6E-409C-BE32-E72D297353CC}">
              <c16:uniqueId val="{00000008-F485-485F-B818-D5944CB69AAB}"/>
            </c:ext>
          </c:extLst>
        </c:ser>
        <c:dLbls>
          <c:showLegendKey val="0"/>
          <c:showVal val="0"/>
          <c:showCatName val="0"/>
          <c:showSerName val="0"/>
          <c:showPercent val="0"/>
          <c:showBubbleSize val="0"/>
        </c:dLbls>
        <c:gapWidth val="100"/>
        <c:axId val="716845712"/>
        <c:axId val="716855552"/>
      </c:barChart>
      <c:valAx>
        <c:axId val="716855552"/>
        <c:scaling>
          <c:orientation val="minMax"/>
          <c:max val="1400000"/>
        </c:scaling>
        <c:delete val="0"/>
        <c:axPos val="t"/>
        <c:majorGridlines>
          <c:spPr>
            <a:ln w="9525" cap="flat" cmpd="sng" algn="ctr">
              <a:solidFill>
                <a:schemeClr val="tx1">
                  <a:lumMod val="15000"/>
                  <a:lumOff val="85000"/>
                </a:schemeClr>
              </a:solidFill>
              <a:round/>
            </a:ln>
            <a:effectLst/>
          </c:spPr>
        </c:majorGridlines>
        <c:numFmt formatCode="[$NT$-404]#,##0_);[Red]\([$NT$-404]#,##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716845712"/>
        <c:crosses val="autoZero"/>
        <c:crossBetween val="between"/>
        <c:dispUnits>
          <c:builtInUnit val="tenThousands"/>
          <c:dispUnitsLbl>
            <c:layout>
              <c:manualLayout>
                <c:xMode val="edge"/>
                <c:yMode val="edge"/>
                <c:x val="0.88923701186841542"/>
                <c:y val="0.94119752263847256"/>
              </c:manualLayout>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dispUnitsLbl>
        </c:dispUnits>
      </c:valAx>
      <c:catAx>
        <c:axId val="71684571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716855552"/>
        <c:crosses val="autoZero"/>
        <c:auto val="1"/>
        <c:lblAlgn val="ctr"/>
        <c:lblOffset val="100"/>
        <c:noMultiLvlLbl val="0"/>
      </c:catAx>
      <c:spPr>
        <a:noFill/>
        <a:ln>
          <a:noFill/>
        </a:ln>
        <a:effectLst/>
      </c:spPr>
    </c:plotArea>
    <c:legend>
      <c:legendPos val="t"/>
      <c:layout>
        <c:manualLayout>
          <c:xMode val="edge"/>
          <c:yMode val="edge"/>
          <c:x val="1.0972101080870553E-3"/>
          <c:y val="1.0416663818716148E-2"/>
          <c:w val="0.29634907228550156"/>
          <c:h val="5.5844254198311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legend>
    <c:plotVisOnly val="1"/>
    <c:dispBlanksAs val="gap"/>
    <c:showDLblsOverMax val="0"/>
  </c:chart>
  <c:spPr>
    <a:noFill/>
    <a:ln w="9525" cap="flat" cmpd="sng" algn="ctr">
      <a:noFill/>
      <a:round/>
    </a:ln>
    <a:effectLst/>
  </c:spPr>
  <c:txPr>
    <a:bodyPr/>
    <a:lstStyle/>
    <a:p>
      <a:pPr>
        <a:defRPr baseline="0">
          <a:latin typeface="Microsoft JhengHei UI" panose="020B0604030504040204" pitchFamily="34" charset="-120"/>
          <a:ea typeface="Microsoft JhengHei UI" panose="020B0604030504040204" pitchFamily="34" charset="-120"/>
        </a:defRPr>
      </a:pPr>
      <a:endParaRPr lang="zh-TW"/>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2.xml.rels>&#65279;<?xml version="1.0" encoding="utf-8"?><Relationships xmlns="http://schemas.openxmlformats.org/package/2006/relationships"><Relationship Type="http://schemas.openxmlformats.org/officeDocument/2006/relationships/image" Target="/xl/media/image1.png" Id="rId1" /></Relationships>
</file>

<file path=xl/drawings/_rels/drawing21.xml.rels>&#65279;<?xml version="1.0" encoding="utf-8"?><Relationships xmlns="http://schemas.openxmlformats.org/package/2006/relationships"><Relationship Type="http://schemas.openxmlformats.org/officeDocument/2006/relationships/image" Target="/xl/media/image1.png" Id="rId1" /></Relationships>
</file>

<file path=xl/drawings/_rels/drawing34.xml.rels>&#65279;<?xml version="1.0" encoding="utf-8"?><Relationships xmlns="http://schemas.openxmlformats.org/package/2006/relationships"><Relationship Type="http://schemas.openxmlformats.org/officeDocument/2006/relationships/image" Target="/xl/media/image23.png" Id="rId1" /></Relationships>
</file>

<file path=xl/drawings/_rels/drawing43.xml.rels>&#65279;<?xml version="1.0" encoding="utf-8"?><Relationships xmlns="http://schemas.openxmlformats.org/package/2006/relationships"><Relationship Type="http://schemas.openxmlformats.org/officeDocument/2006/relationships/chart" Target="/xl/charts/chart21.xml" Id="rId3" /><Relationship Type="http://schemas.openxmlformats.org/officeDocument/2006/relationships/image" Target="/xl/media/image32.png" Id="rId2" /><Relationship Type="http://schemas.openxmlformats.org/officeDocument/2006/relationships/chart" Target="/xl/charts/chart12.xml" Id="rId1" /></Relationships>
</file>

<file path=xl/drawings/drawing12.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對話泡泡：矩形​​ 2" descr="祕訣：如何使用 [計劃費用] 和 [實際費用] 工作表上的白色儲存格中的這份 TEMPLATE&#10;Input 資料，系統會為您計算「費用差異」和「費用分析」。如果您在其中一張工作表上新增列，另一張工作表也需要執行同樣操作。&#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zh-tw" sz="1100" b="1">
              <a:solidFill>
                <a:schemeClr val="tx2"/>
              </a:solidFill>
              <a:effectLst/>
              <a:latin typeface="Microsoft JhengHei UI" panose="020B0604030504040204" pitchFamily="34" charset="-120"/>
              <a:ea typeface="Microsoft JhengHei UI" panose="020B0604030504040204" pitchFamily="34" charset="-120"/>
              <a:cs typeface="+mn-cs"/>
            </a:rPr>
            <a:t>如何使用此範本</a:t>
          </a:r>
        </a:p>
        <a:p>
          <a:pPr rtl="0"/>
          <a:endParaRPr lang="en-US">
            <a:solidFill>
              <a:schemeClr val="tx2"/>
            </a:solidFill>
            <a:effectLst/>
            <a:latin typeface="Microsoft JhengHei UI" panose="020B0604030504040204" pitchFamily="34" charset="-120"/>
            <a:ea typeface="Microsoft JhengHei UI" panose="020B0604030504040204" pitchFamily="34" charset="-120"/>
          </a:endParaRPr>
        </a:p>
        <a:p>
          <a:pPr rtl="0"/>
          <a:r>
            <a:rPr lang="zh-tw" sz="1100">
              <a:solidFill>
                <a:schemeClr val="tx2"/>
              </a:solidFill>
              <a:effectLst/>
              <a:latin typeface="Microsoft JhengHei UI" panose="020B0604030504040204" pitchFamily="34" charset="-120"/>
              <a:ea typeface="Microsoft JhengHei UI" panose="020B0604030504040204" pitchFamily="34" charset="-120"/>
              <a:cs typeface="+mn-cs"/>
            </a:rPr>
            <a:t>在 [計劃費用] 和 [實際費用] 工作表的白色儲存格中輸入資料，系統會自動為您計算費用差異與費用分析。如果您在其中一張工作表上新增列，</a:t>
          </a:r>
          <a:r>
            <a:rPr lang="zh-tw" sz="1100" baseline="0">
              <a:solidFill>
                <a:schemeClr val="tx2"/>
              </a:solidFill>
              <a:effectLst/>
              <a:latin typeface="Microsoft JhengHei UI" panose="020B0604030504040204" pitchFamily="34" charset="-120"/>
              <a:ea typeface="Microsoft JhengHei UI" panose="020B0604030504040204" pitchFamily="34" charset="-120"/>
              <a:cs typeface="+mn-cs"/>
            </a:rPr>
            <a:t>另一張工作表也需要執行同樣操作。</a:t>
          </a:r>
          <a:endParaRPr lang="en-US" sz="1100">
            <a:solidFill>
              <a:schemeClr val="tx2"/>
            </a:solidFill>
            <a:latin typeface="Microsoft JhengHei UI" panose="020B0604030504040204" pitchFamily="34" charset="-120"/>
            <a:ea typeface="Microsoft JhengHei UI" panose="020B0604030504040204" pitchFamily="34" charset="-120"/>
          </a:endParaRPr>
        </a:p>
      </xdr:txBody>
    </xdr:sp>
    <xdr:clientData fPrintsWithSheet="0"/>
  </xdr:twoCellAnchor>
  <xdr:twoCellAnchor editAs="oneCell">
    <xdr:from>
      <xdr:col>13</xdr:col>
      <xdr:colOff>267556</xdr:colOff>
      <xdr:row>1</xdr:row>
      <xdr:rowOff>2117</xdr:rowOff>
    </xdr:from>
    <xdr:to>
      <xdr:col>14</xdr:col>
      <xdr:colOff>717772</xdr:colOff>
      <xdr:row>2</xdr:row>
      <xdr:rowOff>139243</xdr:rowOff>
    </xdr:to>
    <xdr:pic>
      <xdr:nvPicPr>
        <xdr:cNvPr id="9" name="圖片 18" descr="標誌預留位置">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288231"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267556</xdr:colOff>
      <xdr:row>1</xdr:row>
      <xdr:rowOff>2117</xdr:rowOff>
    </xdr:from>
    <xdr:to>
      <xdr:col>14</xdr:col>
      <xdr:colOff>717772</xdr:colOff>
      <xdr:row>2</xdr:row>
      <xdr:rowOff>139243</xdr:rowOff>
    </xdr:to>
    <xdr:pic>
      <xdr:nvPicPr>
        <xdr:cNvPr id="6" name="圖片 18" descr="標誌預留位置">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288231"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251011</xdr:colOff>
      <xdr:row>1</xdr:row>
      <xdr:rowOff>0</xdr:rowOff>
    </xdr:from>
    <xdr:to>
      <xdr:col>14</xdr:col>
      <xdr:colOff>683661</xdr:colOff>
      <xdr:row>2</xdr:row>
      <xdr:rowOff>129496</xdr:rowOff>
    </xdr:to>
    <xdr:pic>
      <xdr:nvPicPr>
        <xdr:cNvPr id="6" name="圖片 18" descr="標誌預留位置">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271686" y="304800"/>
          <a:ext cx="1613750" cy="70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28575</xdr:colOff>
      <xdr:row>12</xdr:row>
      <xdr:rowOff>200025</xdr:rowOff>
    </xdr:from>
    <xdr:to>
      <xdr:col>6</xdr:col>
      <xdr:colOff>5939</xdr:colOff>
      <xdr:row>38</xdr:row>
      <xdr:rowOff>21653</xdr:rowOff>
    </xdr:to>
    <xdr:graphicFrame macro="">
      <xdr:nvGraphicFramePr>
        <xdr:cNvPr id="8" name="每月費用圖表" descr="顯示 [每月支出] 中計畫、實際和差異的圖表">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447675</xdr:colOff>
      <xdr:row>1</xdr:row>
      <xdr:rowOff>1635</xdr:rowOff>
    </xdr:from>
    <xdr:to>
      <xdr:col>6</xdr:col>
      <xdr:colOff>69215</xdr:colOff>
      <xdr:row>1</xdr:row>
      <xdr:rowOff>548896</xdr:rowOff>
    </xdr:to>
    <xdr:pic>
      <xdr:nvPicPr>
        <xdr:cNvPr id="9" name="圖片 18" descr="標誌預留位置">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7219950" y="306435"/>
          <a:ext cx="1259840" cy="547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11</xdr:row>
      <xdr:rowOff>0</xdr:rowOff>
    </xdr:from>
    <xdr:to>
      <xdr:col>5</xdr:col>
      <xdr:colOff>1488140</xdr:colOff>
      <xdr:row>11</xdr:row>
      <xdr:rowOff>3657601</xdr:rowOff>
    </xdr:to>
    <xdr:graphicFrame macro="">
      <xdr:nvGraphicFramePr>
        <xdr:cNvPr id="7" name="實際支出圖表" descr="顯示各種類別實際支出的圓形圖">
          <a:extLst>
            <a:ext uri="{FF2B5EF4-FFF2-40B4-BE49-F238E27FC236}">
              <a16:creationId xmlns:a16="http://schemas.microsoft.com/office/drawing/2014/main" id="{FE109E8A-EB22-46B1-850C-BFD738E25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總計實際數字" displayName="總計實際" ref="B35:O37" totalsRowShown="0" headerRowDxfId="182" dataDxfId="181" tableBorderDxfId="180">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總計計劃費用" dataDxfId="179"/>
    <tableColumn id="2" xr3:uid="{ED08B701-BD0B-43EA-B6B5-8B23D583D505}" name="1 月" dataDxfId="178">
      <calculatedColumnFormula>SUM($C35:C$36)</calculatedColumnFormula>
    </tableColumn>
    <tableColumn id="3" xr3:uid="{953C450B-5235-4234-924F-53796609C439}" name="2 月" dataDxfId="177">
      <calculatedColumnFormula>SUM($C35:D$36)</calculatedColumnFormula>
    </tableColumn>
    <tableColumn id="4" xr3:uid="{A434CE91-3696-411F-8418-02228D13F12E}" name="3 月" dataDxfId="176">
      <calculatedColumnFormula>SUM($C35:E$36)</calculatedColumnFormula>
    </tableColumn>
    <tableColumn id="5" xr3:uid="{1E74C645-B91F-4CDB-9F55-6FEC8EAB0A64}" name="4 月" dataDxfId="175">
      <calculatedColumnFormula>SUM($C35:F$36)</calculatedColumnFormula>
    </tableColumn>
    <tableColumn id="6" xr3:uid="{A3B698F1-9EF3-489A-A70E-8E760D6B713B}" name="5 月" dataDxfId="174">
      <calculatedColumnFormula>SUM($C35:G$36)</calculatedColumnFormula>
    </tableColumn>
    <tableColumn id="7" xr3:uid="{6CEDC80B-5635-47E7-AA54-EBD827095F7C}" name="6 月" dataDxfId="173">
      <calculatedColumnFormula>SUM($C35:H$36)</calculatedColumnFormula>
    </tableColumn>
    <tableColumn id="8" xr3:uid="{A73C88FE-0ABF-4134-B6B0-043ECC9295D4}" name="7 月" dataDxfId="172">
      <calculatedColumnFormula>SUM($C35:I$36)</calculatedColumnFormula>
    </tableColumn>
    <tableColumn id="9" xr3:uid="{62119987-B16F-44A1-B80E-29460A9513CD}" name="8 月" dataDxfId="171">
      <calculatedColumnFormula>SUM($C35:J$36)</calculatedColumnFormula>
    </tableColumn>
    <tableColumn id="10" xr3:uid="{C84A40CE-DC4A-442E-883F-891CA5A9A166}" name="9 月" dataDxfId="170">
      <calculatedColumnFormula>SUM($C35:K$36)</calculatedColumnFormula>
    </tableColumn>
    <tableColumn id="11" xr3:uid="{4DB975F1-C294-416D-81FB-A8070CC2C3BC}" name="10 月" dataDxfId="169">
      <calculatedColumnFormula>SUM($C35:L$36)</calculatedColumnFormula>
    </tableColumn>
    <tableColumn id="12" xr3:uid="{BC57DA11-9B5C-452D-8026-EF863D07E32E}" name="11 月" dataDxfId="168">
      <calculatedColumnFormula>SUM($C35:M$36)</calculatedColumnFormula>
    </tableColumn>
    <tableColumn id="13" xr3:uid="{904E02FB-FEA8-49B0-ABA0-9B659A7720D8}" name="12 月" dataDxfId="167">
      <calculatedColumnFormula>SUM($C35:N$36)</calculatedColumnFormula>
    </tableColumn>
    <tableColumn id="14" xr3:uid="{8C10E0BB-4735-4718-9538-C4AFB616D92A}" name="年度" dataDxfId="166">
      <calculatedColumnFormula>教育訓練與差旅實際數字[[#Totals],[年度]]+行銷實際數字[[#Totals],[年度]]+辦公室實際數字[[#Totals],[年度]]+員工實際數字[[#Totals],[年度]]</calculatedColumnFormula>
    </tableColumn>
  </tableColumns>
  <tableStyleInfo name="TableStyleMedium1" showFirstColumn="1" showLastColumn="0" showRowStripes="0" showColumnStripes="0"/>
  <extLst>
    <ext xmlns:x14="http://schemas.microsoft.com/office/spreadsheetml/2009/9/main" uri="{504A1905-F514-4f6f-8877-14C23A59335A}">
      <x14:table altTextSummary="會自動計算此表格中的每月與總計實際費用"/>
    </ext>
  </extLst>
</table>
</file>

<file path=xl/tables/table1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員工差異" displayName="員工差異" ref="B5:O8" totalsRowCount="1" headerRowDxfId="160" dataDxfId="158" totalsRowDxfId="156" headerRowBorderDxfId="159" tableBorderDxfId="157" totalsRowBorderDxfId="155">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員工成本" totalsRowLabel="小計" dataDxfId="154" totalsRowDxfId="153"/>
    <tableColumn id="2" xr3:uid="{00000000-0010-0000-0800-000002000000}" name="1 月" totalsRowFunction="sum" dataDxfId="152" totalsRowDxfId="151">
      <calculatedColumnFormula>INDEX(員工計劃[],MATCH(INDEX(員工差異[],ROW()-ROW(員工差異[[#Headers],[1 月]]),1),INDEX(員工計劃[],,1),0),MATCH(員工差異[[#Headers],[1 月]],員工計劃[#Headers],0))-INDEX(員工實際數字[],MATCH(INDEX(員工差異[],ROW()-ROW(員工差異[[#Headers],[1 月]]),1),INDEX(員工計劃[],,1),0),MATCH(員工差異[[#Headers],[1 月]],員工實際數字[#Headers],0))</calculatedColumnFormula>
    </tableColumn>
    <tableColumn id="3" xr3:uid="{00000000-0010-0000-0800-000003000000}" name="2 月" totalsRowFunction="sum" dataDxfId="150" totalsRowDxfId="149">
      <calculatedColumnFormula>INDEX(員工計劃[],MATCH(INDEX(員工差異[],ROW()-ROW(員工差異[[#Headers],[2 月]]),1),INDEX(員工計劃[],,1),0),MATCH(員工差異[[#Headers],[2 月]],員工計劃[#Headers],0))-INDEX(員工實際數字[],MATCH(INDEX(員工差異[],ROW()-ROW(員工差異[[#Headers],[2 月]]),1),INDEX(員工計劃[],,1),0),MATCH(員工差異[[#Headers],[2 月]],員工實際數字[#Headers],0))</calculatedColumnFormula>
    </tableColumn>
    <tableColumn id="4" xr3:uid="{00000000-0010-0000-0800-000004000000}" name="3 月" totalsRowFunction="sum" dataDxfId="148" totalsRowDxfId="147">
      <calculatedColumnFormula>INDEX(員工計劃[],MATCH(INDEX(員工差異[],ROW()-ROW(員工差異[[#Headers],[3 月]]),1),INDEX(員工計劃[],,1),0),MATCH(員工差異[[#Headers],[3 月]],員工計劃[#Headers],0))-INDEX(員工實際數字[],MATCH(INDEX(員工差異[],ROW()-ROW(員工差異[[#Headers],[3 月]]),1),INDEX(員工計劃[],,1),0),MATCH(員工差異[[#Headers],[3 月]],員工實際數字[#Headers],0))</calculatedColumnFormula>
    </tableColumn>
    <tableColumn id="5" xr3:uid="{00000000-0010-0000-0800-000005000000}" name="4 月" totalsRowFunction="sum" dataDxfId="146" totalsRowDxfId="145">
      <calculatedColumnFormula>INDEX(員工計劃[],MATCH(INDEX(員工差異[],ROW()-ROW(員工差異[[#Headers],[4 月]]),1),INDEX(員工計劃[],,1),0),MATCH(員工差異[[#Headers],[4 月]],員工計劃[#Headers],0))-INDEX(員工實際數字[],MATCH(INDEX(員工差異[],ROW()-ROW(員工差異[[#Headers],[4 月]]),1),INDEX(員工計劃[],,1),0),MATCH(員工差異[[#Headers],[4 月]],員工實際數字[#Headers],0))</calculatedColumnFormula>
    </tableColumn>
    <tableColumn id="6" xr3:uid="{00000000-0010-0000-0800-000006000000}" name="5 月" totalsRowFunction="sum" dataDxfId="144" totalsRowDxfId="143">
      <calculatedColumnFormula>INDEX(員工計劃[],MATCH(INDEX(員工差異[],ROW()-ROW(員工差異[[#Headers],[5 月]]),1),INDEX(員工計劃[],,1),0),MATCH(員工差異[[#Headers],[5 月]],員工計劃[#Headers],0))-INDEX(員工實際數字[],MATCH(INDEX(員工差異[],ROW()-ROW(員工差異[[#Headers],[5 月]]),1),INDEX(員工計劃[],,1),0),MATCH(員工差異[[#Headers],[5 月]],員工實際數字[#Headers],0))</calculatedColumnFormula>
    </tableColumn>
    <tableColumn id="7" xr3:uid="{00000000-0010-0000-0800-000007000000}" name="6 月" totalsRowFunction="sum" dataDxfId="142" totalsRowDxfId="141">
      <calculatedColumnFormula>INDEX(員工計劃[],MATCH(INDEX(員工差異[],ROW()-ROW(員工差異[[#Headers],[6 月]]),1),INDEX(員工計劃[],,1),0),MATCH(員工差異[[#Headers],[6 月]],員工計劃[#Headers],0))-INDEX(員工實際數字[],MATCH(INDEX(員工差異[],ROW()-ROW(員工差異[[#Headers],[6 月]]),1),INDEX(員工計劃[],,1),0),MATCH(員工差異[[#Headers],[6 月]],員工實際數字[#Headers],0))</calculatedColumnFormula>
    </tableColumn>
    <tableColumn id="8" xr3:uid="{00000000-0010-0000-0800-000008000000}" name="7 月" totalsRowFunction="sum" dataDxfId="140" totalsRowDxfId="139">
      <calculatedColumnFormula>INDEX(員工計劃[],MATCH(INDEX(員工差異[],ROW()-ROW(員工差異[[#Headers],[7 月]]),1),INDEX(員工計劃[],,1),0),MATCH(員工差異[[#Headers],[7 月]],員工計劃[#Headers],0))-INDEX(員工實際數字[],MATCH(INDEX(員工差異[],ROW()-ROW(員工差異[[#Headers],[7 月]]),1),INDEX(員工計劃[],,1),0),MATCH(員工差異[[#Headers],[7 月]],員工實際數字[#Headers],0))</calculatedColumnFormula>
    </tableColumn>
    <tableColumn id="9" xr3:uid="{00000000-0010-0000-0800-000009000000}" name="8 月" totalsRowFunction="sum" dataDxfId="138" totalsRowDxfId="137">
      <calculatedColumnFormula>INDEX(員工計劃[],MATCH(INDEX(員工差異[],ROW()-ROW(員工差異[[#Headers],[8 月]]),1),INDEX(員工計劃[],,1),0),MATCH(員工差異[[#Headers],[8 月]],員工計劃[#Headers],0))-INDEX(員工實際數字[],MATCH(INDEX(員工差異[],ROW()-ROW(員工差異[[#Headers],[8 月]]),1),INDEX(員工計劃[],,1),0),MATCH(員工差異[[#Headers],[8 月]],員工實際數字[#Headers],0))</calculatedColumnFormula>
    </tableColumn>
    <tableColumn id="10" xr3:uid="{00000000-0010-0000-0800-00000A000000}" name="9 月" totalsRowFunction="sum" dataDxfId="136" totalsRowDxfId="135">
      <calculatedColumnFormula>INDEX(員工計劃[],MATCH(INDEX(員工差異[],ROW()-ROW(員工差異[[#Headers],[9 月]]),1),INDEX(員工計劃[],,1),0),MATCH(員工差異[[#Headers],[9 月]],員工計劃[#Headers],0))-INDEX(員工實際數字[],MATCH(INDEX(員工差異[],ROW()-ROW(員工差異[[#Headers],[9 月]]),1),INDEX(員工計劃[],,1),0),MATCH(員工差異[[#Headers],[9 月]],員工實際數字[#Headers],0))</calculatedColumnFormula>
    </tableColumn>
    <tableColumn id="11" xr3:uid="{00000000-0010-0000-0800-00000B000000}" name="10 月" totalsRowFunction="sum" dataDxfId="134" totalsRowDxfId="133">
      <calculatedColumnFormula>INDEX(員工計劃[],MATCH(INDEX(員工差異[],ROW()-ROW(員工差異[[#Headers],[10 月]]),1),INDEX(員工計劃[],,1),0),MATCH(員工差異[[#Headers],[10 月]],員工計劃[#Headers],0))-INDEX(員工實際數字[],MATCH(INDEX(員工差異[],ROW()-ROW(員工差異[[#Headers],[10 月]]),1),INDEX(員工計劃[],,1),0),MATCH(員工差異[[#Headers],[10 月]],員工實際數字[#Headers],0))</calculatedColumnFormula>
    </tableColumn>
    <tableColumn id="12" xr3:uid="{00000000-0010-0000-0800-00000C000000}" name="11 月" totalsRowFunction="sum" dataDxfId="132" totalsRowDxfId="131">
      <calculatedColumnFormula>INDEX(員工計劃[],MATCH(INDEX(員工差異[],ROW()-ROW(員工差異[[#Headers],[11 月]]),1),INDEX(員工計劃[],,1),0),MATCH(員工差異[[#Headers],[11 月]],員工計劃[#Headers],0))-INDEX(員工實際數字[],MATCH(INDEX(員工差異[],ROW()-ROW(員工差異[[#Headers],[11 月]]),1),INDEX(員工計劃[],,1),0),MATCH(員工差異[[#Headers],[11 月]],員工實際數字[#Headers],0))</calculatedColumnFormula>
    </tableColumn>
    <tableColumn id="13" xr3:uid="{00000000-0010-0000-0800-00000D000000}" name="12 月" totalsRowFunction="sum" dataDxfId="130" totalsRowDxfId="129">
      <calculatedColumnFormula>INDEX(員工計劃[],MATCH(INDEX(員工差異[],ROW()-ROW(員工差異[[#Headers],[12 月]]),1),INDEX(員工計劃[],,1),0),MATCH(員工差異[[#Headers],[12 月]],員工計劃[#Headers],0))-INDEX(員工實際數字[],MATCH(INDEX(員工差異[],ROW()-ROW(員工差異[[#Headers],[12 月]]),1),INDEX(員工計劃[],,1),0),MATCH(員工差異[[#Headers],[12 月]],員工實際數字[#Headers],0))</calculatedColumnFormula>
    </tableColumn>
    <tableColumn id="14" xr3:uid="{00000000-0010-0000-0800-00000E000000}" name="年度" totalsRowFunction="sum" dataDxfId="128" totalsRowDxfId="127">
      <calculatedColumnFormula>SUM(員工差異[[#This Row],[1 月]:[12 月]])</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會自動計算此表格中的每月員工成本差異"/>
    </ext>
  </extLst>
</table>
</file>

<file path=xl/tables/table12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辦公室差異" displayName="辦公室差異" ref="B10:O19" totalsRowCount="1" headerRowDxfId="126" dataDxfId="124" totalsRowDxfId="122" headerRowBorderDxfId="125" tableBorderDxfId="123" totalsRowBorderDxfId="121">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辦公室成本" totalsRowLabel="小計" dataDxfId="120" totalsRowDxfId="119"/>
    <tableColumn id="2" xr3:uid="{00000000-0010-0000-0900-000002000000}" name="1 月" totalsRowFunction="sum" dataDxfId="118" totalsRowDxfId="117">
      <calculatedColumnFormula>INDEX(辦公室計劃[],MATCH(INDEX(辦公室差異[],ROW()-ROW(辦公室差異[[#Headers],[1 月]]),1),INDEX(辦公室計劃[],,1),0),MATCH(辦公室差異[[#Headers],[1 月]],辦公室計劃[#Headers],0))-INDEX(辦公室實際數字[],MATCH(INDEX(辦公室差異[],ROW()-ROW(辦公室差異[[#Headers],[1 月]]),1),INDEX(辦公室計劃[],,1),0),MATCH(辦公室差異[[#Headers],[1 月]],辦公室實際數字[#Headers],0))</calculatedColumnFormula>
    </tableColumn>
    <tableColumn id="3" xr3:uid="{00000000-0010-0000-0900-000003000000}" name="2 月" totalsRowFunction="sum" dataDxfId="116" totalsRowDxfId="115">
      <calculatedColumnFormula>INDEX(辦公室計劃[],MATCH(INDEX(辦公室差異[],ROW()-ROW(辦公室差異[[#Headers],[2 月]]),1),INDEX(辦公室計劃[],,1),0),MATCH(辦公室差異[[#Headers],[2 月]],辦公室計劃[#Headers],0))-INDEX(辦公室實際數字[],MATCH(INDEX(辦公室差異[],ROW()-ROW(辦公室差異[[#Headers],[2 月]]),1),INDEX(辦公室計劃[],,1),0),MATCH(辦公室差異[[#Headers],[2 月]],辦公室實際數字[#Headers],0))</calculatedColumnFormula>
    </tableColumn>
    <tableColumn id="4" xr3:uid="{00000000-0010-0000-0900-000004000000}" name="3 月" totalsRowFunction="sum" dataDxfId="114" totalsRowDxfId="113">
      <calculatedColumnFormula>INDEX(辦公室計劃[],MATCH(INDEX(辦公室差異[],ROW()-ROW(辦公室差異[[#Headers],[3 月]]),1),INDEX(辦公室計劃[],,1),0),MATCH(辦公室差異[[#Headers],[3 月]],辦公室計劃[#Headers],0))-INDEX(辦公室實際數字[],MATCH(INDEX(辦公室差異[],ROW()-ROW(辦公室差異[[#Headers],[3 月]]),1),INDEX(辦公室計劃[],,1),0),MATCH(辦公室差異[[#Headers],[3 月]],辦公室實際數字[#Headers],0))</calculatedColumnFormula>
    </tableColumn>
    <tableColumn id="5" xr3:uid="{00000000-0010-0000-0900-000005000000}" name="4 月" totalsRowFunction="sum" dataDxfId="112" totalsRowDxfId="111">
      <calculatedColumnFormula>INDEX(辦公室計劃[],MATCH(INDEX(辦公室差異[],ROW()-ROW(辦公室差異[[#Headers],[4 月]]),1),INDEX(辦公室計劃[],,1),0),MATCH(辦公室差異[[#Headers],[4 月]],辦公室計劃[#Headers],0))-INDEX(辦公室實際數字[],MATCH(INDEX(辦公室差異[],ROW()-ROW(辦公室差異[[#Headers],[4 月]]),1),INDEX(辦公室計劃[],,1),0),MATCH(辦公室差異[[#Headers],[4 月]],辦公室實際數字[#Headers],0))</calculatedColumnFormula>
    </tableColumn>
    <tableColumn id="6" xr3:uid="{00000000-0010-0000-0900-000006000000}" name="5 月" totalsRowFunction="sum" dataDxfId="110" totalsRowDxfId="109">
      <calculatedColumnFormula>INDEX(辦公室計劃[],MATCH(INDEX(辦公室差異[],ROW()-ROW(辦公室差異[[#Headers],[5 月]]),1),INDEX(辦公室計劃[],,1),0),MATCH(辦公室差異[[#Headers],[5 月]],辦公室計劃[#Headers],0))-INDEX(辦公室實際數字[],MATCH(INDEX(辦公室差異[],ROW()-ROW(辦公室差異[[#Headers],[5 月]]),1),INDEX(辦公室計劃[],,1),0),MATCH(辦公室差異[[#Headers],[5 月]],辦公室實際數字[#Headers],0))</calculatedColumnFormula>
    </tableColumn>
    <tableColumn id="7" xr3:uid="{00000000-0010-0000-0900-000007000000}" name="6 月" totalsRowFunction="sum" dataDxfId="108" totalsRowDxfId="107">
      <calculatedColumnFormula>INDEX(辦公室計劃[],MATCH(INDEX(辦公室差異[],ROW()-ROW(辦公室差異[[#Headers],[6 月]]),1),INDEX(辦公室計劃[],,1),0),MATCH(辦公室差異[[#Headers],[6 月]],辦公室計劃[#Headers],0))-INDEX(辦公室實際數字[],MATCH(INDEX(辦公室差異[],ROW()-ROW(辦公室差異[[#Headers],[6 月]]),1),INDEX(辦公室計劃[],,1),0),MATCH(辦公室差異[[#Headers],[6 月]],辦公室實際數字[#Headers],0))</calculatedColumnFormula>
    </tableColumn>
    <tableColumn id="8" xr3:uid="{00000000-0010-0000-0900-000008000000}" name="7 月" totalsRowFunction="sum" dataDxfId="106" totalsRowDxfId="105">
      <calculatedColumnFormula>INDEX(辦公室計劃[],MATCH(INDEX(辦公室差異[],ROW()-ROW(辦公室差異[[#Headers],[7 月]]),1),INDEX(辦公室計劃[],,1),0),MATCH(辦公室差異[[#Headers],[7 月]],辦公室計劃[#Headers],0))-INDEX(辦公室實際數字[],MATCH(INDEX(辦公室差異[],ROW()-ROW(辦公室差異[[#Headers],[7 月]]),1),INDEX(辦公室計劃[],,1),0),MATCH(辦公室差異[[#Headers],[7 月]],辦公室實際數字[#Headers],0))</calculatedColumnFormula>
    </tableColumn>
    <tableColumn id="9" xr3:uid="{00000000-0010-0000-0900-000009000000}" name="8 月" totalsRowFunction="sum" dataDxfId="104" totalsRowDxfId="103">
      <calculatedColumnFormula>INDEX(辦公室計劃[],MATCH(INDEX(辦公室差異[],ROW()-ROW(辦公室差異[[#Headers],[8 月]]),1),INDEX(辦公室計劃[],,1),0),MATCH(辦公室差異[[#Headers],[8 月]],辦公室計劃[#Headers],0))-INDEX(辦公室實際數字[],MATCH(INDEX(辦公室差異[],ROW()-ROW(辦公室差異[[#Headers],[8 月]]),1),INDEX(辦公室計劃[],,1),0),MATCH(辦公室差異[[#Headers],[8 月]],辦公室實際數字[#Headers],0))</calculatedColumnFormula>
    </tableColumn>
    <tableColumn id="10" xr3:uid="{00000000-0010-0000-0900-00000A000000}" name="9 月" totalsRowFunction="sum" dataDxfId="102" totalsRowDxfId="101">
      <calculatedColumnFormula>INDEX(辦公室計劃[],MATCH(INDEX(辦公室差異[],ROW()-ROW(辦公室差異[[#Headers],[9 月]]),1),INDEX(辦公室計劃[],,1),0),MATCH(辦公室差異[[#Headers],[9 月]],辦公室計劃[#Headers],0))-INDEX(辦公室實際數字[],MATCH(INDEX(辦公室差異[],ROW()-ROW(辦公室差異[[#Headers],[9 月]]),1),INDEX(辦公室計劃[],,1),0),MATCH(辦公室差異[[#Headers],[9 月]],辦公室實際數字[#Headers],0))</calculatedColumnFormula>
    </tableColumn>
    <tableColumn id="11" xr3:uid="{00000000-0010-0000-0900-00000B000000}" name="10 月" totalsRowFunction="sum" dataDxfId="100" totalsRowDxfId="99">
      <calculatedColumnFormula>INDEX(辦公室計劃[],MATCH(INDEX(辦公室差異[],ROW()-ROW(辦公室差異[[#Headers],[10 月]]),1),INDEX(辦公室計劃[],,1),0),MATCH(辦公室差異[[#Headers],[10 月]],辦公室計劃[#Headers],0))-INDEX(辦公室實際數字[],MATCH(INDEX(辦公室差異[],ROW()-ROW(辦公室差異[[#Headers],[10 月]]),1),INDEX(辦公室計劃[],,1),0),MATCH(辦公室差異[[#Headers],[10 月]],辦公室實際數字[#Headers],0))</calculatedColumnFormula>
    </tableColumn>
    <tableColumn id="12" xr3:uid="{00000000-0010-0000-0900-00000C000000}" name="11 月" totalsRowFunction="sum" dataDxfId="98" totalsRowDxfId="97">
      <calculatedColumnFormula>INDEX(辦公室計劃[],MATCH(INDEX(辦公室差異[],ROW()-ROW(辦公室差異[[#Headers],[11 月]]),1),INDEX(辦公室計劃[],,1),0),MATCH(辦公室差異[[#Headers],[11 月]],辦公室計劃[#Headers],0))-INDEX(辦公室實際數字[],MATCH(INDEX(辦公室差異[],ROW()-ROW(辦公室差異[[#Headers],[11 月]]),1),INDEX(辦公室計劃[],,1),0),MATCH(辦公室差異[[#Headers],[11 月]],辦公室實際數字[#Headers],0))</calculatedColumnFormula>
    </tableColumn>
    <tableColumn id="13" xr3:uid="{00000000-0010-0000-0900-00000D000000}" name="12 月" totalsRowFunction="sum" dataDxfId="96" totalsRowDxfId="95">
      <calculatedColumnFormula>INDEX(辦公室計劃[],MATCH(INDEX(辦公室差異[],ROW()-ROW(辦公室差異[[#Headers],[12 月]]),1),INDEX(辦公室計劃[],,1),0),MATCH(辦公室差異[[#Headers],[12 月]],辦公室計劃[#Headers],0))-INDEX(辦公室實際數字[],MATCH(INDEX(辦公室差異[],ROW()-ROW(辦公室差異[[#Headers],[12 月]]),1),INDEX(辦公室計劃[],,1),0),MATCH(辦公室差異[[#Headers],[12 月]],辦公室實際數字[#Headers],0))</calculatedColumnFormula>
    </tableColumn>
    <tableColumn id="14" xr3:uid="{00000000-0010-0000-0900-00000E000000}" name="年度" totalsRowFunction="sum" dataDxfId="94" totalsRowDxfId="93">
      <calculatedColumnFormula>SUM(辦公室差異[[#This Row],[1 月]:[12 月]])</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會自動計算此表格中的每月辦公室成本差異"/>
    </ext>
  </extLst>
</table>
</file>

<file path=xl/tables/table13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行銷差異" displayName="行銷差異" ref="B21:O28" totalsRowCount="1" headerRowDxfId="92" dataDxfId="90" totalsRowDxfId="88" headerRowBorderDxfId="91" tableBorderDxfId="89" totalsRowBorderDxfId="87">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行銷成本" totalsRowLabel="小計" dataDxfId="86" totalsRowDxfId="85"/>
    <tableColumn id="2" xr3:uid="{00000000-0010-0000-0A00-000002000000}" name="1 月" totalsRowFunction="sum" dataDxfId="84" totalsRowDxfId="83">
      <calculatedColumnFormula>INDEX(行銷計劃[],MATCH(INDEX(行銷差異[],ROW()-ROW(行銷差異[[#Headers],[1 月]]),1),INDEX(行銷計劃[],,1),0),MATCH(行銷差異[[#Headers],[1 月]],行銷計劃[#Headers],0))-INDEX(行銷實際數字[],MATCH(INDEX(行銷差異[],ROW()-ROW(行銷差異[[#Headers],[1 月]]),1),INDEX(行銷計劃[],,1),0),MATCH(行銷差異[[#Headers],[1 月]],行銷實際數字[#Headers],0))</calculatedColumnFormula>
    </tableColumn>
    <tableColumn id="3" xr3:uid="{00000000-0010-0000-0A00-000003000000}" name="2 月" totalsRowFunction="sum" dataDxfId="82" totalsRowDxfId="81">
      <calculatedColumnFormula>INDEX(行銷計劃[],MATCH(INDEX(行銷差異[],ROW()-ROW(行銷差異[[#Headers],[2 月]]),1),INDEX(行銷計劃[],,1),0),MATCH(行銷差異[[#Headers],[2 月]],行銷計劃[#Headers],0))-INDEX(行銷實際數字[],MATCH(INDEX(行銷差異[],ROW()-ROW(行銷差異[[#Headers],[2 月]]),1),INDEX(行銷計劃[],,1),0),MATCH(行銷差異[[#Headers],[2 月]],行銷實際數字[#Headers],0))</calculatedColumnFormula>
    </tableColumn>
    <tableColumn id="4" xr3:uid="{00000000-0010-0000-0A00-000004000000}" name="3 月" totalsRowFunction="sum" dataDxfId="80" totalsRowDxfId="79">
      <calculatedColumnFormula>INDEX(行銷計劃[],MATCH(INDEX(行銷差異[],ROW()-ROW(行銷差異[[#Headers],[3 月]]),1),INDEX(行銷計劃[],,1),0),MATCH(行銷差異[[#Headers],[3 月]],行銷計劃[#Headers],0))-INDEX(行銷實際數字[],MATCH(INDEX(行銷差異[],ROW()-ROW(行銷差異[[#Headers],[3 月]]),1),INDEX(行銷計劃[],,1),0),MATCH(行銷差異[[#Headers],[3 月]],行銷實際數字[#Headers],0))</calculatedColumnFormula>
    </tableColumn>
    <tableColumn id="5" xr3:uid="{00000000-0010-0000-0A00-000005000000}" name="4 月" totalsRowFunction="sum" dataDxfId="78" totalsRowDxfId="77">
      <calculatedColumnFormula>INDEX(行銷計劃[],MATCH(INDEX(行銷差異[],ROW()-ROW(行銷差異[[#Headers],[4 月]]),1),INDEX(行銷計劃[],,1),0),MATCH(行銷差異[[#Headers],[4 月]],行銷計劃[#Headers],0))-INDEX(行銷實際數字[],MATCH(INDEX(行銷差異[],ROW()-ROW(行銷差異[[#Headers],[4 月]]),1),INDEX(行銷計劃[],,1),0),MATCH(行銷差異[[#Headers],[4 月]],行銷實際數字[#Headers],0))</calculatedColumnFormula>
    </tableColumn>
    <tableColumn id="6" xr3:uid="{00000000-0010-0000-0A00-000006000000}" name="5 月" totalsRowFunction="sum" dataDxfId="76" totalsRowDxfId="75">
      <calculatedColumnFormula>INDEX(行銷計劃[],MATCH(INDEX(行銷差異[],ROW()-ROW(行銷差異[[#Headers],[5 月]]),1),INDEX(行銷計劃[],,1),0),MATCH(行銷差異[[#Headers],[5 月]],行銷計劃[#Headers],0))-INDEX(行銷實際數字[],MATCH(INDEX(行銷差異[],ROW()-ROW(行銷差異[[#Headers],[5 月]]),1),INDEX(行銷計劃[],,1),0),MATCH(行銷差異[[#Headers],[5 月]],行銷實際數字[#Headers],0))</calculatedColumnFormula>
    </tableColumn>
    <tableColumn id="7" xr3:uid="{00000000-0010-0000-0A00-000007000000}" name="6 月" totalsRowFunction="sum" dataDxfId="74" totalsRowDxfId="73">
      <calculatedColumnFormula>INDEX(行銷計劃[],MATCH(INDEX(行銷差異[],ROW()-ROW(行銷差異[[#Headers],[6 月]]),1),INDEX(行銷計劃[],,1),0),MATCH(行銷差異[[#Headers],[6 月]],行銷計劃[#Headers],0))-INDEX(行銷實際數字[],MATCH(INDEX(行銷差異[],ROW()-ROW(行銷差異[[#Headers],[6 月]]),1),INDEX(行銷計劃[],,1),0),MATCH(行銷差異[[#Headers],[6 月]],行銷實際數字[#Headers],0))</calculatedColumnFormula>
    </tableColumn>
    <tableColumn id="8" xr3:uid="{00000000-0010-0000-0A00-000008000000}" name="7 月" totalsRowFunction="sum" dataDxfId="72" totalsRowDxfId="71">
      <calculatedColumnFormula>INDEX(行銷計劃[],MATCH(INDEX(行銷差異[],ROW()-ROW(行銷差異[[#Headers],[7 月]]),1),INDEX(行銷計劃[],,1),0),MATCH(行銷差異[[#Headers],[7 月]],行銷計劃[#Headers],0))-INDEX(行銷實際數字[],MATCH(INDEX(行銷差異[],ROW()-ROW(行銷差異[[#Headers],[7 月]]),1),INDEX(行銷計劃[],,1),0),MATCH(行銷差異[[#Headers],[7 月]],行銷實際數字[#Headers],0))</calculatedColumnFormula>
    </tableColumn>
    <tableColumn id="9" xr3:uid="{00000000-0010-0000-0A00-000009000000}" name="8 月" totalsRowFunction="sum" dataDxfId="70" totalsRowDxfId="69">
      <calculatedColumnFormula>INDEX(行銷計劃[],MATCH(INDEX(行銷差異[],ROW()-ROW(行銷差異[[#Headers],[8 月]]),1),INDEX(行銷計劃[],,1),0),MATCH(行銷差異[[#Headers],[8 月]],行銷計劃[#Headers],0))-INDEX(行銷實際數字[],MATCH(INDEX(行銷差異[],ROW()-ROW(行銷差異[[#Headers],[8 月]]),1),INDEX(行銷計劃[],,1),0),MATCH(行銷差異[[#Headers],[8 月]],行銷實際數字[#Headers],0))</calculatedColumnFormula>
    </tableColumn>
    <tableColumn id="10" xr3:uid="{00000000-0010-0000-0A00-00000A000000}" name="9 月" totalsRowFunction="sum" dataDxfId="68" totalsRowDxfId="67">
      <calculatedColumnFormula>INDEX(行銷計劃[],MATCH(INDEX(行銷差異[],ROW()-ROW(行銷差異[[#Headers],[9 月]]),1),INDEX(行銷計劃[],,1),0),MATCH(行銷差異[[#Headers],[9 月]],行銷計劃[#Headers],0))-INDEX(行銷實際數字[],MATCH(INDEX(行銷差異[],ROW()-ROW(行銷差異[[#Headers],[9 月]]),1),INDEX(行銷計劃[],,1),0),MATCH(行銷差異[[#Headers],[9 月]],行銷實際數字[#Headers],0))</calculatedColumnFormula>
    </tableColumn>
    <tableColumn id="11" xr3:uid="{00000000-0010-0000-0A00-00000B000000}" name="10 月" totalsRowFunction="sum" dataDxfId="66" totalsRowDxfId="65">
      <calculatedColumnFormula>INDEX(行銷計劃[],MATCH(INDEX(行銷差異[],ROW()-ROW(行銷差異[[#Headers],[10 月]]),1),INDEX(行銷計劃[],,1),0),MATCH(行銷差異[[#Headers],[10 月]],行銷計劃[#Headers],0))-INDEX(行銷實際數字[],MATCH(INDEX(行銷差異[],ROW()-ROW(行銷差異[[#Headers],[10 月]]),1),INDEX(行銷計劃[],,1),0),MATCH(行銷差異[[#Headers],[10 月]],行銷實際數字[#Headers],0))</calculatedColumnFormula>
    </tableColumn>
    <tableColumn id="12" xr3:uid="{00000000-0010-0000-0A00-00000C000000}" name="11 月" totalsRowFunction="sum" dataDxfId="64" totalsRowDxfId="63">
      <calculatedColumnFormula>INDEX(行銷計劃[],MATCH(INDEX(行銷差異[],ROW()-ROW(行銷差異[[#Headers],[11 月]]),1),INDEX(行銷計劃[],,1),0),MATCH(行銷差異[[#Headers],[11 月]],行銷計劃[#Headers],0))-INDEX(行銷實際數字[],MATCH(INDEX(行銷差異[],ROW()-ROW(行銷差異[[#Headers],[11 月]]),1),INDEX(行銷計劃[],,1),0),MATCH(行銷差異[[#Headers],[11 月]],行銷實際數字[#Headers],0))</calculatedColumnFormula>
    </tableColumn>
    <tableColumn id="13" xr3:uid="{00000000-0010-0000-0A00-00000D000000}" name="12 月" totalsRowFunction="sum" dataDxfId="62" totalsRowDxfId="61">
      <calculatedColumnFormula>INDEX(行銷計劃[],MATCH(INDEX(行銷差異[],ROW()-ROW(行銷差異[[#Headers],[12 月]]),1),INDEX(行銷計劃[],,1),0),MATCH(行銷差異[[#Headers],[12 月]],行銷計劃[#Headers],0))-INDEX(行銷實際數字[],MATCH(INDEX(行銷差異[],ROW()-ROW(行銷差異[[#Headers],[12 月]]),1),INDEX(行銷計劃[],,1),0),MATCH(行銷差異[[#Headers],[12 月]],行銷實際數字[#Headers],0))</calculatedColumnFormula>
    </tableColumn>
    <tableColumn id="14" xr3:uid="{00000000-0010-0000-0A00-00000E000000}" name="年度" totalsRowFunction="sum" dataDxfId="60" totalsRowDxfId="59">
      <calculatedColumnFormula>SUM(行銷差異[[#This Row],[1 月]:[12 月]])</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會自動計算此表格中的每月行銷成本差異"/>
    </ext>
  </extLst>
</table>
</file>

<file path=xl/tables/table14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教育訓練與差旅差異" displayName="教育訓練與差旅差異" ref="B30:O33" totalsRowCount="1" headerRowDxfId="58" dataDxfId="56" totalsRowDxfId="54" headerRowBorderDxfId="57" tableBorderDxfId="55" totalsRowBorderDxfId="53">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教育訓練/差旅" totalsRowLabel="小計" dataDxfId="52" totalsRowDxfId="51"/>
    <tableColumn id="2" xr3:uid="{00000000-0010-0000-0B00-000002000000}" name="1 月" totalsRowFunction="sum" dataDxfId="50" totalsRowDxfId="49">
      <calculatedColumnFormula>INDEX(教育訓練與差旅計劃[],MATCH(INDEX(教育訓練與差旅差異[],ROW()-ROW(教育訓練與差旅差異[[#Headers],[1 月]]),1),INDEX(教育訓練與差旅計劃[],,1),0),MATCH(教育訓練與差旅差異[[#Headers],[1 月]],教育訓練與差旅計劃[#Headers],0))-INDEX(教育訓練與差旅實際數字[],MATCH(INDEX(教育訓練與差旅差異[],ROW()-ROW(教育訓練與差旅差異[[#Headers],[1 月]]),1),INDEX(教育訓練與差旅計劃[],,1),0),MATCH(教育訓練與差旅差異[[#Headers],[1 月]],教育訓練與差旅實際數字[#Headers],0))</calculatedColumnFormula>
    </tableColumn>
    <tableColumn id="3" xr3:uid="{00000000-0010-0000-0B00-000003000000}" name="2 月" totalsRowFunction="sum" dataDxfId="48" totalsRowDxfId="47">
      <calculatedColumnFormula>INDEX(教育訓練與差旅計劃[],MATCH(INDEX(教育訓練與差旅差異[],ROW()-ROW(教育訓練與差旅差異[[#Headers],[2 月]]),1),INDEX(教育訓練與差旅計劃[],,1),0),MATCH(教育訓練與差旅差異[[#Headers],[2 月]],教育訓練與差旅計劃[#Headers],0))-INDEX(教育訓練與差旅實際數字[],MATCH(INDEX(教育訓練與差旅差異[],ROW()-ROW(教育訓練與差旅差異[[#Headers],[2 月]]),1),INDEX(教育訓練與差旅計劃[],,1),0),MATCH(教育訓練與差旅差異[[#Headers],[2 月]],教育訓練與差旅實際數字[#Headers],0))</calculatedColumnFormula>
    </tableColumn>
    <tableColumn id="4" xr3:uid="{00000000-0010-0000-0B00-000004000000}" name="3 月" totalsRowFunction="sum" dataDxfId="46" totalsRowDxfId="45">
      <calculatedColumnFormula>INDEX(教育訓練與差旅計劃[],MATCH(INDEX(教育訓練與差旅差異[],ROW()-ROW(教育訓練與差旅差異[[#Headers],[3 月]]),1),INDEX(教育訓練與差旅計劃[],,1),0),MATCH(教育訓練與差旅差異[[#Headers],[3 月]],教育訓練與差旅計劃[#Headers],0))-INDEX(教育訓練與差旅實際數字[],MATCH(INDEX(教育訓練與差旅差異[],ROW()-ROW(教育訓練與差旅差異[[#Headers],[3 月]]),1),INDEX(教育訓練與差旅計劃[],,1),0),MATCH(教育訓練與差旅差異[[#Headers],[3 月]],教育訓練與差旅實際數字[#Headers],0))</calculatedColumnFormula>
    </tableColumn>
    <tableColumn id="5" xr3:uid="{00000000-0010-0000-0B00-000005000000}" name="4 月" totalsRowFunction="sum" dataDxfId="44" totalsRowDxfId="43">
      <calculatedColumnFormula>INDEX(教育訓練與差旅計劃[],MATCH(INDEX(教育訓練與差旅差異[],ROW()-ROW(教育訓練與差旅差異[[#Headers],[4 月]]),1),INDEX(教育訓練與差旅計劃[],,1),0),MATCH(教育訓練與差旅差異[[#Headers],[4 月]],教育訓練與差旅計劃[#Headers],0))-INDEX(教育訓練與差旅實際數字[],MATCH(INDEX(教育訓練與差旅差異[],ROW()-ROW(教育訓練與差旅差異[[#Headers],[4 月]]),1),INDEX(教育訓練與差旅計劃[],,1),0),MATCH(教育訓練與差旅差異[[#Headers],[4 月]],教育訓練與差旅實際數字[#Headers],0))</calculatedColumnFormula>
    </tableColumn>
    <tableColumn id="6" xr3:uid="{00000000-0010-0000-0B00-000006000000}" name="5 月" totalsRowFunction="sum" dataDxfId="42" totalsRowDxfId="41">
      <calculatedColumnFormula>INDEX(教育訓練與差旅計劃[],MATCH(INDEX(教育訓練與差旅差異[],ROW()-ROW(教育訓練與差旅差異[[#Headers],[5 月]]),1),INDEX(教育訓練與差旅計劃[],,1),0),MATCH(教育訓練與差旅差異[[#Headers],[5 月]],教育訓練與差旅計劃[#Headers],0))-INDEX(教育訓練與差旅實際數字[],MATCH(INDEX(教育訓練與差旅差異[],ROW()-ROW(教育訓練與差旅差異[[#Headers],[5 月]]),1),INDEX(教育訓練與差旅計劃[],,1),0),MATCH(教育訓練與差旅差異[[#Headers],[5 月]],教育訓練與差旅實際數字[#Headers],0))</calculatedColumnFormula>
    </tableColumn>
    <tableColumn id="7" xr3:uid="{00000000-0010-0000-0B00-000007000000}" name="6 月" totalsRowFunction="sum" dataDxfId="40" totalsRowDxfId="39">
      <calculatedColumnFormula>INDEX(教育訓練與差旅計劃[],MATCH(INDEX(教育訓練與差旅差異[],ROW()-ROW(教育訓練與差旅差異[[#Headers],[6 月]]),1),INDEX(教育訓練與差旅計劃[],,1),0),MATCH(教育訓練與差旅差異[[#Headers],[6 月]],教育訓練與差旅計劃[#Headers],0))-INDEX(教育訓練與差旅實際數字[],MATCH(INDEX(教育訓練與差旅差異[],ROW()-ROW(教育訓練與差旅差異[[#Headers],[6 月]]),1),INDEX(教育訓練與差旅計劃[],,1),0),MATCH(教育訓練與差旅差異[[#Headers],[6 月]],教育訓練與差旅實際數字[#Headers],0))</calculatedColumnFormula>
    </tableColumn>
    <tableColumn id="8" xr3:uid="{00000000-0010-0000-0B00-000008000000}" name="7 月" totalsRowFunction="sum" dataDxfId="38" totalsRowDxfId="37">
      <calculatedColumnFormula>INDEX(教育訓練與差旅計劃[],MATCH(INDEX(教育訓練與差旅差異[],ROW()-ROW(教育訓練與差旅差異[[#Headers],[7 月]]),1),INDEX(教育訓練與差旅計劃[],,1),0),MATCH(教育訓練與差旅差異[[#Headers],[7 月]],教育訓練與差旅計劃[#Headers],0))-INDEX(教育訓練與差旅實際數字[],MATCH(INDEX(教育訓練與差旅差異[],ROW()-ROW(教育訓練與差旅差異[[#Headers],[7 月]]),1),INDEX(教育訓練與差旅計劃[],,1),0),MATCH(教育訓練與差旅差異[[#Headers],[7 月]],教育訓練與差旅實際數字[#Headers],0))</calculatedColumnFormula>
    </tableColumn>
    <tableColumn id="9" xr3:uid="{00000000-0010-0000-0B00-000009000000}" name="8 月" totalsRowFunction="sum" dataDxfId="36" totalsRowDxfId="35">
      <calculatedColumnFormula>INDEX(教育訓練與差旅計劃[],MATCH(INDEX(教育訓練與差旅差異[],ROW()-ROW(教育訓練與差旅差異[[#Headers],[8 月]]),1),INDEX(教育訓練與差旅計劃[],,1),0),MATCH(教育訓練與差旅差異[[#Headers],[8 月]],教育訓練與差旅計劃[#Headers],0))-INDEX(教育訓練與差旅實際數字[],MATCH(INDEX(教育訓練與差旅差異[],ROW()-ROW(教育訓練與差旅差異[[#Headers],[8 月]]),1),INDEX(教育訓練與差旅計劃[],,1),0),MATCH(教育訓練與差旅差異[[#Headers],[8 月]],教育訓練與差旅實際數字[#Headers],0))</calculatedColumnFormula>
    </tableColumn>
    <tableColumn id="10" xr3:uid="{00000000-0010-0000-0B00-00000A000000}" name="9 月" totalsRowFunction="sum" dataDxfId="34" totalsRowDxfId="33">
      <calculatedColumnFormula>INDEX(教育訓練與差旅計劃[],MATCH(INDEX(教育訓練與差旅差異[],ROW()-ROW(教育訓練與差旅差異[[#Headers],[9 月]]),1),INDEX(教育訓練與差旅計劃[],,1),0),MATCH(教育訓練與差旅差異[[#Headers],[9 月]],教育訓練與差旅計劃[#Headers],0))-INDEX(教育訓練與差旅實際數字[],MATCH(INDEX(教育訓練與差旅差異[],ROW()-ROW(教育訓練與差旅差異[[#Headers],[9 月]]),1),INDEX(教育訓練與差旅計劃[],,1),0),MATCH(教育訓練與差旅差異[[#Headers],[9 月]],教育訓練與差旅實際數字[#Headers],0))</calculatedColumnFormula>
    </tableColumn>
    <tableColumn id="11" xr3:uid="{00000000-0010-0000-0B00-00000B000000}" name="10 月" totalsRowFunction="sum" dataDxfId="32" totalsRowDxfId="31">
      <calculatedColumnFormula>INDEX(教育訓練與差旅計劃[],MATCH(INDEX(教育訓練與差旅差異[],ROW()-ROW(教育訓練與差旅差異[[#Headers],[10 月]]),1),INDEX(教育訓練與差旅計劃[],,1),0),MATCH(教育訓練與差旅差異[[#Headers],[10 月]],教育訓練與差旅計劃[#Headers],0))-INDEX(教育訓練與差旅實際數字[],MATCH(INDEX(教育訓練與差旅差異[],ROW()-ROW(教育訓練與差旅差異[[#Headers],[10 月]]),1),INDEX(教育訓練與差旅計劃[],,1),0),MATCH(教育訓練與差旅差異[[#Headers],[10 月]],教育訓練與差旅實際數字[#Headers],0))</calculatedColumnFormula>
    </tableColumn>
    <tableColumn id="12" xr3:uid="{00000000-0010-0000-0B00-00000C000000}" name="11 月" totalsRowFunction="sum" dataDxfId="30" totalsRowDxfId="29">
      <calculatedColumnFormula>INDEX(教育訓練與差旅計劃[],MATCH(INDEX(教育訓練與差旅差異[],ROW()-ROW(教育訓練與差旅差異[[#Headers],[11 月]]),1),INDEX(教育訓練與差旅計劃[],,1),0),MATCH(教育訓練與差旅差異[[#Headers],[11 月]],教育訓練與差旅計劃[#Headers],0))-INDEX(教育訓練與差旅實際數字[],MATCH(INDEX(教育訓練與差旅差異[],ROW()-ROW(教育訓練與差旅差異[[#Headers],[11 月]]),1),INDEX(教育訓練與差旅計劃[],,1),0),MATCH(教育訓練與差旅差異[[#Headers],[11 月]],教育訓練與差旅實際數字[#Headers],0))</calculatedColumnFormula>
    </tableColumn>
    <tableColumn id="13" xr3:uid="{00000000-0010-0000-0B00-00000D000000}" name="12 月" totalsRowFunction="sum" dataDxfId="28" totalsRowDxfId="27">
      <calculatedColumnFormula>INDEX(教育訓練與差旅計劃[],MATCH(INDEX(教育訓練與差旅差異[],ROW()-ROW(教育訓練與差旅差異[[#Headers],[12 月]]),1),INDEX(教育訓練與差旅計劃[],,1),0),MATCH(教育訓練與差旅差異[[#Headers],[12 月]],教育訓練與差旅計劃[#Headers],0))-INDEX(教育訓練與差旅實際數字[],MATCH(INDEX(教育訓練與差旅差異[],ROW()-ROW(教育訓練與差旅差異[[#Headers],[12 月]]),1),INDEX(教育訓練與差旅計劃[],,1),0),MATCH(教育訓練與差旅差異[[#Headers],[12 月]],教育訓練與差旅實際數字[#Headers],0))</calculatedColumnFormula>
    </tableColumn>
    <tableColumn id="14" xr3:uid="{00000000-0010-0000-0B00-00000E000000}" name="年度" totalsRowFunction="sum" dataDxfId="26" totalsRowDxfId="25">
      <calculatedColumnFormula>SUM(教育訓練與差旅差異[[#This Row],[1 月]:[12 月]])</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會自動計算此表格中的每月教育訓練與差旅成本差異"/>
    </ext>
  </extLst>
</table>
</file>

<file path=xl/tables/table15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總計差異" displayName="總計差異" ref="B35:O37" totalsRowShown="0" headerRowDxfId="24" dataDxfId="23" tableBorderDxfId="22">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總計" dataDxfId="21"/>
    <tableColumn id="2" xr3:uid="{AE0C21A5-398B-42DE-950D-8AE4AD1A8551}" name="1 月" dataDxfId="20">
      <calculatedColumnFormula>SUM($C35:C$36)</calculatedColumnFormula>
    </tableColumn>
    <tableColumn id="3" xr3:uid="{A43B0B0E-F35F-4E04-8A0D-11BB7356D5F1}" name="2 月" dataDxfId="19">
      <calculatedColumnFormula>SUM($C35:D$36)</calculatedColumnFormula>
    </tableColumn>
    <tableColumn id="4" xr3:uid="{F14459A4-8E61-4E04-9A53-A7DA16CE366A}" name="3 月" dataDxfId="18">
      <calculatedColumnFormula>SUM($C35:E$36)</calculatedColumnFormula>
    </tableColumn>
    <tableColumn id="5" xr3:uid="{1C90C974-8801-4A11-B3AF-1DC144BB0C14}" name="4 月" dataDxfId="17">
      <calculatedColumnFormula>SUM($C35:F$36)</calculatedColumnFormula>
    </tableColumn>
    <tableColumn id="6" xr3:uid="{C8E3F4F6-5F27-4CC7-9916-6D86833782C1}" name="5 月" dataDxfId="16">
      <calculatedColumnFormula>SUM($C35:G$36)</calculatedColumnFormula>
    </tableColumn>
    <tableColumn id="7" xr3:uid="{AF75D92B-7578-4087-BB78-DD5AD8165117}" name="6 月" dataDxfId="15">
      <calculatedColumnFormula>SUM($C35:H$36)</calculatedColumnFormula>
    </tableColumn>
    <tableColumn id="8" xr3:uid="{35F61ABA-09FB-4695-B0F5-A2C6B6580A2E}" name="7 月" dataDxfId="14">
      <calculatedColumnFormula>SUM($C35:I$36)</calculatedColumnFormula>
    </tableColumn>
    <tableColumn id="9" xr3:uid="{59F62437-45DC-439F-945A-D0E79C444E8E}" name="8 月" dataDxfId="13">
      <calculatedColumnFormula>SUM($C35:J$36)</calculatedColumnFormula>
    </tableColumn>
    <tableColumn id="10" xr3:uid="{2BF9DCC5-B211-44A6-BD40-E91602CDA85C}" name="9 月" dataDxfId="12">
      <calculatedColumnFormula>SUM($C35:K$36)</calculatedColumnFormula>
    </tableColumn>
    <tableColumn id="11" xr3:uid="{4280684A-CD23-4103-8664-029757D0A2A2}" name="10 月" dataDxfId="11">
      <calculatedColumnFormula>SUM($C35:L$36)</calculatedColumnFormula>
    </tableColumn>
    <tableColumn id="12" xr3:uid="{07DED434-EC8F-4DAF-83E3-E350A33F2EAE}" name="11 月" dataDxfId="10">
      <calculatedColumnFormula>SUM($C35:M$36)</calculatedColumnFormula>
    </tableColumn>
    <tableColumn id="13" xr3:uid="{32BA0102-0F05-43CF-91BA-724F1FE01DAA}" name="12 月" dataDxfId="9">
      <calculatedColumnFormula>SUM($C35:N$36)</calculatedColumnFormula>
    </tableColumn>
    <tableColumn id="14" xr3:uid="{57A0D710-AEB8-4057-928D-010058E02081}" name="年度" dataDxfId="8"/>
  </tableColumns>
  <tableStyleInfo showFirstColumn="1" showLastColumn="0" showRowStripes="0" showColumnStripes="0"/>
  <extLst>
    <ext xmlns:x14="http://schemas.microsoft.com/office/spreadsheetml/2009/9/main" uri="{504A1905-F514-4f6f-8877-14C23A59335A}">
      <x14:table altTextSummary="會自動計算此表格中的每月與總計費用差異"/>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辦公室計劃" displayName="辦公室計劃" ref="B10:O19" totalsRowCount="1" headerRowDxfId="459" dataDxfId="457" totalsRowDxfId="455" headerRowBorderDxfId="458" tableBorderDxfId="456" totalsRowBorderDxfId="454">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辦公室成本" totalsRowLabel="小計" dataDxfId="453" totalsRowDxfId="452"/>
    <tableColumn id="2" xr3:uid="{00000000-0010-0000-0000-000002000000}" name="1 月" totalsRowFunction="sum" dataDxfId="451" totalsRowDxfId="450"/>
    <tableColumn id="3" xr3:uid="{00000000-0010-0000-0000-000003000000}" name="2 月" totalsRowFunction="sum" dataDxfId="449" totalsRowDxfId="448"/>
    <tableColumn id="4" xr3:uid="{00000000-0010-0000-0000-000004000000}" name="3 月" totalsRowFunction="sum" dataDxfId="447" totalsRowDxfId="446"/>
    <tableColumn id="5" xr3:uid="{00000000-0010-0000-0000-000005000000}" name="4 月" totalsRowFunction="sum" dataDxfId="445" totalsRowDxfId="444"/>
    <tableColumn id="6" xr3:uid="{00000000-0010-0000-0000-000006000000}" name="5 月" totalsRowFunction="sum" dataDxfId="443" totalsRowDxfId="442"/>
    <tableColumn id="7" xr3:uid="{00000000-0010-0000-0000-000007000000}" name="6 月" totalsRowFunction="sum" dataDxfId="441" totalsRowDxfId="440"/>
    <tableColumn id="8" xr3:uid="{00000000-0010-0000-0000-000008000000}" name="7 月" totalsRowFunction="sum" dataDxfId="439" totalsRowDxfId="438"/>
    <tableColumn id="9" xr3:uid="{00000000-0010-0000-0000-000009000000}" name="8 月" totalsRowFunction="sum" dataDxfId="437" totalsRowDxfId="436"/>
    <tableColumn id="10" xr3:uid="{00000000-0010-0000-0000-00000A000000}" name="9 月" totalsRowFunction="sum" dataDxfId="435" totalsRowDxfId="434"/>
    <tableColumn id="11" xr3:uid="{00000000-0010-0000-0000-00000B000000}" name="10 月" totalsRowFunction="sum" dataDxfId="433" totalsRowDxfId="432"/>
    <tableColumn id="12" xr3:uid="{00000000-0010-0000-0000-00000C000000}" name="11 月" totalsRowFunction="sum" dataDxfId="431" totalsRowDxfId="430"/>
    <tableColumn id="13" xr3:uid="{00000000-0010-0000-0000-00000D000000}" name="12 月" totalsRowFunction="sum" dataDxfId="429" totalsRowDxfId="428"/>
    <tableColumn id="14" xr3:uid="{00000000-0010-0000-0000-00000E000000}" name="年度" totalsRowFunction="sum" dataDxfId="427" totalsRowDxfId="426">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在此表格中輸入計畫的每月辦公室成本。系統會在結尾自動計算總計"/>
    </ext>
  </extLst>
</table>
</file>

<file path=xl/tables/table16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分析" displayName="分析" ref="B5:F10" totalsRowShown="0" headerRowDxfId="1" dataDxfId="0" tableBorderDxfId="7">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支出類別" dataDxfId="6"/>
    <tableColumn id="2" xr3:uid="{71038352-BC76-49DD-9F6C-B394E5F033ED}" name="計劃費用" dataDxfId="5"/>
    <tableColumn id="3" xr3:uid="{19ED3EBC-BC10-47F6-9800-62129A32BC8E}" name="實際費用" dataDxfId="4"/>
    <tableColumn id="4" xr3:uid="{E8D5E1DD-7CB1-4A1A-8F42-EFBF70790FE7}" name="費用差異" dataDxfId="3">
      <calculatedColumnFormula>C6-D6</calculatedColumnFormula>
    </tableColumn>
    <tableColumn id="5" xr3:uid="{47E1881E-12A2-4F0E-8364-B79F2DC5D0B1}" name="差異百分比" dataDxfId="2">
      <calculatedColumnFormula>E6/C6</calculatedColumnFormula>
    </tableColumn>
  </tableColumns>
  <tableStyleInfo showFirstColumn="1" showLastColumn="0" showRowStripes="0" showColumnStripes="0"/>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行銷計劃" displayName="行銷計劃" ref="B21:O28" totalsRowCount="1" headerRowDxfId="425" dataDxfId="423" totalsRowDxfId="421" headerRowBorderDxfId="424" tableBorderDxfId="422" totalsRowBorderDxfId="420">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行銷成本" totalsRowLabel="小計" dataDxfId="419" totalsRowDxfId="418"/>
    <tableColumn id="2" xr3:uid="{00000000-0010-0000-0100-000002000000}" name="1 月" totalsRowFunction="sum" dataDxfId="417" totalsRowDxfId="416"/>
    <tableColumn id="3" xr3:uid="{00000000-0010-0000-0100-000003000000}" name="2 月" totalsRowFunction="sum" dataDxfId="415" totalsRowDxfId="414"/>
    <tableColumn id="4" xr3:uid="{00000000-0010-0000-0100-000004000000}" name="3 月" totalsRowFunction="sum" dataDxfId="413" totalsRowDxfId="412"/>
    <tableColumn id="5" xr3:uid="{00000000-0010-0000-0100-000005000000}" name="4 月" totalsRowFunction="sum" dataDxfId="411" totalsRowDxfId="410"/>
    <tableColumn id="6" xr3:uid="{00000000-0010-0000-0100-000006000000}" name="5 月" totalsRowFunction="sum" dataDxfId="409" totalsRowDxfId="408"/>
    <tableColumn id="7" xr3:uid="{00000000-0010-0000-0100-000007000000}" name="6 月" totalsRowFunction="sum" dataDxfId="407" totalsRowDxfId="406"/>
    <tableColumn id="8" xr3:uid="{00000000-0010-0000-0100-000008000000}" name="7 月" totalsRowFunction="sum" dataDxfId="405" totalsRowDxfId="404"/>
    <tableColumn id="9" xr3:uid="{00000000-0010-0000-0100-000009000000}" name="8 月" totalsRowFunction="sum" dataDxfId="403" totalsRowDxfId="402"/>
    <tableColumn id="10" xr3:uid="{00000000-0010-0000-0100-00000A000000}" name="9 月" totalsRowFunction="sum" dataDxfId="401" totalsRowDxfId="400"/>
    <tableColumn id="11" xr3:uid="{00000000-0010-0000-0100-00000B000000}" name="10 月" totalsRowFunction="sum" dataDxfId="399" totalsRowDxfId="398"/>
    <tableColumn id="12" xr3:uid="{00000000-0010-0000-0100-00000C000000}" name="11 月" totalsRowFunction="sum" dataDxfId="397" totalsRowDxfId="396"/>
    <tableColumn id="13" xr3:uid="{00000000-0010-0000-0100-00000D000000}" name="12 月" totalsRowFunction="sum" dataDxfId="395" totalsRowDxfId="394"/>
    <tableColumn id="14" xr3:uid="{00000000-0010-0000-0100-00000E000000}" name="年度" totalsRowFunction="sum" dataDxfId="393" totalsRowDxfId="392">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在此表格中輸入計畫的每月行銷成本。系統會在結尾自動計算總計"/>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教育訓練與差旅計劃" displayName="教育訓練與差旅計劃" ref="B30:O33" totalsRowCount="1" headerRowDxfId="391" dataDxfId="389" totalsRowDxfId="387" headerRowBorderDxfId="390" tableBorderDxfId="388" totalsRowBorderDxfId="386">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教育訓練/差旅" totalsRowLabel="小計" dataDxfId="385" totalsRowDxfId="384"/>
    <tableColumn id="2" xr3:uid="{00000000-0010-0000-0200-000002000000}" name="1 月" totalsRowFunction="sum" dataDxfId="383" totalsRowDxfId="382"/>
    <tableColumn id="3" xr3:uid="{00000000-0010-0000-0200-000003000000}" name="2 月" totalsRowFunction="sum" dataDxfId="381" totalsRowDxfId="380"/>
    <tableColumn id="4" xr3:uid="{00000000-0010-0000-0200-000004000000}" name="3 月" totalsRowFunction="sum" dataDxfId="379" totalsRowDxfId="378"/>
    <tableColumn id="5" xr3:uid="{00000000-0010-0000-0200-000005000000}" name="4 月" totalsRowFunction="sum" dataDxfId="377" totalsRowDxfId="376"/>
    <tableColumn id="6" xr3:uid="{00000000-0010-0000-0200-000006000000}" name="5 月" totalsRowFunction="sum" dataDxfId="375" totalsRowDxfId="374"/>
    <tableColumn id="7" xr3:uid="{00000000-0010-0000-0200-000007000000}" name="6 月" totalsRowFunction="sum" dataDxfId="373" totalsRowDxfId="372"/>
    <tableColumn id="8" xr3:uid="{00000000-0010-0000-0200-000008000000}" name="7 月" totalsRowFunction="sum" dataDxfId="371" totalsRowDxfId="370"/>
    <tableColumn id="9" xr3:uid="{00000000-0010-0000-0200-000009000000}" name="8 月" totalsRowFunction="sum" dataDxfId="369" totalsRowDxfId="368"/>
    <tableColumn id="10" xr3:uid="{00000000-0010-0000-0200-00000A000000}" name="9 月" totalsRowFunction="sum" dataDxfId="367" totalsRowDxfId="366"/>
    <tableColumn id="11" xr3:uid="{00000000-0010-0000-0200-00000B000000}" name="10 月" totalsRowFunction="sum" dataDxfId="365" totalsRowDxfId="364"/>
    <tableColumn id="12" xr3:uid="{00000000-0010-0000-0200-00000C000000}" name="11 月" totalsRowFunction="sum" dataDxfId="363" totalsRowDxfId="362"/>
    <tableColumn id="13" xr3:uid="{00000000-0010-0000-0200-00000D000000}" name="12 月" totalsRowFunction="sum" dataDxfId="361" totalsRowDxfId="360"/>
    <tableColumn id="14" xr3:uid="{00000000-0010-0000-0200-00000E000000}" name="年度" totalsRowFunction="sum" dataDxfId="359" totalsRowDxfId="358">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在此表格中輸入計畫的每月訓練和差旅費用。系統會在結尾自動計算總計"/>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員工計劃" displayName="員工計劃" ref="B5:O8" totalsRowCount="1" headerRowDxfId="357" dataDxfId="355" totalsRowDxfId="353" headerRowBorderDxfId="356" tableBorderDxfId="354" totalsRowBorderDxfId="352">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員工成本" totalsRowLabel="小計" dataDxfId="351" totalsRowDxfId="350"/>
    <tableColumn id="2" xr3:uid="{00000000-0010-0000-0300-000002000000}" name="1 月" totalsRowFunction="sum" dataDxfId="349" totalsRowDxfId="348">
      <calculatedColumnFormula>C5*0.27</calculatedColumnFormula>
    </tableColumn>
    <tableColumn id="3" xr3:uid="{00000000-0010-0000-0300-000003000000}" name="2 月" totalsRowFunction="sum" dataDxfId="347" totalsRowDxfId="346">
      <calculatedColumnFormula>D5*0.27</calculatedColumnFormula>
    </tableColumn>
    <tableColumn id="4" xr3:uid="{00000000-0010-0000-0300-000004000000}" name="3 月" totalsRowFunction="sum" dataDxfId="345" totalsRowDxfId="344">
      <calculatedColumnFormula>E5*0.27</calculatedColumnFormula>
    </tableColumn>
    <tableColumn id="5" xr3:uid="{00000000-0010-0000-0300-000005000000}" name="4 月" totalsRowFunction="sum" dataDxfId="343" totalsRowDxfId="342">
      <calculatedColumnFormula>F5*0.27</calculatedColumnFormula>
    </tableColumn>
    <tableColumn id="6" xr3:uid="{00000000-0010-0000-0300-000006000000}" name="5 月" totalsRowFunction="sum" dataDxfId="341" totalsRowDxfId="340">
      <calculatedColumnFormula>G5*0.27</calculatedColumnFormula>
    </tableColumn>
    <tableColumn id="7" xr3:uid="{00000000-0010-0000-0300-000007000000}" name="6 月" totalsRowFunction="sum" dataDxfId="339" totalsRowDxfId="338">
      <calculatedColumnFormula>H5*0.27</calculatedColumnFormula>
    </tableColumn>
    <tableColumn id="8" xr3:uid="{00000000-0010-0000-0300-000008000000}" name="7 月" totalsRowFunction="sum" dataDxfId="337" totalsRowDxfId="336">
      <calculatedColumnFormula>I5*0.27</calculatedColumnFormula>
    </tableColumn>
    <tableColumn id="9" xr3:uid="{00000000-0010-0000-0300-000009000000}" name="8 月" totalsRowFunction="sum" dataDxfId="335" totalsRowDxfId="334">
      <calculatedColumnFormula>J5*0.27</calculatedColumnFormula>
    </tableColumn>
    <tableColumn id="10" xr3:uid="{00000000-0010-0000-0300-00000A000000}" name="9 月" totalsRowFunction="sum" dataDxfId="333" totalsRowDxfId="332">
      <calculatedColumnFormula>K5*0.27</calculatedColumnFormula>
    </tableColumn>
    <tableColumn id="11" xr3:uid="{00000000-0010-0000-0300-00000B000000}" name="10 月" totalsRowFunction="sum" dataDxfId="331" totalsRowDxfId="330">
      <calculatedColumnFormula>L5*0.27</calculatedColumnFormula>
    </tableColumn>
    <tableColumn id="12" xr3:uid="{00000000-0010-0000-0300-00000C000000}" name="11 月" totalsRowFunction="sum" dataDxfId="329" totalsRowDxfId="328">
      <calculatedColumnFormula>M5*0.27</calculatedColumnFormula>
    </tableColumn>
    <tableColumn id="13" xr3:uid="{00000000-0010-0000-0300-00000D000000}" name="12 月" totalsRowFunction="sum" dataDxfId="327" totalsRowDxfId="326">
      <calculatedColumnFormula>N5*0.27</calculatedColumnFormula>
    </tableColumn>
    <tableColumn id="14" xr3:uid="{00000000-0010-0000-0300-00000E000000}" name="年度" totalsRowFunction="sum" dataDxfId="325" totalsRowDxfId="324">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在此表格中輸入計畫的每月員工成本。系統會在結尾自動計算總計"/>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計劃總計" displayName="計劃總計" ref="B35:O37" totalsRowShown="0" headerRowDxfId="323" dataDxfId="321" headerRowBorderDxfId="322" tableBorderDxfId="320" totalsRowBorderDxfId="319">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總計" dataDxfId="318"/>
    <tableColumn id="2" xr3:uid="{3CBCAAC6-5850-43CE-8A4B-7299FADFEA94}" name="1 月" dataDxfId="317">
      <calculatedColumnFormula>SUM($C35:C$36)</calculatedColumnFormula>
    </tableColumn>
    <tableColumn id="3" xr3:uid="{E78EAAAB-F732-4079-94F1-D17531764B41}" name="2 月" dataDxfId="316">
      <calculatedColumnFormula>SUM($C35:D$36)</calculatedColumnFormula>
    </tableColumn>
    <tableColumn id="4" xr3:uid="{7E178853-B334-4E02-A0B5-9E8AC39D6929}" name="3 月" dataDxfId="315">
      <calculatedColumnFormula>SUM($C35:E$36)</calculatedColumnFormula>
    </tableColumn>
    <tableColumn id="5" xr3:uid="{901BCAA1-7C45-46E6-9DAA-C055B5CC4D9E}" name="4 月" dataDxfId="314">
      <calculatedColumnFormula>SUM($C35:F$36)</calculatedColumnFormula>
    </tableColumn>
    <tableColumn id="6" xr3:uid="{FDC62F5A-FCA8-49DA-AFE4-FBDA22CB588C}" name="5 月" dataDxfId="313">
      <calculatedColumnFormula>SUM($C35:G$36)</calculatedColumnFormula>
    </tableColumn>
    <tableColumn id="7" xr3:uid="{6B7E4F62-6387-4545-9593-FCFE8EB0E87B}" name="6 月" dataDxfId="312">
      <calculatedColumnFormula>SUM($C35:H$36)</calculatedColumnFormula>
    </tableColumn>
    <tableColumn id="8" xr3:uid="{29C96D76-82C3-4C86-A866-135D2B5F6766}" name="7 月" dataDxfId="311">
      <calculatedColumnFormula>SUM($C35:I$36)</calculatedColumnFormula>
    </tableColumn>
    <tableColumn id="9" xr3:uid="{8EAF7A8A-BCFD-4A07-ADFE-7B3A8A367BB3}" name="8 月" dataDxfId="310">
      <calculatedColumnFormula>SUM($C35:J$36)</calculatedColumnFormula>
    </tableColumn>
    <tableColumn id="10" xr3:uid="{F40CD844-EFB4-4B82-8FEA-F130D1DDE9B6}" name="9 月" dataDxfId="309">
      <calculatedColumnFormula>SUM($C35:K$36)</calculatedColumnFormula>
    </tableColumn>
    <tableColumn id="11" xr3:uid="{42E3BDAF-1274-4A42-93E1-A70D8EFF4D76}" name="10 月" dataDxfId="308">
      <calculatedColumnFormula>SUM($C35:L$36)</calculatedColumnFormula>
    </tableColumn>
    <tableColumn id="12" xr3:uid="{4F7ADDB3-3705-4D5F-B56D-EBBC8E7DFAFB}" name="11 月" dataDxfId="307">
      <calculatedColumnFormula>SUM($C35:M$36)</calculatedColumnFormula>
    </tableColumn>
    <tableColumn id="13" xr3:uid="{56789314-1137-4ED4-BA2B-969187ADECB2}" name="12 月" dataDxfId="306">
      <calculatedColumnFormula>SUM($C35:N$36)</calculatedColumnFormula>
    </tableColumn>
    <tableColumn id="14" xr3:uid="{284F34B8-8D32-4E44-96FD-25CE69A931D2}" name="年度" dataDxfId="305"/>
  </tableColumns>
  <tableStyleInfo showFirstColumn="1" showLastColumn="0" showRowStripes="0" showColumnStripes="0"/>
  <extLst>
    <ext xmlns:x14="http://schemas.microsoft.com/office/spreadsheetml/2009/9/main" uri="{504A1905-F514-4f6f-8877-14C23A59335A}">
      <x14:table altTextSummary="會自動計算此表格中的每月與總計計劃費用"/>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辦公室實際" displayName="辦公室實際數字" ref="B10:O19" totalsRowCount="1" headerRowDxfId="304" dataDxfId="302" totalsRowDxfId="300" headerRowBorderDxfId="303" tableBorderDxfId="301" totalsRowBorderDxfId="299">
  <tableColumns count="14">
    <tableColumn id="1" xr3:uid="{00000000-0010-0000-0400-000001000000}" name="辦公室成本" totalsRowLabel="小計" totalsRowDxfId="298"/>
    <tableColumn id="2" xr3:uid="{00000000-0010-0000-0400-000002000000}" name="1 月" totalsRowFunction="sum" totalsRowDxfId="297"/>
    <tableColumn id="3" xr3:uid="{00000000-0010-0000-0400-000003000000}" name="2 月" totalsRowFunction="sum" totalsRowDxfId="296"/>
    <tableColumn id="4" xr3:uid="{00000000-0010-0000-0400-000004000000}" name="3 月" totalsRowFunction="sum" totalsRowDxfId="295"/>
    <tableColumn id="5" xr3:uid="{00000000-0010-0000-0400-000005000000}" name="4 月" totalsRowFunction="sum" totalsRowDxfId="294"/>
    <tableColumn id="6" xr3:uid="{00000000-0010-0000-0400-000006000000}" name="5 月" totalsRowFunction="sum" totalsRowDxfId="293"/>
    <tableColumn id="7" xr3:uid="{00000000-0010-0000-0400-000007000000}" name="6 月" totalsRowFunction="sum" totalsRowDxfId="292"/>
    <tableColumn id="8" xr3:uid="{00000000-0010-0000-0400-000008000000}" name="7 月" totalsRowFunction="sum" totalsRowDxfId="291"/>
    <tableColumn id="9" xr3:uid="{00000000-0010-0000-0400-000009000000}" name="8 月" totalsRowFunction="sum" totalsRowDxfId="290"/>
    <tableColumn id="10" xr3:uid="{00000000-0010-0000-0400-00000A000000}" name="9 月" totalsRowFunction="sum" totalsRowDxfId="289"/>
    <tableColumn id="11" xr3:uid="{00000000-0010-0000-0400-00000B000000}" name="10 月" totalsRowFunction="sum" totalsRowDxfId="288"/>
    <tableColumn id="12" xr3:uid="{00000000-0010-0000-0400-00000C000000}" name="11 月" totalsRowFunction="sum" totalsRowDxfId="287"/>
    <tableColumn id="13" xr3:uid="{00000000-0010-0000-0400-00000D000000}" name="12 月" totalsRowFunction="sum" totalsRowDxfId="286"/>
    <tableColumn id="14" xr3:uid="{00000000-0010-0000-0400-00000E000000}" name="年度" totalsRowFunction="sum" totalsRowDxfId="285">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在此表格中輸入實際的每月辦公室成本。系統會在結尾自動計算總計"/>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行銷實際數字" displayName="行銷實際數字" ref="B21:O28" totalsRowCount="1" headerRowDxfId="284" dataDxfId="282" totalsRowDxfId="280" headerRowBorderDxfId="283" tableBorderDxfId="281" totalsRowBorderDxfId="279">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行銷成本" totalsRowLabel="小計" dataDxfId="278" totalsRowDxfId="277"/>
    <tableColumn id="2" xr3:uid="{00000000-0010-0000-0500-000002000000}" name="1 月" totalsRowFunction="sum" dataDxfId="276" totalsRowDxfId="275"/>
    <tableColumn id="3" xr3:uid="{00000000-0010-0000-0500-000003000000}" name="2 月" totalsRowFunction="sum" dataDxfId="274" totalsRowDxfId="273"/>
    <tableColumn id="4" xr3:uid="{00000000-0010-0000-0500-000004000000}" name="3 月" totalsRowFunction="sum" dataDxfId="272" totalsRowDxfId="271"/>
    <tableColumn id="5" xr3:uid="{00000000-0010-0000-0500-000005000000}" name="4 月" totalsRowFunction="sum" dataDxfId="270" totalsRowDxfId="269"/>
    <tableColumn id="6" xr3:uid="{00000000-0010-0000-0500-000006000000}" name="5 月" totalsRowFunction="sum" dataDxfId="268" totalsRowDxfId="267"/>
    <tableColumn id="7" xr3:uid="{00000000-0010-0000-0500-000007000000}" name="6 月" totalsRowFunction="sum" dataDxfId="266" totalsRowDxfId="265"/>
    <tableColumn id="8" xr3:uid="{00000000-0010-0000-0500-000008000000}" name="7 月" totalsRowFunction="sum" dataDxfId="264" totalsRowDxfId="263"/>
    <tableColumn id="9" xr3:uid="{00000000-0010-0000-0500-000009000000}" name="8 月" totalsRowFunction="sum" dataDxfId="262" totalsRowDxfId="261"/>
    <tableColumn id="10" xr3:uid="{00000000-0010-0000-0500-00000A000000}" name="9 月" totalsRowFunction="sum" dataDxfId="260" totalsRowDxfId="259"/>
    <tableColumn id="11" xr3:uid="{00000000-0010-0000-0500-00000B000000}" name="10 月" totalsRowFunction="sum" dataDxfId="258" totalsRowDxfId="257"/>
    <tableColumn id="12" xr3:uid="{00000000-0010-0000-0500-00000C000000}" name="11 月" totalsRowFunction="sum" dataDxfId="256" totalsRowDxfId="255"/>
    <tableColumn id="13" xr3:uid="{00000000-0010-0000-0500-00000D000000}" name="12 月" totalsRowFunction="sum" dataDxfId="254" totalsRowDxfId="253"/>
    <tableColumn id="14" xr3:uid="{00000000-0010-0000-0500-00000E000000}" name="年度" totalsRowFunction="sum" dataDxfId="252" totalsRowDxfId="251">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在此表格中輸入實際的每月行銷成本。系統會在結尾自動計算總計"/>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教育訓練與差旅實際數字" displayName="教育訓練與差旅實際數字" ref="B30:O33" totalsRowCount="1" headerRowDxfId="250" dataDxfId="248" totalsRowDxfId="246" headerRowBorderDxfId="249" tableBorderDxfId="247" totalsRowBorderDxfId="245">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教育訓練/差旅" totalsRowLabel="小計" dataDxfId="244" totalsRowDxfId="243"/>
    <tableColumn id="2" xr3:uid="{00000000-0010-0000-0600-000002000000}" name="1 月" totalsRowFunction="sum" dataDxfId="242" totalsRowDxfId="241"/>
    <tableColumn id="3" xr3:uid="{00000000-0010-0000-0600-000003000000}" name="2 月" totalsRowFunction="sum" dataDxfId="240" totalsRowDxfId="239"/>
    <tableColumn id="4" xr3:uid="{00000000-0010-0000-0600-000004000000}" name="3 月" totalsRowFunction="sum" dataDxfId="238" totalsRowDxfId="237"/>
    <tableColumn id="5" xr3:uid="{00000000-0010-0000-0600-000005000000}" name="4 月" totalsRowFunction="sum" dataDxfId="236" totalsRowDxfId="235"/>
    <tableColumn id="6" xr3:uid="{00000000-0010-0000-0600-000006000000}" name="5 月" totalsRowFunction="sum" dataDxfId="234" totalsRowDxfId="233"/>
    <tableColumn id="7" xr3:uid="{00000000-0010-0000-0600-000007000000}" name="6 月" totalsRowFunction="sum" dataDxfId="232" totalsRowDxfId="231"/>
    <tableColumn id="8" xr3:uid="{00000000-0010-0000-0600-000008000000}" name="7 月" totalsRowFunction="sum" dataDxfId="230" totalsRowDxfId="229"/>
    <tableColumn id="9" xr3:uid="{00000000-0010-0000-0600-000009000000}" name="8 月" totalsRowFunction="sum" dataDxfId="228" totalsRowDxfId="227"/>
    <tableColumn id="10" xr3:uid="{00000000-0010-0000-0600-00000A000000}" name="9 月" totalsRowFunction="sum" dataDxfId="226" totalsRowDxfId="225"/>
    <tableColumn id="11" xr3:uid="{00000000-0010-0000-0600-00000B000000}" name="10 月" totalsRowFunction="sum" dataDxfId="224" totalsRowDxfId="223"/>
    <tableColumn id="12" xr3:uid="{00000000-0010-0000-0600-00000C000000}" name="11 月" totalsRowFunction="sum" dataDxfId="222" totalsRowDxfId="221"/>
    <tableColumn id="13" xr3:uid="{00000000-0010-0000-0600-00000D000000}" name="12 月" totalsRowFunction="sum" dataDxfId="220" totalsRowDxfId="219"/>
    <tableColumn id="14" xr3:uid="{00000000-0010-0000-0600-00000E000000}" name="年度" totalsRowFunction="sum" dataDxfId="218" totalsRowDxfId="217">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在此表格中輸入實際的每月教育訓練和差旅成本。系統會在結尾自動計算總計"/>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員工實際數字" displayName="員工實際數字" ref="B5:O8" totalsRowCount="1" headerRowDxfId="216" dataDxfId="214" totalsRowDxfId="212" headerRowBorderDxfId="215" tableBorderDxfId="213" totalsRowBorderDxfId="211">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員工成本" totalsRowLabel="小計" dataDxfId="210" totalsRowDxfId="209"/>
    <tableColumn id="2" xr3:uid="{00000000-0010-0000-0700-000002000000}" name="1 月" totalsRowFunction="sum" dataDxfId="208" totalsRowDxfId="207">
      <calculatedColumnFormula>C5*0.27</calculatedColumnFormula>
    </tableColumn>
    <tableColumn id="3" xr3:uid="{00000000-0010-0000-0700-000003000000}" name="2 月" totalsRowFunction="sum" dataDxfId="206" totalsRowDxfId="205">
      <calculatedColumnFormula>D5*0.27</calculatedColumnFormula>
    </tableColumn>
    <tableColumn id="4" xr3:uid="{00000000-0010-0000-0700-000004000000}" name="3 月" totalsRowFunction="sum" dataDxfId="204" totalsRowDxfId="203">
      <calculatedColumnFormula>E5*0.27</calculatedColumnFormula>
    </tableColumn>
    <tableColumn id="5" xr3:uid="{00000000-0010-0000-0700-000005000000}" name="4 月" totalsRowFunction="sum" dataDxfId="202" totalsRowDxfId="201">
      <calculatedColumnFormula>F5*0.27</calculatedColumnFormula>
    </tableColumn>
    <tableColumn id="6" xr3:uid="{00000000-0010-0000-0700-000006000000}" name="5 月" totalsRowFunction="sum" dataDxfId="200" totalsRowDxfId="199">
      <calculatedColumnFormula>G5*0.27</calculatedColumnFormula>
    </tableColumn>
    <tableColumn id="7" xr3:uid="{00000000-0010-0000-0700-000007000000}" name="6 月" totalsRowFunction="sum" dataDxfId="198" totalsRowDxfId="197">
      <calculatedColumnFormula>H5*0.27</calculatedColumnFormula>
    </tableColumn>
    <tableColumn id="8" xr3:uid="{00000000-0010-0000-0700-000008000000}" name="7 月" totalsRowFunction="sum" dataDxfId="196" totalsRowDxfId="195"/>
    <tableColumn id="9" xr3:uid="{00000000-0010-0000-0700-000009000000}" name="8 月" totalsRowFunction="sum" dataDxfId="194" totalsRowDxfId="193"/>
    <tableColumn id="10" xr3:uid="{00000000-0010-0000-0700-00000A000000}" name="9 月" totalsRowFunction="sum" dataDxfId="192" totalsRowDxfId="191"/>
    <tableColumn id="11" xr3:uid="{00000000-0010-0000-0700-00000B000000}" name="10 月" totalsRowFunction="sum" dataDxfId="190" totalsRowDxfId="189"/>
    <tableColumn id="12" xr3:uid="{00000000-0010-0000-0700-00000C000000}" name="11 月" totalsRowFunction="sum" dataDxfId="188" totalsRowDxfId="187"/>
    <tableColumn id="13" xr3:uid="{00000000-0010-0000-0700-00000D000000}" name="12 月" totalsRowFunction="sum" dataDxfId="186" totalsRowDxfId="185"/>
    <tableColumn id="14" xr3:uid="{00000000-0010-0000-0700-00000E000000}" name="年度" totalsRowFunction="sum" dataDxfId="184" totalsRowDxfId="183">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在此表格中輸入實際的每月員工成本。系統會在結尾自動計算總計"/>
    </ext>
  </extLst>
</table>
</file>

<file path=xl/theme/theme1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6.xml" Id="rId3" /><Relationship Type="http://schemas.openxmlformats.org/officeDocument/2006/relationships/table" Target="/xl/tables/table57.xml" Id="rId7" /><Relationship Type="http://schemas.openxmlformats.org/officeDocument/2006/relationships/drawing" Target="/xl/drawings/drawing12.xml" Id="rId2" /><Relationship Type="http://schemas.openxmlformats.org/officeDocument/2006/relationships/printerSettings" Target="/xl/printerSettings/printerSettings22.bin" Id="rId1" /><Relationship Type="http://schemas.openxmlformats.org/officeDocument/2006/relationships/table" Target="/xl/tables/table48.xml" Id="rId6" /><Relationship Type="http://schemas.openxmlformats.org/officeDocument/2006/relationships/table" Target="/xl/tables/table39.xml" Id="rId5" /><Relationship Type="http://schemas.openxmlformats.org/officeDocument/2006/relationships/table" Target="/xl/tables/table210.xml" Id="rId4" /></Relationships>
</file>

<file path=xl/worksheets/_rels/sheet3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table" Target="/xl/tables/table102.xml" Id="rId7" /><Relationship Type="http://schemas.openxmlformats.org/officeDocument/2006/relationships/drawing" Target="/xl/drawings/drawing21.xml" Id="rId2" /><Relationship Type="http://schemas.openxmlformats.org/officeDocument/2006/relationships/printerSettings" Target="/xl/printerSettings/printerSettings31.bin" Id="rId1" /><Relationship Type="http://schemas.openxmlformats.org/officeDocument/2006/relationships/table" Target="/xl/tables/table93.xml" Id="rId6" /><Relationship Type="http://schemas.openxmlformats.org/officeDocument/2006/relationships/table" Target="/xl/tables/table84.xml" Id="rId5" /><Relationship Type="http://schemas.openxmlformats.org/officeDocument/2006/relationships/table" Target="/xl/tables/table75.xml" Id="rId4" /></Relationships>
</file>

<file path=xl/worksheets/_rels/sheet45.xml.rels>&#65279;<?xml version="1.0" encoding="utf-8"?><Relationships xmlns="http://schemas.openxmlformats.org/package/2006/relationships"><Relationship Type="http://schemas.openxmlformats.org/officeDocument/2006/relationships/table" Target="/xl/tables/table1112.xml" Id="rId3" /><Relationship Type="http://schemas.openxmlformats.org/officeDocument/2006/relationships/table" Target="/xl/tables/table1513.xml" Id="rId7" /><Relationship Type="http://schemas.openxmlformats.org/officeDocument/2006/relationships/drawing" Target="/xl/drawings/drawing34.xml" Id="rId2" /><Relationship Type="http://schemas.openxmlformats.org/officeDocument/2006/relationships/printerSettings" Target="/xl/printerSettings/printerSettings45.bin" Id="rId1" /><Relationship Type="http://schemas.openxmlformats.org/officeDocument/2006/relationships/table" Target="/xl/tables/table1414.xml" Id="rId6" /><Relationship Type="http://schemas.openxmlformats.org/officeDocument/2006/relationships/table" Target="/xl/tables/table1315.xml" Id="rId5" /><Relationship Type="http://schemas.openxmlformats.org/officeDocument/2006/relationships/table" Target="/xl/tables/table1216.xml" Id="rId4" /></Relationships>
</file>

<file path=xl/worksheets/_rels/sheet54.xml.rels>&#65279;<?xml version="1.0" encoding="utf-8"?><Relationships xmlns="http://schemas.openxmlformats.org/package/2006/relationships"><Relationship Type="http://schemas.openxmlformats.org/officeDocument/2006/relationships/table" Target="/xl/tables/table1611.xml" Id="rId3" /><Relationship Type="http://schemas.openxmlformats.org/officeDocument/2006/relationships/drawing" Target="/xl/drawings/drawing43.xml" Id="rId2" /><Relationship Type="http://schemas.openxmlformats.org/officeDocument/2006/relationships/printerSettings" Target="/xl/printerSettings/printerSettings5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tabSelected="1" workbookViewId="0"/>
  </sheetViews>
  <sheetFormatPr defaultRowHeight="12" x14ac:dyDescent="0.2"/>
  <cols>
    <col min="1" max="1" width="2.7109375" customWidth="1"/>
    <col min="2" max="2" width="77.28515625" customWidth="1"/>
    <col min="3" max="3" width="2.7109375" customWidth="1"/>
  </cols>
  <sheetData>
    <row r="1" spans="2:2" s="99" customFormat="1" ht="30" customHeight="1" x14ac:dyDescent="0.2">
      <c r="B1" s="98" t="s">
        <v>0</v>
      </c>
    </row>
    <row r="2" spans="2:2" ht="36.75" customHeight="1" x14ac:dyDescent="0.2">
      <c r="B2" s="100" t="s">
        <v>1</v>
      </c>
    </row>
    <row r="3" spans="2:2" ht="30" customHeight="1" x14ac:dyDescent="0.2">
      <c r="B3" s="100" t="s">
        <v>2</v>
      </c>
    </row>
    <row r="4" spans="2:2" ht="40.5" customHeight="1" x14ac:dyDescent="0.2">
      <c r="B4" s="100" t="s">
        <v>3</v>
      </c>
    </row>
    <row r="5" spans="2:2" ht="36" customHeight="1" x14ac:dyDescent="0.2">
      <c r="B5" s="100" t="s">
        <v>4</v>
      </c>
    </row>
    <row r="6" spans="2:2" ht="36" customHeight="1" x14ac:dyDescent="0.2">
      <c r="B6" s="101" t="s">
        <v>5</v>
      </c>
    </row>
    <row r="7" spans="2:2" ht="53.25" customHeight="1" x14ac:dyDescent="0.2">
      <c r="B7" s="100" t="s">
        <v>6</v>
      </c>
    </row>
    <row r="8" spans="2:2" ht="40.5" customHeight="1" x14ac:dyDescent="0.25">
      <c r="B8" s="102" t="s">
        <v>7</v>
      </c>
    </row>
  </sheetData>
  <phoneticPr fontId="1"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sheetPr>
  <dimension ref="A1:T38"/>
  <sheetViews>
    <sheetView showGridLines="0" zoomScaleNormal="100" workbookViewId="0"/>
  </sheetViews>
  <sheetFormatPr defaultColWidth="9.140625" defaultRowHeight="21" customHeight="1" x14ac:dyDescent="0.3"/>
  <cols>
    <col min="1" max="1" width="4.7109375" style="5" customWidth="1"/>
    <col min="2" max="2" width="33.42578125" style="5" customWidth="1"/>
    <col min="3" max="15" width="17.7109375" style="5" customWidth="1"/>
    <col min="16" max="16" width="4.7109375" style="5" customWidth="1"/>
    <col min="17" max="17" width="1.7109375" style="5" customWidth="1"/>
    <col min="18" max="19" width="9.140625" style="5"/>
    <col min="20" max="20" width="11.140625" style="5" customWidth="1"/>
    <col min="21" max="16384" width="9.140625" style="5"/>
  </cols>
  <sheetData>
    <row r="1" spans="1:20" ht="24" customHeight="1" x14ac:dyDescent="0.3">
      <c r="A1" s="1"/>
      <c r="B1" s="2"/>
      <c r="C1" s="2"/>
      <c r="D1" s="2"/>
      <c r="E1" s="2"/>
      <c r="F1" s="3"/>
      <c r="G1" s="3"/>
      <c r="H1" s="3"/>
      <c r="I1" s="3"/>
      <c r="J1" s="3"/>
      <c r="K1" s="3"/>
      <c r="L1" s="3"/>
      <c r="M1" s="3"/>
      <c r="N1" s="3"/>
      <c r="O1" s="3"/>
      <c r="P1" s="4" t="s">
        <v>51</v>
      </c>
    </row>
    <row r="2" spans="1:20" ht="45" customHeight="1" x14ac:dyDescent="0.3">
      <c r="A2" s="6"/>
      <c r="B2" s="7" t="s">
        <v>8</v>
      </c>
      <c r="C2" s="7"/>
      <c r="D2" s="7"/>
      <c r="E2" s="8"/>
      <c r="F2" s="9"/>
      <c r="G2" s="9"/>
      <c r="H2" s="9"/>
      <c r="I2" s="9"/>
      <c r="J2" s="9"/>
      <c r="K2" s="109" t="s">
        <v>44</v>
      </c>
      <c r="L2" s="109"/>
      <c r="M2" s="109"/>
      <c r="N2" s="10"/>
      <c r="O2" s="10"/>
      <c r="P2" s="3"/>
    </row>
    <row r="3" spans="1:20" ht="30" customHeight="1" x14ac:dyDescent="0.3">
      <c r="A3" s="6"/>
      <c r="B3" s="7"/>
      <c r="C3" s="7"/>
      <c r="D3" s="7"/>
      <c r="E3" s="11"/>
      <c r="F3" s="12"/>
      <c r="G3" s="12"/>
      <c r="H3" s="12"/>
      <c r="I3" s="12"/>
      <c r="J3" s="12"/>
      <c r="K3" s="110" t="s">
        <v>45</v>
      </c>
      <c r="L3" s="110"/>
      <c r="M3" s="110"/>
      <c r="N3" s="10"/>
      <c r="O3" s="10"/>
      <c r="P3" s="3"/>
    </row>
    <row r="4" spans="1:20" s="17" customFormat="1" ht="49.5" customHeight="1" x14ac:dyDescent="0.3">
      <c r="A4" s="13"/>
      <c r="B4" s="14" t="s">
        <v>9</v>
      </c>
      <c r="C4" s="15" t="s">
        <v>36</v>
      </c>
      <c r="D4" s="15" t="s">
        <v>37</v>
      </c>
      <c r="E4" s="16" t="s">
        <v>38</v>
      </c>
      <c r="F4" s="15" t="s">
        <v>39</v>
      </c>
      <c r="G4" s="15" t="s">
        <v>40</v>
      </c>
      <c r="H4" s="15" t="s">
        <v>41</v>
      </c>
      <c r="I4" s="16" t="s">
        <v>42</v>
      </c>
      <c r="J4" s="15" t="s">
        <v>43</v>
      </c>
      <c r="K4" s="15" t="s">
        <v>46</v>
      </c>
      <c r="L4" s="15" t="s">
        <v>47</v>
      </c>
      <c r="M4" s="15" t="s">
        <v>48</v>
      </c>
      <c r="N4" s="16" t="s">
        <v>49</v>
      </c>
      <c r="O4" s="15" t="s">
        <v>50</v>
      </c>
      <c r="R4" s="107"/>
      <c r="S4" s="108"/>
      <c r="T4" s="108"/>
    </row>
    <row r="5" spans="1:20" ht="24.95" customHeight="1" thickBot="1" x14ac:dyDescent="0.35">
      <c r="A5" s="13"/>
      <c r="B5" s="52" t="s">
        <v>10</v>
      </c>
      <c r="C5" s="70" t="s">
        <v>36</v>
      </c>
      <c r="D5" s="71" t="s">
        <v>37</v>
      </c>
      <c r="E5" s="72" t="s">
        <v>38</v>
      </c>
      <c r="F5" s="71" t="s">
        <v>39</v>
      </c>
      <c r="G5" s="71" t="s">
        <v>40</v>
      </c>
      <c r="H5" s="71" t="s">
        <v>41</v>
      </c>
      <c r="I5" s="71" t="s">
        <v>42</v>
      </c>
      <c r="J5" s="71" t="s">
        <v>43</v>
      </c>
      <c r="K5" s="71" t="s">
        <v>46</v>
      </c>
      <c r="L5" s="71" t="s">
        <v>47</v>
      </c>
      <c r="M5" s="71" t="s">
        <v>48</v>
      </c>
      <c r="N5" s="71" t="s">
        <v>49</v>
      </c>
      <c r="O5" s="73" t="s">
        <v>50</v>
      </c>
      <c r="R5" s="108"/>
      <c r="S5" s="108"/>
      <c r="T5" s="108"/>
    </row>
    <row r="6" spans="1:20" ht="24.95" customHeight="1" thickBot="1" x14ac:dyDescent="0.35">
      <c r="A6" s="13"/>
      <c r="B6" s="23" t="s">
        <v>11</v>
      </c>
      <c r="C6" s="74">
        <v>85000</v>
      </c>
      <c r="D6" s="75">
        <v>85000</v>
      </c>
      <c r="E6" s="75">
        <v>85000</v>
      </c>
      <c r="F6" s="75">
        <v>87500</v>
      </c>
      <c r="G6" s="75">
        <v>87500</v>
      </c>
      <c r="H6" s="75">
        <v>87500</v>
      </c>
      <c r="I6" s="75">
        <v>87500</v>
      </c>
      <c r="J6" s="75">
        <v>92400</v>
      </c>
      <c r="K6" s="75">
        <v>92400</v>
      </c>
      <c r="L6" s="75">
        <v>92400</v>
      </c>
      <c r="M6" s="75">
        <v>92400</v>
      </c>
      <c r="N6" s="75">
        <v>92400</v>
      </c>
      <c r="O6" s="76">
        <f>SUM(C6:N6)</f>
        <v>1067000</v>
      </c>
      <c r="R6" s="108"/>
      <c r="S6" s="108"/>
      <c r="T6" s="108"/>
    </row>
    <row r="7" spans="1:20" ht="24.95" customHeight="1" thickBot="1" x14ac:dyDescent="0.35">
      <c r="A7" s="13"/>
      <c r="B7" s="23" t="s">
        <v>12</v>
      </c>
      <c r="C7" s="74">
        <f t="shared" ref="C7:N7" si="0">C6*0.27</f>
        <v>22950</v>
      </c>
      <c r="D7" s="75">
        <f t="shared" si="0"/>
        <v>22950</v>
      </c>
      <c r="E7" s="75">
        <f t="shared" si="0"/>
        <v>22950</v>
      </c>
      <c r="F7" s="75">
        <f t="shared" si="0"/>
        <v>23625</v>
      </c>
      <c r="G7" s="75">
        <f t="shared" si="0"/>
        <v>23625</v>
      </c>
      <c r="H7" s="75">
        <f t="shared" si="0"/>
        <v>23625</v>
      </c>
      <c r="I7" s="75">
        <f t="shared" si="0"/>
        <v>23625</v>
      </c>
      <c r="J7" s="75">
        <f t="shared" si="0"/>
        <v>24948</v>
      </c>
      <c r="K7" s="75">
        <f t="shared" si="0"/>
        <v>24948</v>
      </c>
      <c r="L7" s="75">
        <f t="shared" si="0"/>
        <v>24948</v>
      </c>
      <c r="M7" s="75">
        <f t="shared" si="0"/>
        <v>24948</v>
      </c>
      <c r="N7" s="75">
        <f t="shared" si="0"/>
        <v>24948</v>
      </c>
      <c r="O7" s="76">
        <f>SUM(C7:N7)</f>
        <v>288090</v>
      </c>
      <c r="R7" s="108"/>
      <c r="S7" s="108"/>
      <c r="T7" s="108"/>
    </row>
    <row r="8" spans="1:20" ht="24.95" customHeight="1" x14ac:dyDescent="0.3">
      <c r="A8" s="13"/>
      <c r="B8" s="77" t="s">
        <v>13</v>
      </c>
      <c r="C8" s="78">
        <f>SUBTOTAL(109,員工計劃[1 月])</f>
        <v>107950</v>
      </c>
      <c r="D8" s="79">
        <f>SUBTOTAL(109,員工計劃[2 月])</f>
        <v>107950</v>
      </c>
      <c r="E8" s="79">
        <f>SUBTOTAL(109,員工計劃[3 月])</f>
        <v>107950</v>
      </c>
      <c r="F8" s="79">
        <f>SUBTOTAL(109,員工計劃[4 月])</f>
        <v>111125</v>
      </c>
      <c r="G8" s="79">
        <f>SUBTOTAL(109,員工計劃[5 月])</f>
        <v>111125</v>
      </c>
      <c r="H8" s="79">
        <f>SUBTOTAL(109,員工計劃[6 月])</f>
        <v>111125</v>
      </c>
      <c r="I8" s="79">
        <f>SUBTOTAL(109,員工計劃[7 月])</f>
        <v>111125</v>
      </c>
      <c r="J8" s="79">
        <f>SUBTOTAL(109,員工計劃[8 月])</f>
        <v>117348</v>
      </c>
      <c r="K8" s="79">
        <f>SUBTOTAL(109,員工計劃[9 月])</f>
        <v>117348</v>
      </c>
      <c r="L8" s="79">
        <f>SUBTOTAL(109,員工計劃[10 月])</f>
        <v>117348</v>
      </c>
      <c r="M8" s="79">
        <f>SUBTOTAL(109,員工計劃[11 月])</f>
        <v>117348</v>
      </c>
      <c r="N8" s="79">
        <f>SUBTOTAL(109,員工計劃[12 月])</f>
        <v>117348</v>
      </c>
      <c r="O8" s="80">
        <f>SUBTOTAL(109,員工計劃[年度])</f>
        <v>1355090</v>
      </c>
      <c r="R8" s="108"/>
      <c r="S8" s="108"/>
      <c r="T8" s="108"/>
    </row>
    <row r="9" spans="1:20" ht="21" customHeight="1" thickBot="1" x14ac:dyDescent="0.35">
      <c r="A9" s="13"/>
      <c r="B9" s="30"/>
      <c r="C9" s="30"/>
      <c r="D9" s="31"/>
      <c r="E9" s="31"/>
      <c r="F9" s="31"/>
      <c r="G9" s="31"/>
      <c r="H9" s="31"/>
      <c r="I9" s="31"/>
      <c r="J9" s="31"/>
      <c r="K9" s="31"/>
      <c r="L9" s="31"/>
      <c r="M9" s="31"/>
      <c r="N9" s="31"/>
      <c r="O9" s="32"/>
      <c r="R9" s="108"/>
      <c r="S9" s="108"/>
      <c r="T9" s="108"/>
    </row>
    <row r="10" spans="1:20" ht="24.95" customHeight="1" thickBot="1" x14ac:dyDescent="0.35">
      <c r="A10" s="13"/>
      <c r="B10" s="81" t="s">
        <v>14</v>
      </c>
      <c r="C10" s="82" t="s">
        <v>36</v>
      </c>
      <c r="D10" s="83" t="s">
        <v>37</v>
      </c>
      <c r="E10" s="84" t="s">
        <v>38</v>
      </c>
      <c r="F10" s="83" t="s">
        <v>39</v>
      </c>
      <c r="G10" s="83" t="s">
        <v>40</v>
      </c>
      <c r="H10" s="83" t="s">
        <v>41</v>
      </c>
      <c r="I10" s="83" t="s">
        <v>42</v>
      </c>
      <c r="J10" s="83" t="s">
        <v>43</v>
      </c>
      <c r="K10" s="83" t="s">
        <v>46</v>
      </c>
      <c r="L10" s="83" t="s">
        <v>47</v>
      </c>
      <c r="M10" s="83" t="s">
        <v>48</v>
      </c>
      <c r="N10" s="83" t="s">
        <v>49</v>
      </c>
      <c r="O10" s="85" t="s">
        <v>50</v>
      </c>
      <c r="R10" s="108"/>
      <c r="S10" s="108"/>
      <c r="T10" s="108"/>
    </row>
    <row r="11" spans="1:20" ht="24.95" customHeight="1" thickBot="1" x14ac:dyDescent="0.35">
      <c r="A11" s="13"/>
      <c r="B11" s="86" t="s">
        <v>15</v>
      </c>
      <c r="C11" s="74">
        <v>9800</v>
      </c>
      <c r="D11" s="75">
        <v>9800</v>
      </c>
      <c r="E11" s="75">
        <v>9800</v>
      </c>
      <c r="F11" s="75">
        <v>9800</v>
      </c>
      <c r="G11" s="75">
        <v>9800</v>
      </c>
      <c r="H11" s="75">
        <v>9800</v>
      </c>
      <c r="I11" s="75">
        <v>9800</v>
      </c>
      <c r="J11" s="75">
        <v>9800</v>
      </c>
      <c r="K11" s="75">
        <v>9800</v>
      </c>
      <c r="L11" s="75">
        <v>9800</v>
      </c>
      <c r="M11" s="75">
        <v>9800</v>
      </c>
      <c r="N11" s="75">
        <v>9800</v>
      </c>
      <c r="O11" s="76">
        <f t="shared" ref="O11:O18" si="1">SUM(C11:N11)</f>
        <v>117600</v>
      </c>
      <c r="R11" s="108"/>
      <c r="S11" s="108"/>
      <c r="T11" s="108"/>
    </row>
    <row r="12" spans="1:20" ht="24.95" customHeight="1" thickBot="1" x14ac:dyDescent="0.35">
      <c r="A12" s="13"/>
      <c r="B12" s="86" t="s">
        <v>16</v>
      </c>
      <c r="C12" s="74"/>
      <c r="D12" s="75">
        <v>400</v>
      </c>
      <c r="E12" s="75">
        <v>400</v>
      </c>
      <c r="F12" s="75">
        <v>100</v>
      </c>
      <c r="G12" s="75">
        <v>100</v>
      </c>
      <c r="H12" s="75">
        <v>100</v>
      </c>
      <c r="I12" s="75">
        <v>100</v>
      </c>
      <c r="J12" s="75">
        <v>100</v>
      </c>
      <c r="K12" s="75">
        <v>100</v>
      </c>
      <c r="L12" s="75">
        <v>100</v>
      </c>
      <c r="M12" s="75">
        <v>400</v>
      </c>
      <c r="N12" s="75">
        <v>400</v>
      </c>
      <c r="O12" s="76">
        <f t="shared" si="1"/>
        <v>2300</v>
      </c>
      <c r="R12" s="108"/>
      <c r="S12" s="108"/>
      <c r="T12" s="108"/>
    </row>
    <row r="13" spans="1:20" ht="24.95" customHeight="1" thickBot="1" x14ac:dyDescent="0.35">
      <c r="A13" s="13"/>
      <c r="B13" s="86" t="s">
        <v>17</v>
      </c>
      <c r="C13" s="74">
        <v>300</v>
      </c>
      <c r="D13" s="75">
        <v>300</v>
      </c>
      <c r="E13" s="75">
        <v>300</v>
      </c>
      <c r="F13" s="75">
        <v>300</v>
      </c>
      <c r="G13" s="75">
        <v>300</v>
      </c>
      <c r="H13" s="75">
        <v>300</v>
      </c>
      <c r="I13" s="75">
        <v>300</v>
      </c>
      <c r="J13" s="75">
        <v>300</v>
      </c>
      <c r="K13" s="75">
        <v>300</v>
      </c>
      <c r="L13" s="75">
        <v>300</v>
      </c>
      <c r="M13" s="75">
        <v>300</v>
      </c>
      <c r="N13" s="75">
        <v>300</v>
      </c>
      <c r="O13" s="76">
        <f t="shared" si="1"/>
        <v>3600</v>
      </c>
      <c r="R13" s="108"/>
      <c r="S13" s="108"/>
      <c r="T13" s="108"/>
    </row>
    <row r="14" spans="1:20" ht="24.95" customHeight="1" thickBot="1" x14ac:dyDescent="0.35">
      <c r="A14" s="13"/>
      <c r="B14" s="86" t="s">
        <v>18</v>
      </c>
      <c r="C14" s="74">
        <v>40</v>
      </c>
      <c r="D14" s="75">
        <v>40</v>
      </c>
      <c r="E14" s="75">
        <v>40</v>
      </c>
      <c r="F14" s="75">
        <v>40</v>
      </c>
      <c r="G14" s="75">
        <v>40</v>
      </c>
      <c r="H14" s="75">
        <v>40</v>
      </c>
      <c r="I14" s="75">
        <v>40</v>
      </c>
      <c r="J14" s="75">
        <v>40</v>
      </c>
      <c r="K14" s="75">
        <v>40</v>
      </c>
      <c r="L14" s="75">
        <v>40</v>
      </c>
      <c r="M14" s="75">
        <v>40</v>
      </c>
      <c r="N14" s="75">
        <v>40</v>
      </c>
      <c r="O14" s="76">
        <f t="shared" si="1"/>
        <v>480</v>
      </c>
    </row>
    <row r="15" spans="1:20" ht="24.95" customHeight="1" thickBot="1" x14ac:dyDescent="0.35">
      <c r="A15" s="13"/>
      <c r="B15" s="86" t="s">
        <v>19</v>
      </c>
      <c r="C15" s="74">
        <v>250</v>
      </c>
      <c r="D15" s="75">
        <v>250</v>
      </c>
      <c r="E15" s="75">
        <v>250</v>
      </c>
      <c r="F15" s="75">
        <v>250</v>
      </c>
      <c r="G15" s="75">
        <v>250</v>
      </c>
      <c r="H15" s="75">
        <v>250</v>
      </c>
      <c r="I15" s="75">
        <v>250</v>
      </c>
      <c r="J15" s="75">
        <v>250</v>
      </c>
      <c r="K15" s="75">
        <v>250</v>
      </c>
      <c r="L15" s="75">
        <v>250</v>
      </c>
      <c r="M15" s="75">
        <v>250</v>
      </c>
      <c r="N15" s="75">
        <v>250</v>
      </c>
      <c r="O15" s="76">
        <f t="shared" si="1"/>
        <v>3000</v>
      </c>
    </row>
    <row r="16" spans="1:20" ht="24.95" customHeight="1" thickBot="1" x14ac:dyDescent="0.35">
      <c r="A16" s="13"/>
      <c r="B16" s="86" t="s">
        <v>20</v>
      </c>
      <c r="C16" s="74">
        <v>180</v>
      </c>
      <c r="D16" s="75">
        <v>180</v>
      </c>
      <c r="E16" s="75">
        <v>180</v>
      </c>
      <c r="F16" s="75">
        <v>180</v>
      </c>
      <c r="G16" s="75">
        <v>180</v>
      </c>
      <c r="H16" s="75">
        <v>180</v>
      </c>
      <c r="I16" s="75">
        <v>180</v>
      </c>
      <c r="J16" s="75">
        <v>180</v>
      </c>
      <c r="K16" s="75">
        <v>180</v>
      </c>
      <c r="L16" s="75">
        <v>180</v>
      </c>
      <c r="M16" s="75">
        <v>180</v>
      </c>
      <c r="N16" s="75">
        <v>180</v>
      </c>
      <c r="O16" s="76">
        <f t="shared" si="1"/>
        <v>2160</v>
      </c>
    </row>
    <row r="17" spans="1:15" ht="24.95" customHeight="1" thickBot="1" x14ac:dyDescent="0.35">
      <c r="A17" s="13"/>
      <c r="B17" s="86" t="s">
        <v>21</v>
      </c>
      <c r="C17" s="74">
        <v>200</v>
      </c>
      <c r="D17" s="75">
        <v>200</v>
      </c>
      <c r="E17" s="75">
        <v>200</v>
      </c>
      <c r="F17" s="75">
        <v>200</v>
      </c>
      <c r="G17" s="75">
        <v>200</v>
      </c>
      <c r="H17" s="75">
        <v>200</v>
      </c>
      <c r="I17" s="75">
        <v>200</v>
      </c>
      <c r="J17" s="75">
        <v>200</v>
      </c>
      <c r="K17" s="75">
        <v>200</v>
      </c>
      <c r="L17" s="75">
        <v>200</v>
      </c>
      <c r="M17" s="75">
        <v>200</v>
      </c>
      <c r="N17" s="75">
        <v>200</v>
      </c>
      <c r="O17" s="76">
        <f t="shared" si="1"/>
        <v>2400</v>
      </c>
    </row>
    <row r="18" spans="1:15" ht="24.95" customHeight="1" thickBot="1" x14ac:dyDescent="0.35">
      <c r="A18" s="13"/>
      <c r="B18" s="86" t="s">
        <v>22</v>
      </c>
      <c r="C18" s="74">
        <v>600</v>
      </c>
      <c r="D18" s="75">
        <v>600</v>
      </c>
      <c r="E18" s="75">
        <v>600</v>
      </c>
      <c r="F18" s="75">
        <v>600</v>
      </c>
      <c r="G18" s="75">
        <v>600</v>
      </c>
      <c r="H18" s="75">
        <v>600</v>
      </c>
      <c r="I18" s="75">
        <v>600</v>
      </c>
      <c r="J18" s="75">
        <v>600</v>
      </c>
      <c r="K18" s="75">
        <v>600</v>
      </c>
      <c r="L18" s="75">
        <v>600</v>
      </c>
      <c r="M18" s="75">
        <v>600</v>
      </c>
      <c r="N18" s="75">
        <v>600</v>
      </c>
      <c r="O18" s="76">
        <f t="shared" si="1"/>
        <v>7200</v>
      </c>
    </row>
    <row r="19" spans="1:15" ht="24.95" customHeight="1" thickBot="1" x14ac:dyDescent="0.35">
      <c r="A19" s="13"/>
      <c r="B19" s="87" t="s">
        <v>13</v>
      </c>
      <c r="C19" s="88">
        <f>SUBTOTAL(109,辦公室計劃[1 月])</f>
        <v>11370</v>
      </c>
      <c r="D19" s="89">
        <f>SUBTOTAL(109,辦公室計劃[2 月])</f>
        <v>11770</v>
      </c>
      <c r="E19" s="89">
        <f>SUBTOTAL(109,辦公室計劃[3 月])</f>
        <v>11770</v>
      </c>
      <c r="F19" s="89">
        <f>SUBTOTAL(109,辦公室計劃[4 月])</f>
        <v>11470</v>
      </c>
      <c r="G19" s="89">
        <f>SUBTOTAL(109,辦公室計劃[5 月])</f>
        <v>11470</v>
      </c>
      <c r="H19" s="89">
        <f>SUBTOTAL(109,辦公室計劃[6 月])</f>
        <v>11470</v>
      </c>
      <c r="I19" s="89">
        <f>SUBTOTAL(109,辦公室計劃[7 月])</f>
        <v>11470</v>
      </c>
      <c r="J19" s="89">
        <f>SUBTOTAL(109,辦公室計劃[8 月])</f>
        <v>11470</v>
      </c>
      <c r="K19" s="89">
        <f>SUBTOTAL(109,辦公室計劃[9 月])</f>
        <v>11470</v>
      </c>
      <c r="L19" s="89">
        <f>SUBTOTAL(109,辦公室計劃[10 月])</f>
        <v>11470</v>
      </c>
      <c r="M19" s="89">
        <f>SUBTOTAL(109,辦公室計劃[11 月])</f>
        <v>11770</v>
      </c>
      <c r="N19" s="89">
        <f>SUBTOTAL(109,辦公室計劃[12 月])</f>
        <v>11770</v>
      </c>
      <c r="O19" s="90">
        <f>SUBTOTAL(109,辦公室計劃[年度])</f>
        <v>138740</v>
      </c>
    </row>
    <row r="20" spans="1:15" ht="21" customHeight="1" x14ac:dyDescent="0.3">
      <c r="A20" s="13"/>
      <c r="B20" s="40"/>
      <c r="C20" s="40"/>
      <c r="D20" s="31"/>
      <c r="E20" s="31"/>
      <c r="F20" s="41"/>
      <c r="G20" s="41"/>
      <c r="H20" s="41"/>
      <c r="I20" s="41"/>
      <c r="J20" s="41"/>
      <c r="K20" s="41"/>
      <c r="L20" s="41"/>
      <c r="M20" s="41"/>
      <c r="N20" s="41"/>
      <c r="O20" s="32"/>
    </row>
    <row r="21" spans="1:15" ht="24.95" customHeight="1" thickBot="1" x14ac:dyDescent="0.35">
      <c r="A21" s="13"/>
      <c r="B21" s="42" t="s">
        <v>23</v>
      </c>
      <c r="C21" s="34" t="s">
        <v>36</v>
      </c>
      <c r="D21" s="34" t="s">
        <v>37</v>
      </c>
      <c r="E21" s="35" t="s">
        <v>38</v>
      </c>
      <c r="F21" s="34" t="s">
        <v>39</v>
      </c>
      <c r="G21" s="34" t="s">
        <v>40</v>
      </c>
      <c r="H21" s="34" t="s">
        <v>41</v>
      </c>
      <c r="I21" s="34" t="s">
        <v>42</v>
      </c>
      <c r="J21" s="34" t="s">
        <v>43</v>
      </c>
      <c r="K21" s="34" t="s">
        <v>46</v>
      </c>
      <c r="L21" s="34" t="s">
        <v>47</v>
      </c>
      <c r="M21" s="34" t="s">
        <v>48</v>
      </c>
      <c r="N21" s="34" t="s">
        <v>49</v>
      </c>
      <c r="O21" s="36" t="s">
        <v>50</v>
      </c>
    </row>
    <row r="22" spans="1:15" ht="24.95" customHeight="1" thickBot="1" x14ac:dyDescent="0.35">
      <c r="A22" s="13"/>
      <c r="B22" s="23" t="s">
        <v>24</v>
      </c>
      <c r="C22" s="24">
        <v>500</v>
      </c>
      <c r="D22" s="25">
        <v>500</v>
      </c>
      <c r="E22" s="25">
        <v>500</v>
      </c>
      <c r="F22" s="25">
        <v>500</v>
      </c>
      <c r="G22" s="25">
        <v>500</v>
      </c>
      <c r="H22" s="25">
        <v>500</v>
      </c>
      <c r="I22" s="25">
        <v>500</v>
      </c>
      <c r="J22" s="25">
        <v>500</v>
      </c>
      <c r="K22" s="25">
        <v>500</v>
      </c>
      <c r="L22" s="25">
        <v>500</v>
      </c>
      <c r="M22" s="25">
        <v>500</v>
      </c>
      <c r="N22" s="25">
        <v>500</v>
      </c>
      <c r="O22" s="76">
        <f t="shared" ref="O22:O27" si="2">SUM(C22:N22)</f>
        <v>6000</v>
      </c>
    </row>
    <row r="23" spans="1:15" ht="24.95" customHeight="1" thickBot="1" x14ac:dyDescent="0.35">
      <c r="A23" s="13"/>
      <c r="B23" s="23" t="s">
        <v>25</v>
      </c>
      <c r="C23" s="24">
        <v>200</v>
      </c>
      <c r="D23" s="25">
        <v>200</v>
      </c>
      <c r="E23" s="25">
        <v>200</v>
      </c>
      <c r="F23" s="25">
        <v>200</v>
      </c>
      <c r="G23" s="25">
        <v>200</v>
      </c>
      <c r="H23" s="25">
        <v>1000</v>
      </c>
      <c r="I23" s="25">
        <v>200</v>
      </c>
      <c r="J23" s="25">
        <v>200</v>
      </c>
      <c r="K23" s="25">
        <v>200</v>
      </c>
      <c r="L23" s="25">
        <v>200</v>
      </c>
      <c r="M23" s="25">
        <v>200</v>
      </c>
      <c r="N23" s="25">
        <v>1000</v>
      </c>
      <c r="O23" s="76">
        <f t="shared" si="2"/>
        <v>4000</v>
      </c>
    </row>
    <row r="24" spans="1:15" ht="24.95" customHeight="1" thickBot="1" x14ac:dyDescent="0.35">
      <c r="A24" s="13"/>
      <c r="B24" s="23" t="s">
        <v>26</v>
      </c>
      <c r="C24" s="24">
        <v>5000</v>
      </c>
      <c r="D24" s="25">
        <v>0</v>
      </c>
      <c r="E24" s="25">
        <v>0</v>
      </c>
      <c r="F24" s="25">
        <v>5000</v>
      </c>
      <c r="G24" s="25">
        <v>0</v>
      </c>
      <c r="H24" s="25">
        <v>0</v>
      </c>
      <c r="I24" s="25">
        <v>5000</v>
      </c>
      <c r="J24" s="25">
        <v>0</v>
      </c>
      <c r="K24" s="25">
        <v>0</v>
      </c>
      <c r="L24" s="25">
        <v>5000</v>
      </c>
      <c r="M24" s="25">
        <v>0</v>
      </c>
      <c r="N24" s="25">
        <v>0</v>
      </c>
      <c r="O24" s="76">
        <f t="shared" si="2"/>
        <v>20000</v>
      </c>
    </row>
    <row r="25" spans="1:15" ht="24.95" customHeight="1" thickBot="1" x14ac:dyDescent="0.35">
      <c r="A25" s="13"/>
      <c r="B25" s="23" t="s">
        <v>27</v>
      </c>
      <c r="C25" s="24">
        <v>200</v>
      </c>
      <c r="D25" s="25">
        <v>200</v>
      </c>
      <c r="E25" s="25">
        <v>200</v>
      </c>
      <c r="F25" s="25">
        <v>200</v>
      </c>
      <c r="G25" s="25">
        <v>200</v>
      </c>
      <c r="H25" s="25">
        <v>200</v>
      </c>
      <c r="I25" s="25">
        <v>200</v>
      </c>
      <c r="J25" s="25">
        <v>200</v>
      </c>
      <c r="K25" s="25">
        <v>200</v>
      </c>
      <c r="L25" s="25">
        <v>200</v>
      </c>
      <c r="M25" s="25">
        <v>200</v>
      </c>
      <c r="N25" s="25">
        <v>200</v>
      </c>
      <c r="O25" s="76">
        <f t="shared" si="2"/>
        <v>2400</v>
      </c>
    </row>
    <row r="26" spans="1:15" ht="24.95" customHeight="1" thickBot="1" x14ac:dyDescent="0.35">
      <c r="A26" s="13"/>
      <c r="B26" s="23" t="s">
        <v>28</v>
      </c>
      <c r="C26" s="24">
        <v>2000</v>
      </c>
      <c r="D26" s="25">
        <v>2000</v>
      </c>
      <c r="E26" s="25">
        <v>2000</v>
      </c>
      <c r="F26" s="25">
        <v>5000</v>
      </c>
      <c r="G26" s="25">
        <v>2000</v>
      </c>
      <c r="H26" s="25">
        <v>2000</v>
      </c>
      <c r="I26" s="25">
        <v>2000</v>
      </c>
      <c r="J26" s="25">
        <v>5000</v>
      </c>
      <c r="K26" s="25">
        <v>2000</v>
      </c>
      <c r="L26" s="25">
        <v>2000</v>
      </c>
      <c r="M26" s="25">
        <v>2000</v>
      </c>
      <c r="N26" s="25">
        <v>5000</v>
      </c>
      <c r="O26" s="76">
        <f t="shared" si="2"/>
        <v>33000</v>
      </c>
    </row>
    <row r="27" spans="1:15" ht="24.95" customHeight="1" thickBot="1" x14ac:dyDescent="0.35">
      <c r="A27" s="13"/>
      <c r="B27" s="23" t="s">
        <v>29</v>
      </c>
      <c r="C27" s="24">
        <v>200</v>
      </c>
      <c r="D27" s="25">
        <v>200</v>
      </c>
      <c r="E27" s="25">
        <v>200</v>
      </c>
      <c r="F27" s="25">
        <v>200</v>
      </c>
      <c r="G27" s="25">
        <v>200</v>
      </c>
      <c r="H27" s="25">
        <v>200</v>
      </c>
      <c r="I27" s="25">
        <v>200</v>
      </c>
      <c r="J27" s="25">
        <v>200</v>
      </c>
      <c r="K27" s="25">
        <v>200</v>
      </c>
      <c r="L27" s="25">
        <v>200</v>
      </c>
      <c r="M27" s="25">
        <v>200</v>
      </c>
      <c r="N27" s="25">
        <v>200</v>
      </c>
      <c r="O27" s="76">
        <f t="shared" si="2"/>
        <v>2400</v>
      </c>
    </row>
    <row r="28" spans="1:15" ht="24.95" customHeight="1" x14ac:dyDescent="0.3">
      <c r="A28" s="13"/>
      <c r="B28" s="91" t="s">
        <v>13</v>
      </c>
      <c r="C28" s="78">
        <f>SUBTOTAL(109,行銷計劃[1 月])</f>
        <v>8100</v>
      </c>
      <c r="D28" s="79">
        <f>SUBTOTAL(109,行銷計劃[2 月])</f>
        <v>3100</v>
      </c>
      <c r="E28" s="79">
        <f>SUBTOTAL(109,行銷計劃[3 月])</f>
        <v>3100</v>
      </c>
      <c r="F28" s="79">
        <f>SUBTOTAL(109,行銷計劃[4 月])</f>
        <v>11100</v>
      </c>
      <c r="G28" s="79">
        <f>SUBTOTAL(109,行銷計劃[5 月])</f>
        <v>3100</v>
      </c>
      <c r="H28" s="79">
        <f>SUBTOTAL(109,行銷計劃[6 月])</f>
        <v>3900</v>
      </c>
      <c r="I28" s="79">
        <f>SUBTOTAL(109,行銷計劃[7 月])</f>
        <v>8100</v>
      </c>
      <c r="J28" s="79">
        <f>SUBTOTAL(109,行銷計劃[8 月])</f>
        <v>6100</v>
      </c>
      <c r="K28" s="79">
        <f>SUBTOTAL(109,行銷計劃[9 月])</f>
        <v>3100</v>
      </c>
      <c r="L28" s="79">
        <f>SUBTOTAL(109,行銷計劃[10 月])</f>
        <v>8100</v>
      </c>
      <c r="M28" s="79">
        <f>SUBTOTAL(109,行銷計劃[11 月])</f>
        <v>3100</v>
      </c>
      <c r="N28" s="79">
        <f>SUBTOTAL(109,行銷計劃[12 月])</f>
        <v>6900</v>
      </c>
      <c r="O28" s="80">
        <f>SUBTOTAL(109,行銷計劃[年度])</f>
        <v>67800</v>
      </c>
    </row>
    <row r="29" spans="1:15" ht="21" customHeight="1" x14ac:dyDescent="0.3">
      <c r="A29" s="13"/>
      <c r="B29" s="30"/>
      <c r="C29" s="30"/>
      <c r="D29" s="41"/>
      <c r="E29" s="41"/>
      <c r="F29" s="41"/>
      <c r="G29" s="41"/>
      <c r="H29" s="41"/>
      <c r="I29" s="41"/>
      <c r="J29" s="41"/>
      <c r="K29" s="41"/>
      <c r="L29" s="41"/>
      <c r="M29" s="41"/>
      <c r="N29" s="41"/>
      <c r="O29" s="32"/>
    </row>
    <row r="30" spans="1:15" ht="21" customHeight="1" thickBot="1" x14ac:dyDescent="0.35">
      <c r="A30" s="13"/>
      <c r="B30" s="18" t="s">
        <v>30</v>
      </c>
      <c r="C30" s="34" t="s">
        <v>36</v>
      </c>
      <c r="D30" s="34" t="s">
        <v>37</v>
      </c>
      <c r="E30" s="35" t="s">
        <v>38</v>
      </c>
      <c r="F30" s="34" t="s">
        <v>39</v>
      </c>
      <c r="G30" s="34" t="s">
        <v>40</v>
      </c>
      <c r="H30" s="34" t="s">
        <v>41</v>
      </c>
      <c r="I30" s="34" t="s">
        <v>42</v>
      </c>
      <c r="J30" s="34" t="s">
        <v>43</v>
      </c>
      <c r="K30" s="34" t="s">
        <v>46</v>
      </c>
      <c r="L30" s="34" t="s">
        <v>47</v>
      </c>
      <c r="M30" s="34" t="s">
        <v>48</v>
      </c>
      <c r="N30" s="34" t="s">
        <v>49</v>
      </c>
      <c r="O30" s="36" t="s">
        <v>50</v>
      </c>
    </row>
    <row r="31" spans="1:15" ht="21" customHeight="1" thickBot="1" x14ac:dyDescent="0.35">
      <c r="A31" s="13"/>
      <c r="B31" s="23" t="s">
        <v>31</v>
      </c>
      <c r="C31" s="24">
        <v>2000</v>
      </c>
      <c r="D31" s="25">
        <v>2000</v>
      </c>
      <c r="E31" s="25">
        <v>2000</v>
      </c>
      <c r="F31" s="25">
        <v>2000</v>
      </c>
      <c r="G31" s="25">
        <v>2000</v>
      </c>
      <c r="H31" s="25">
        <v>2000</v>
      </c>
      <c r="I31" s="25">
        <v>2000</v>
      </c>
      <c r="J31" s="25">
        <v>2000</v>
      </c>
      <c r="K31" s="25">
        <v>2000</v>
      </c>
      <c r="L31" s="25">
        <v>2000</v>
      </c>
      <c r="M31" s="25">
        <v>2000</v>
      </c>
      <c r="N31" s="25">
        <v>2000</v>
      </c>
      <c r="O31" s="26">
        <f>SUM(C31:N31)</f>
        <v>24000</v>
      </c>
    </row>
    <row r="32" spans="1:15" ht="21" customHeight="1" thickBot="1" x14ac:dyDescent="0.35">
      <c r="A32" s="13"/>
      <c r="B32" s="23" t="s">
        <v>32</v>
      </c>
      <c r="C32" s="24">
        <v>2000</v>
      </c>
      <c r="D32" s="25">
        <v>2000</v>
      </c>
      <c r="E32" s="25">
        <v>2000</v>
      </c>
      <c r="F32" s="25">
        <v>2000</v>
      </c>
      <c r="G32" s="25">
        <v>2000</v>
      </c>
      <c r="H32" s="25">
        <v>2000</v>
      </c>
      <c r="I32" s="25">
        <v>2000</v>
      </c>
      <c r="J32" s="25">
        <v>2000</v>
      </c>
      <c r="K32" s="25">
        <v>2000</v>
      </c>
      <c r="L32" s="25">
        <v>2000</v>
      </c>
      <c r="M32" s="25">
        <v>2000</v>
      </c>
      <c r="N32" s="25">
        <v>2000</v>
      </c>
      <c r="O32" s="26">
        <f>SUM(C32:N32)</f>
        <v>24000</v>
      </c>
    </row>
    <row r="33" spans="1:15" ht="21" customHeight="1" x14ac:dyDescent="0.3">
      <c r="A33" s="13"/>
      <c r="B33" s="91" t="s">
        <v>13</v>
      </c>
      <c r="C33" s="92">
        <f>SUBTOTAL(109,教育訓練與差旅計劃[1 月])</f>
        <v>4000</v>
      </c>
      <c r="D33" s="60">
        <f>SUBTOTAL(109,教育訓練與差旅計劃[2 月])</f>
        <v>4000</v>
      </c>
      <c r="E33" s="60">
        <f>SUBTOTAL(109,教育訓練與差旅計劃[3 月])</f>
        <v>4000</v>
      </c>
      <c r="F33" s="60">
        <f>SUBTOTAL(109,教育訓練與差旅計劃[4 月])</f>
        <v>4000</v>
      </c>
      <c r="G33" s="60">
        <f>SUBTOTAL(109,教育訓練與差旅計劃[5 月])</f>
        <v>4000</v>
      </c>
      <c r="H33" s="60">
        <f>SUBTOTAL(109,教育訓練與差旅計劃[6 月])</f>
        <v>4000</v>
      </c>
      <c r="I33" s="60">
        <f>SUBTOTAL(109,教育訓練與差旅計劃[7 月])</f>
        <v>4000</v>
      </c>
      <c r="J33" s="60">
        <f>SUBTOTAL(109,教育訓練與差旅計劃[8 月])</f>
        <v>4000</v>
      </c>
      <c r="K33" s="60">
        <f>SUBTOTAL(109,教育訓練與差旅計劃[9 月])</f>
        <v>4000</v>
      </c>
      <c r="L33" s="60">
        <f>SUBTOTAL(109,教育訓練與差旅計劃[10 月])</f>
        <v>4000</v>
      </c>
      <c r="M33" s="60">
        <f>SUBTOTAL(109,教育訓練與差旅計劃[11 月])</f>
        <v>4000</v>
      </c>
      <c r="N33" s="60">
        <f>SUBTOTAL(109,教育訓練與差旅計劃[12 月])</f>
        <v>4000</v>
      </c>
      <c r="O33" s="61">
        <f>SUBTOTAL(109,教育訓練與差旅計劃[年度])</f>
        <v>48000</v>
      </c>
    </row>
    <row r="34" spans="1:15" ht="21" customHeight="1" x14ac:dyDescent="0.3">
      <c r="A34" s="13"/>
      <c r="B34" s="30"/>
      <c r="C34" s="30"/>
      <c r="D34" s="32"/>
      <c r="E34" s="32"/>
      <c r="F34" s="32"/>
      <c r="G34" s="32"/>
      <c r="H34" s="32"/>
      <c r="I34" s="32"/>
      <c r="J34" s="32"/>
      <c r="K34" s="32"/>
      <c r="L34" s="32"/>
      <c r="M34" s="32"/>
      <c r="N34" s="32"/>
      <c r="O34" s="32"/>
    </row>
    <row r="35" spans="1:15" ht="24.95" customHeight="1" thickBot="1" x14ac:dyDescent="0.35">
      <c r="A35" s="13"/>
      <c r="B35" s="93" t="s">
        <v>33</v>
      </c>
      <c r="C35" s="94" t="s">
        <v>36</v>
      </c>
      <c r="D35" s="94" t="s">
        <v>37</v>
      </c>
      <c r="E35" s="94" t="s">
        <v>38</v>
      </c>
      <c r="F35" s="94" t="s">
        <v>39</v>
      </c>
      <c r="G35" s="94" t="s">
        <v>40</v>
      </c>
      <c r="H35" s="94" t="s">
        <v>41</v>
      </c>
      <c r="I35" s="94" t="s">
        <v>42</v>
      </c>
      <c r="J35" s="94" t="s">
        <v>43</v>
      </c>
      <c r="K35" s="94" t="s">
        <v>46</v>
      </c>
      <c r="L35" s="94" t="s">
        <v>47</v>
      </c>
      <c r="M35" s="94" t="s">
        <v>48</v>
      </c>
      <c r="N35" s="94" t="s">
        <v>49</v>
      </c>
      <c r="O35" s="94" t="s">
        <v>50</v>
      </c>
    </row>
    <row r="36" spans="1:15" ht="24.95" customHeight="1" thickBot="1" x14ac:dyDescent="0.35">
      <c r="A36" s="13"/>
      <c r="B36" s="95" t="s">
        <v>34</v>
      </c>
      <c r="C36" s="96">
        <f>教育訓練與差旅計劃[[#Totals],[1 月]]+行銷計劃[[#Totals],[1 月]]+辦公室計劃[[#Totals],[1 月]]+員工計劃[[#Totals],[1 月]]</f>
        <v>131420</v>
      </c>
      <c r="D36" s="96">
        <f>教育訓練與差旅計劃[[#Totals],[2 月]]+行銷計劃[[#Totals],[2 月]]+辦公室計劃[[#Totals],[2 月]]+員工計劃[[#Totals],[2 月]]</f>
        <v>126820</v>
      </c>
      <c r="E36" s="96">
        <f>教育訓練與差旅計劃[[#Totals],[3 月]]+行銷計劃[[#Totals],[3 月]]+辦公室計劃[[#Totals],[3 月]]+員工計劃[[#Totals],[3 月]]</f>
        <v>126820</v>
      </c>
      <c r="F36" s="96">
        <f>教育訓練與差旅計劃[[#Totals],[4 月]]+行銷計劃[[#Totals],[4 月]]+辦公室計劃[[#Totals],[4 月]]+員工計劃[[#Totals],[4 月]]</f>
        <v>137695</v>
      </c>
      <c r="G36" s="96">
        <f>教育訓練與差旅計劃[[#Totals],[5 月]]+行銷計劃[[#Totals],[5 月]]+辦公室計劃[[#Totals],[5 月]]+員工計劃[[#Totals],[5 月]]</f>
        <v>129695</v>
      </c>
      <c r="H36" s="96">
        <f>教育訓練與差旅計劃[[#Totals],[6 月]]+行銷計劃[[#Totals],[6 月]]+辦公室計劃[[#Totals],[6 月]]+員工計劃[[#Totals],[6 月]]</f>
        <v>130495</v>
      </c>
      <c r="I36" s="97">
        <f>教育訓練與差旅計劃[[#Totals],[7 月]]+行銷計劃[[#Totals],[7 月]]+辦公室計劃[[#Totals],[7 月]]+員工計劃[[#Totals],[7 月]]</f>
        <v>134695</v>
      </c>
      <c r="J36" s="96">
        <f>教育訓練與差旅計劃[[#Totals],[8 月]]+行銷計劃[[#Totals],[8 月]]+辦公室計劃[[#Totals],[8 月]]+員工計劃[[#Totals],[8 月]]</f>
        <v>138918</v>
      </c>
      <c r="K36" s="96">
        <f>教育訓練與差旅計劃[[#Totals],[9 月]]+行銷計劃[[#Totals],[9 月]]+辦公室計劃[[#Totals],[9 月]]+員工計劃[[#Totals],[9 月]]</f>
        <v>135918</v>
      </c>
      <c r="L36" s="96">
        <f>教育訓練與差旅計劃[[#Totals],[10 月]]+行銷計劃[[#Totals],[10 月]]+辦公室計劃[[#Totals],[10 月]]+員工計劃[[#Totals],[10 月]]</f>
        <v>140918</v>
      </c>
      <c r="M36" s="96">
        <f>教育訓練與差旅計劃[[#Totals],[11 月]]+行銷計劃[[#Totals],[11 月]]+辦公室計劃[[#Totals],[11 月]]+員工計劃[[#Totals],[11 月]]</f>
        <v>136218</v>
      </c>
      <c r="N36" s="96">
        <f>教育訓練與差旅計劃[[#Totals],[12 月]]+行銷計劃[[#Totals],[12 月]]+辦公室計劃[[#Totals],[12 月]]+員工計劃[[#Totals],[12 月]]</f>
        <v>140018</v>
      </c>
      <c r="O36" s="96">
        <f>教育訓練與差旅計劃[[#Totals],[年度]]+行銷計劃[[#Totals],[年度]]+辦公室計劃[[#Totals],[年度]]+員工計劃[[#Totals],[年度]]</f>
        <v>1609630</v>
      </c>
    </row>
    <row r="37" spans="1:15" ht="24.95" customHeight="1" x14ac:dyDescent="0.3">
      <c r="A37" s="13"/>
      <c r="B37" s="95" t="s">
        <v>35</v>
      </c>
      <c r="C37" s="96">
        <f>SUM($C$36:C36)</f>
        <v>131420</v>
      </c>
      <c r="D37" s="96">
        <f>SUM($C$36:D36)</f>
        <v>258240</v>
      </c>
      <c r="E37" s="96">
        <f>SUM($C$36:E36)</f>
        <v>385060</v>
      </c>
      <c r="F37" s="96">
        <f>SUM($C$36:F36)</f>
        <v>522755</v>
      </c>
      <c r="G37" s="96">
        <f>SUM($C$36:G36)</f>
        <v>652450</v>
      </c>
      <c r="H37" s="96">
        <f>SUM($C$36:H36)</f>
        <v>782945</v>
      </c>
      <c r="I37" s="96">
        <f>SUM($C$36:I36)</f>
        <v>917640</v>
      </c>
      <c r="J37" s="96">
        <f>SUM($C$36:J36)</f>
        <v>1056558</v>
      </c>
      <c r="K37" s="96">
        <f>SUM($C$36:K36)</f>
        <v>1192476</v>
      </c>
      <c r="L37" s="96">
        <f>SUM($C$36:L36)</f>
        <v>1333394</v>
      </c>
      <c r="M37" s="96">
        <f>SUM($C$36:M36)</f>
        <v>1469612</v>
      </c>
      <c r="N37" s="96">
        <f>SUM($C$36:N36)</f>
        <v>1609630</v>
      </c>
      <c r="O37" s="96"/>
    </row>
    <row r="38" spans="1:15" ht="21" customHeight="1" x14ac:dyDescent="0.3">
      <c r="A38" s="13"/>
    </row>
  </sheetData>
  <mergeCells count="3">
    <mergeCell ref="R4:T13"/>
    <mergeCell ref="K2:M2"/>
    <mergeCell ref="K3:M3"/>
  </mergeCells>
  <phoneticPr fontId="1" type="noConversion"/>
  <dataValidations count="10">
    <dataValidation allowBlank="1" showInputMessage="1" showErrorMessage="1" prompt="祕訣：如何使用 [計劃費用] 和 [實際費用] 工作表上的白色儲存格中的這份 TEMPLATE_x000a_Input 資料，系統會為您計算「費用差異」和「費用分析」。如果您在其中一張工作表上新增列，另一張工作表也需要執行同樣操作。" sqref="R4:T13" xr:uid="{D85A6A5C-0DE6-4E23-8EF4-E4198877A2E2}"/>
    <dataValidation allowBlank="1" showInputMessage="1" showErrorMessage="1" prompt="標誌預留位置在此儲存格中。" sqref="N2" xr:uid="{945E4055-1BEA-4F2B-AF1A-B15640887A38}"/>
    <dataValidation allowBlank="1" showInputMessage="1" showErrorMessage="1" prompt="[計劃費用] 標籤位於右側儲存格，儲存格 C4 到 N4 為月份，[年度] 標籤位於 O4，而儲存格 R4 則是如何使用這份範本的指示。" sqref="A4" xr:uid="{FC1A50C5-6C61-4FA0-BFBA-2CC82DE4DC0B}"/>
    <dataValidation allowBlank="1" showInputMessage="1" showErrorMessage="1" prompt="在右側儲存格開始的員工計劃表格中輸入員工成本。下一個指示位於儲存格 A10。" sqref="A5" xr:uid="{EED19FC0-ADDC-4580-BE69-2FEDE2EE49A6}"/>
    <dataValidation allowBlank="1" showInputMessage="1" showErrorMessage="1" prompt="在右側儲存格開始的辦公室計劃表格中輸入辦公室成本。下一個指示位於儲存格 A21。" sqref="A10" xr:uid="{8C5477C2-13FC-4F55-AAB3-60246BBB7A64}"/>
    <dataValidation allowBlank="1" showInputMessage="1" showErrorMessage="1" prompt="從右側儲存格開始，輸入行銷計劃表格中的行銷成本。下一個指示位於儲存格 A30。" sqref="A21" xr:uid="{66411362-0BD5-4E49-BFA8-E0A0A55D07AD}"/>
    <dataValidation allowBlank="1" showInputMessage="1" showErrorMessage="1" prompt="在右側儲存格開始的總計計劃費用表格會自動計算總計。" sqref="A30" xr:uid="{6B0B8404-700F-48B3-AD96-0ED1CE7011E9}"/>
    <dataValidation allowBlank="1" showInputMessage="1" showErrorMessage="1" prompt="在本工作表的個別表格中輸入計劃員工成本、辦公室成本、行銷成本和教育訓練或差旅費用。系統會自動計算總計。如何使用本工作表的指示位於此欄的儲存格中。按向下箭號以開始。" sqref="A1" xr:uid="{C6D84CBA-4A3E-4161-9004-1D9F785E5541}"/>
    <dataValidation allowBlank="1" showInputMessage="1" showErrorMessage="1" prompt="在右側儲存格中輸入公司名稱，在儲存格 N2 輸入標誌。本工作表的標題位於儲存格 K2。" sqref="A2" xr:uid="{B4473BB7-021E-4A63-A5F5-4234C1B5B724}"/>
    <dataValidation allowBlank="1" showInputMessage="1" showErrorMessage="1" prompt="祕訣位於儲存格 K3。" sqref="A3" xr:uid="{3ECF8058-2463-465E-ADF4-F540ECB4A91E}"/>
  </dataValidations>
  <pageMargins left="0.7" right="0.7" top="0.75" bottom="0.75" header="0.3" footer="0.3"/>
  <pageSetup paperSize="9" fitToHeight="0" orientation="portrait" r:id="rId1"/>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pageSetUpPr autoPageBreaks="0"/>
  </sheetPr>
  <dimension ref="A1:P38"/>
  <sheetViews>
    <sheetView showGridLines="0" zoomScaleNormal="100" workbookViewId="0"/>
  </sheetViews>
  <sheetFormatPr defaultColWidth="9.140625" defaultRowHeight="21" customHeight="1" x14ac:dyDescent="0.3"/>
  <cols>
    <col min="1" max="1" width="4.7109375" style="5" customWidth="1"/>
    <col min="2" max="2" width="33.42578125" style="22" customWidth="1"/>
    <col min="3" max="15" width="17.7109375" style="22" customWidth="1"/>
    <col min="16" max="16" width="4.7109375" style="5" customWidth="1"/>
    <col min="17" max="16384" width="9.140625" style="22"/>
  </cols>
  <sheetData>
    <row r="1" spans="1:16" s="5" customFormat="1" ht="24" customHeight="1" x14ac:dyDescent="0.3">
      <c r="A1" s="1"/>
      <c r="B1" s="2"/>
      <c r="C1" s="2"/>
      <c r="D1" s="2"/>
      <c r="E1" s="2"/>
      <c r="F1" s="3"/>
      <c r="G1" s="3"/>
      <c r="H1" s="3"/>
      <c r="I1" s="3"/>
      <c r="J1" s="3"/>
      <c r="K1" s="3"/>
      <c r="L1" s="3"/>
      <c r="M1" s="3"/>
      <c r="N1" s="3"/>
      <c r="O1" s="3"/>
      <c r="P1" s="4" t="s">
        <v>51</v>
      </c>
    </row>
    <row r="2" spans="1:16" s="5" customFormat="1" ht="45" customHeight="1" x14ac:dyDescent="0.3">
      <c r="A2" s="6"/>
      <c r="B2" s="7" t="str">
        <f>計劃費用!B2:D3</f>
        <v>公司名稱</v>
      </c>
      <c r="C2" s="7"/>
      <c r="D2" s="7"/>
      <c r="E2" s="8"/>
      <c r="F2" s="9"/>
      <c r="G2" s="9"/>
      <c r="H2" s="9"/>
      <c r="I2" s="9"/>
      <c r="J2" s="9"/>
      <c r="K2" s="109" t="str">
        <f>工作表_標題</f>
        <v>預估費用明細</v>
      </c>
      <c r="L2" s="109"/>
      <c r="M2" s="109"/>
      <c r="N2" s="10"/>
      <c r="O2" s="10"/>
      <c r="P2" s="3"/>
    </row>
    <row r="3" spans="1:16" s="5" customFormat="1" ht="30" customHeight="1" x14ac:dyDescent="0.3">
      <c r="A3" s="6"/>
      <c r="B3" s="7"/>
      <c r="C3" s="7"/>
      <c r="D3" s="7"/>
      <c r="E3" s="11"/>
      <c r="F3" s="12"/>
      <c r="G3" s="12"/>
      <c r="H3" s="12"/>
      <c r="I3" s="12"/>
      <c r="J3" s="12"/>
      <c r="K3" s="111" t="s">
        <v>45</v>
      </c>
      <c r="L3" s="111"/>
      <c r="M3" s="111"/>
      <c r="N3" s="10"/>
      <c r="O3" s="10"/>
      <c r="P3" s="3"/>
    </row>
    <row r="4" spans="1:16" s="17" customFormat="1" ht="49.5" customHeight="1" x14ac:dyDescent="0.3">
      <c r="A4" s="13"/>
      <c r="B4" s="14" t="s">
        <v>56</v>
      </c>
      <c r="C4" s="15" t="s">
        <v>36</v>
      </c>
      <c r="D4" s="15" t="s">
        <v>37</v>
      </c>
      <c r="E4" s="16" t="s">
        <v>38</v>
      </c>
      <c r="F4" s="15" t="s">
        <v>39</v>
      </c>
      <c r="G4" s="15" t="s">
        <v>40</v>
      </c>
      <c r="H4" s="15" t="s">
        <v>41</v>
      </c>
      <c r="I4" s="16" t="s">
        <v>42</v>
      </c>
      <c r="J4" s="15" t="s">
        <v>43</v>
      </c>
      <c r="K4" s="15" t="s">
        <v>46</v>
      </c>
      <c r="L4" s="15" t="s">
        <v>47</v>
      </c>
      <c r="M4" s="15" t="s">
        <v>48</v>
      </c>
      <c r="N4" s="16" t="s">
        <v>49</v>
      </c>
      <c r="O4" s="15" t="s">
        <v>50</v>
      </c>
    </row>
    <row r="5" spans="1:16" ht="24.95" customHeight="1" thickBot="1" x14ac:dyDescent="0.35">
      <c r="A5" s="13"/>
      <c r="B5" s="52" t="s">
        <v>10</v>
      </c>
      <c r="C5" s="53" t="s">
        <v>36</v>
      </c>
      <c r="D5" s="34" t="s">
        <v>37</v>
      </c>
      <c r="E5" s="35" t="s">
        <v>38</v>
      </c>
      <c r="F5" s="34" t="s">
        <v>39</v>
      </c>
      <c r="G5" s="34" t="s">
        <v>40</v>
      </c>
      <c r="H5" s="34" t="s">
        <v>41</v>
      </c>
      <c r="I5" s="34" t="s">
        <v>42</v>
      </c>
      <c r="J5" s="34" t="s">
        <v>43</v>
      </c>
      <c r="K5" s="34" t="s">
        <v>46</v>
      </c>
      <c r="L5" s="34" t="s">
        <v>47</v>
      </c>
      <c r="M5" s="34" t="s">
        <v>48</v>
      </c>
      <c r="N5" s="34" t="s">
        <v>49</v>
      </c>
      <c r="O5" s="36" t="s">
        <v>50</v>
      </c>
    </row>
    <row r="6" spans="1:16" ht="24.95" customHeight="1" thickBot="1" x14ac:dyDescent="0.35">
      <c r="A6" s="13"/>
      <c r="B6" s="23" t="s">
        <v>11</v>
      </c>
      <c r="C6" s="24">
        <v>85000</v>
      </c>
      <c r="D6" s="25">
        <v>85000</v>
      </c>
      <c r="E6" s="25">
        <v>85000</v>
      </c>
      <c r="F6" s="25">
        <v>88000</v>
      </c>
      <c r="G6" s="25">
        <v>88000</v>
      </c>
      <c r="H6" s="25">
        <v>88000</v>
      </c>
      <c r="I6" s="25"/>
      <c r="J6" s="25"/>
      <c r="K6" s="25"/>
      <c r="L6" s="25"/>
      <c r="M6" s="25"/>
      <c r="N6" s="25"/>
      <c r="O6" s="26">
        <f>SUM(C6:N6)</f>
        <v>519000</v>
      </c>
    </row>
    <row r="7" spans="1:16" ht="24.95" customHeight="1" thickBot="1" x14ac:dyDescent="0.35">
      <c r="A7" s="13"/>
      <c r="B7" s="23" t="s">
        <v>12</v>
      </c>
      <c r="C7" s="24">
        <f t="shared" ref="C7:N7" si="0">C6*0.27</f>
        <v>22950</v>
      </c>
      <c r="D7" s="25">
        <f t="shared" si="0"/>
        <v>22950</v>
      </c>
      <c r="E7" s="25">
        <f t="shared" si="0"/>
        <v>22950</v>
      </c>
      <c r="F7" s="25">
        <f t="shared" si="0"/>
        <v>23760</v>
      </c>
      <c r="G7" s="25">
        <f t="shared" si="0"/>
        <v>23760</v>
      </c>
      <c r="H7" s="25">
        <f t="shared" si="0"/>
        <v>23760</v>
      </c>
      <c r="I7" s="25">
        <f t="shared" si="0"/>
        <v>0</v>
      </c>
      <c r="J7" s="25">
        <f t="shared" si="0"/>
        <v>0</v>
      </c>
      <c r="K7" s="25">
        <f t="shared" si="0"/>
        <v>0</v>
      </c>
      <c r="L7" s="25">
        <f t="shared" si="0"/>
        <v>0</v>
      </c>
      <c r="M7" s="25">
        <f t="shared" si="0"/>
        <v>0</v>
      </c>
      <c r="N7" s="25">
        <f t="shared" si="0"/>
        <v>0</v>
      </c>
      <c r="O7" s="26">
        <f>SUM(C7:N7)</f>
        <v>140130</v>
      </c>
    </row>
    <row r="8" spans="1:16" ht="24.95" customHeight="1" x14ac:dyDescent="0.3">
      <c r="A8" s="13"/>
      <c r="B8" s="54" t="s">
        <v>13</v>
      </c>
      <c r="C8" s="55">
        <f>SUBTOTAL(109,員工實際數字[1 月])</f>
        <v>107950</v>
      </c>
      <c r="D8" s="28">
        <f>SUBTOTAL(109,員工實際數字[2 月])</f>
        <v>107950</v>
      </c>
      <c r="E8" s="28">
        <f>SUBTOTAL(109,員工實際數字[3 月])</f>
        <v>107950</v>
      </c>
      <c r="F8" s="28">
        <f>SUBTOTAL(109,員工實際數字[4 月])</f>
        <v>111760</v>
      </c>
      <c r="G8" s="28">
        <f>SUBTOTAL(109,員工實際數字[5 月])</f>
        <v>111760</v>
      </c>
      <c r="H8" s="28">
        <f>SUBTOTAL(109,員工實際數字[6 月])</f>
        <v>111760</v>
      </c>
      <c r="I8" s="28">
        <f>SUBTOTAL(109,員工實際數字[7 月])</f>
        <v>0</v>
      </c>
      <c r="J8" s="28">
        <f>SUBTOTAL(109,員工實際數字[8 月])</f>
        <v>0</v>
      </c>
      <c r="K8" s="28">
        <f>SUBTOTAL(109,員工實際數字[9 月])</f>
        <v>0</v>
      </c>
      <c r="L8" s="28">
        <f>SUBTOTAL(109,員工實際數字[10 月])</f>
        <v>0</v>
      </c>
      <c r="M8" s="28">
        <f>SUBTOTAL(109,員工實際數字[11 月])</f>
        <v>0</v>
      </c>
      <c r="N8" s="28">
        <f>SUBTOTAL(109,員工實際數字[12 月])</f>
        <v>0</v>
      </c>
      <c r="O8" s="29">
        <f>SUBTOTAL(109,員工實際數字[年度])</f>
        <v>659130</v>
      </c>
    </row>
    <row r="9" spans="1:16" s="5" customFormat="1" ht="21" customHeight="1" x14ac:dyDescent="0.3">
      <c r="A9" s="13"/>
      <c r="B9" s="30"/>
      <c r="C9" s="30"/>
      <c r="D9" s="31"/>
      <c r="E9" s="31"/>
      <c r="F9" s="31"/>
      <c r="G9" s="31"/>
      <c r="H9" s="31"/>
      <c r="I9" s="31"/>
      <c r="J9" s="31"/>
      <c r="K9" s="31"/>
      <c r="L9" s="31"/>
      <c r="M9" s="31"/>
      <c r="N9" s="31"/>
      <c r="O9" s="32"/>
    </row>
    <row r="10" spans="1:16" ht="24.95" customHeight="1" thickBot="1" x14ac:dyDescent="0.35">
      <c r="A10" s="13"/>
      <c r="B10" s="56" t="s">
        <v>14</v>
      </c>
      <c r="C10" s="53" t="s">
        <v>36</v>
      </c>
      <c r="D10" s="34" t="s">
        <v>37</v>
      </c>
      <c r="E10" s="35" t="s">
        <v>38</v>
      </c>
      <c r="F10" s="34" t="s">
        <v>39</v>
      </c>
      <c r="G10" s="34" t="s">
        <v>40</v>
      </c>
      <c r="H10" s="34" t="s">
        <v>41</v>
      </c>
      <c r="I10" s="34" t="s">
        <v>42</v>
      </c>
      <c r="J10" s="34" t="s">
        <v>43</v>
      </c>
      <c r="K10" s="34" t="s">
        <v>46</v>
      </c>
      <c r="L10" s="34" t="s">
        <v>47</v>
      </c>
      <c r="M10" s="34" t="s">
        <v>48</v>
      </c>
      <c r="N10" s="34" t="s">
        <v>49</v>
      </c>
      <c r="O10" s="36" t="s">
        <v>50</v>
      </c>
    </row>
    <row r="11" spans="1:16" ht="24.95" customHeight="1" thickBot="1" x14ac:dyDescent="0.35">
      <c r="A11" s="13"/>
      <c r="B11" s="23" t="s">
        <v>15</v>
      </c>
      <c r="C11" s="24">
        <v>9800</v>
      </c>
      <c r="D11" s="25">
        <v>9800</v>
      </c>
      <c r="E11" s="25">
        <v>9800</v>
      </c>
      <c r="F11" s="25">
        <v>9800</v>
      </c>
      <c r="G11" s="25">
        <v>9800</v>
      </c>
      <c r="H11" s="25">
        <v>9800</v>
      </c>
      <c r="I11" s="25"/>
      <c r="J11" s="25"/>
      <c r="K11" s="25"/>
      <c r="L11" s="25"/>
      <c r="M11" s="25"/>
      <c r="N11" s="25"/>
      <c r="O11" s="26">
        <f t="shared" ref="O11:O18" si="1">SUM(C11:N11)</f>
        <v>58800</v>
      </c>
    </row>
    <row r="12" spans="1:16" ht="24.95" customHeight="1" thickBot="1" x14ac:dyDescent="0.35">
      <c r="A12" s="13"/>
      <c r="B12" s="23" t="s">
        <v>16</v>
      </c>
      <c r="C12" s="24">
        <v>4</v>
      </c>
      <c r="D12" s="25">
        <v>430</v>
      </c>
      <c r="E12" s="25">
        <v>385</v>
      </c>
      <c r="F12" s="25">
        <v>230</v>
      </c>
      <c r="G12" s="25">
        <v>87</v>
      </c>
      <c r="H12" s="25">
        <v>88</v>
      </c>
      <c r="I12" s="25"/>
      <c r="J12" s="25"/>
      <c r="K12" s="25"/>
      <c r="L12" s="25"/>
      <c r="M12" s="25"/>
      <c r="N12" s="25"/>
      <c r="O12" s="26">
        <f t="shared" si="1"/>
        <v>1224</v>
      </c>
    </row>
    <row r="13" spans="1:16" ht="24.95" customHeight="1" thickBot="1" x14ac:dyDescent="0.35">
      <c r="A13" s="13"/>
      <c r="B13" s="23" t="s">
        <v>17</v>
      </c>
      <c r="C13" s="24">
        <v>288</v>
      </c>
      <c r="D13" s="25">
        <v>278</v>
      </c>
      <c r="E13" s="25">
        <v>268</v>
      </c>
      <c r="F13" s="25">
        <v>299</v>
      </c>
      <c r="G13" s="25">
        <v>306</v>
      </c>
      <c r="H13" s="25">
        <v>290</v>
      </c>
      <c r="I13" s="25"/>
      <c r="J13" s="25"/>
      <c r="K13" s="25"/>
      <c r="L13" s="25"/>
      <c r="M13" s="25"/>
      <c r="N13" s="25"/>
      <c r="O13" s="26">
        <f t="shared" si="1"/>
        <v>1729</v>
      </c>
    </row>
    <row r="14" spans="1:16" ht="24.95" customHeight="1" thickBot="1" x14ac:dyDescent="0.35">
      <c r="A14" s="13"/>
      <c r="B14" s="23" t="s">
        <v>18</v>
      </c>
      <c r="C14" s="24">
        <v>35</v>
      </c>
      <c r="D14" s="25">
        <v>33</v>
      </c>
      <c r="E14" s="25">
        <v>34</v>
      </c>
      <c r="F14" s="25">
        <v>36</v>
      </c>
      <c r="G14" s="25">
        <v>34</v>
      </c>
      <c r="H14" s="25">
        <v>36</v>
      </c>
      <c r="I14" s="25"/>
      <c r="J14" s="25"/>
      <c r="K14" s="25"/>
      <c r="L14" s="25"/>
      <c r="M14" s="25"/>
      <c r="N14" s="25"/>
      <c r="O14" s="26">
        <f t="shared" si="1"/>
        <v>208</v>
      </c>
    </row>
    <row r="15" spans="1:16" ht="24.95" customHeight="1" thickBot="1" x14ac:dyDescent="0.35">
      <c r="A15" s="13"/>
      <c r="B15" s="23" t="s">
        <v>19</v>
      </c>
      <c r="C15" s="24">
        <v>224</v>
      </c>
      <c r="D15" s="25">
        <v>235</v>
      </c>
      <c r="E15" s="25">
        <v>265</v>
      </c>
      <c r="F15" s="25">
        <v>245</v>
      </c>
      <c r="G15" s="25">
        <v>245</v>
      </c>
      <c r="H15" s="25">
        <v>220</v>
      </c>
      <c r="I15" s="25"/>
      <c r="J15" s="25"/>
      <c r="K15" s="25"/>
      <c r="L15" s="25"/>
      <c r="M15" s="25"/>
      <c r="N15" s="25"/>
      <c r="O15" s="26">
        <f t="shared" si="1"/>
        <v>1434</v>
      </c>
    </row>
    <row r="16" spans="1:16" ht="24.95" customHeight="1" thickBot="1" x14ac:dyDescent="0.35">
      <c r="A16" s="13"/>
      <c r="B16" s="23" t="s">
        <v>20</v>
      </c>
      <c r="C16" s="24">
        <v>180</v>
      </c>
      <c r="D16" s="25">
        <v>180</v>
      </c>
      <c r="E16" s="25">
        <v>180</v>
      </c>
      <c r="F16" s="25">
        <v>180</v>
      </c>
      <c r="G16" s="25">
        <v>180</v>
      </c>
      <c r="H16" s="25">
        <v>180</v>
      </c>
      <c r="I16" s="25"/>
      <c r="J16" s="25"/>
      <c r="K16" s="25"/>
      <c r="L16" s="25"/>
      <c r="M16" s="25"/>
      <c r="N16" s="25"/>
      <c r="O16" s="26">
        <f t="shared" si="1"/>
        <v>1080</v>
      </c>
    </row>
    <row r="17" spans="1:15" ht="24.95" customHeight="1" thickBot="1" x14ac:dyDescent="0.35">
      <c r="A17" s="13"/>
      <c r="B17" s="23" t="s">
        <v>21</v>
      </c>
      <c r="C17" s="24">
        <v>256</v>
      </c>
      <c r="D17" s="25">
        <v>142</v>
      </c>
      <c r="E17" s="25">
        <v>160</v>
      </c>
      <c r="F17" s="25">
        <v>221</v>
      </c>
      <c r="G17" s="25">
        <v>256</v>
      </c>
      <c r="H17" s="25">
        <v>240</v>
      </c>
      <c r="I17" s="25"/>
      <c r="J17" s="25"/>
      <c r="K17" s="25"/>
      <c r="L17" s="25"/>
      <c r="M17" s="25"/>
      <c r="N17" s="25"/>
      <c r="O17" s="26">
        <f t="shared" si="1"/>
        <v>1275</v>
      </c>
    </row>
    <row r="18" spans="1:15" ht="24.95" customHeight="1" thickBot="1" x14ac:dyDescent="0.35">
      <c r="A18" s="13"/>
      <c r="B18" s="23" t="s">
        <v>22</v>
      </c>
      <c r="C18" s="24">
        <v>600</v>
      </c>
      <c r="D18" s="25">
        <v>600</v>
      </c>
      <c r="E18" s="25">
        <v>600</v>
      </c>
      <c r="F18" s="25">
        <v>600</v>
      </c>
      <c r="G18" s="25">
        <v>600</v>
      </c>
      <c r="H18" s="25">
        <v>600</v>
      </c>
      <c r="I18" s="25"/>
      <c r="J18" s="25"/>
      <c r="K18" s="25"/>
      <c r="L18" s="25"/>
      <c r="M18" s="25"/>
      <c r="N18" s="25"/>
      <c r="O18" s="26">
        <f t="shared" si="1"/>
        <v>3600</v>
      </c>
    </row>
    <row r="19" spans="1:15" ht="24.95" customHeight="1" x14ac:dyDescent="0.3">
      <c r="A19" s="13"/>
      <c r="B19" s="103" t="s">
        <v>13</v>
      </c>
      <c r="C19" s="104">
        <f>SUBTOTAL(109,辦公室實際數字[1 月])</f>
        <v>11387</v>
      </c>
      <c r="D19" s="104">
        <f>SUBTOTAL(109,辦公室實際數字[2 月])</f>
        <v>11698</v>
      </c>
      <c r="E19" s="104">
        <f>SUBTOTAL(109,辦公室實際數字[3 月])</f>
        <v>11692</v>
      </c>
      <c r="F19" s="104">
        <f>SUBTOTAL(109,辦公室實際數字[4 月])</f>
        <v>11611</v>
      </c>
      <c r="G19" s="104">
        <f>SUBTOTAL(109,辦公室實際數字[5 月])</f>
        <v>11508</v>
      </c>
      <c r="H19" s="104">
        <f>SUBTOTAL(109,辦公室實際數字[6 月])</f>
        <v>11454</v>
      </c>
      <c r="I19" s="104">
        <f>SUBTOTAL(109,辦公室實際數字[7 月])</f>
        <v>0</v>
      </c>
      <c r="J19" s="104">
        <f>SUBTOTAL(109,辦公室實際數字[8 月])</f>
        <v>0</v>
      </c>
      <c r="K19" s="104">
        <f>SUBTOTAL(109,辦公室實際數字[9 月])</f>
        <v>0</v>
      </c>
      <c r="L19" s="104">
        <f>SUBTOTAL(109,辦公室實際數字[10 月])</f>
        <v>0</v>
      </c>
      <c r="M19" s="104">
        <f>SUBTOTAL(109,辦公室實際數字[11 月])</f>
        <v>0</v>
      </c>
      <c r="N19" s="104">
        <f>SUBTOTAL(109,辦公室實際數字[12 月])</f>
        <v>0</v>
      </c>
      <c r="O19" s="105">
        <f>SUBTOTAL(109,辦公室實際數字[年度])</f>
        <v>69350</v>
      </c>
    </row>
    <row r="20" spans="1:15" ht="21" customHeight="1" x14ac:dyDescent="0.3">
      <c r="A20" s="13"/>
      <c r="B20" s="40"/>
      <c r="C20" s="40"/>
      <c r="D20" s="31"/>
      <c r="E20" s="31"/>
      <c r="F20" s="41"/>
      <c r="G20" s="41"/>
      <c r="H20" s="41"/>
      <c r="I20" s="41"/>
      <c r="J20" s="41"/>
      <c r="K20" s="41"/>
      <c r="L20" s="41"/>
      <c r="M20" s="41"/>
      <c r="N20" s="41"/>
      <c r="O20" s="32"/>
    </row>
    <row r="21" spans="1:15" ht="24.95" customHeight="1" thickBot="1" x14ac:dyDescent="0.35">
      <c r="A21" s="13"/>
      <c r="B21" s="57" t="s">
        <v>23</v>
      </c>
      <c r="C21" s="53" t="s">
        <v>36</v>
      </c>
      <c r="D21" s="34" t="s">
        <v>37</v>
      </c>
      <c r="E21" s="35" t="s">
        <v>38</v>
      </c>
      <c r="F21" s="34" t="s">
        <v>39</v>
      </c>
      <c r="G21" s="34" t="s">
        <v>40</v>
      </c>
      <c r="H21" s="34" t="s">
        <v>41</v>
      </c>
      <c r="I21" s="34" t="s">
        <v>42</v>
      </c>
      <c r="J21" s="34" t="s">
        <v>43</v>
      </c>
      <c r="K21" s="34" t="s">
        <v>46</v>
      </c>
      <c r="L21" s="34" t="s">
        <v>47</v>
      </c>
      <c r="M21" s="34" t="s">
        <v>48</v>
      </c>
      <c r="N21" s="34" t="s">
        <v>49</v>
      </c>
      <c r="O21" s="36" t="s">
        <v>50</v>
      </c>
    </row>
    <row r="22" spans="1:15" ht="24.95" customHeight="1" thickBot="1" x14ac:dyDescent="0.35">
      <c r="A22" s="13"/>
      <c r="B22" s="23" t="s">
        <v>24</v>
      </c>
      <c r="C22" s="24">
        <v>500</v>
      </c>
      <c r="D22" s="25">
        <v>500</v>
      </c>
      <c r="E22" s="25">
        <v>500</v>
      </c>
      <c r="F22" s="25">
        <v>500</v>
      </c>
      <c r="G22" s="25">
        <v>500</v>
      </c>
      <c r="H22" s="25">
        <v>500</v>
      </c>
      <c r="I22" s="25"/>
      <c r="J22" s="25"/>
      <c r="K22" s="25"/>
      <c r="L22" s="25"/>
      <c r="M22" s="25"/>
      <c r="N22" s="25"/>
      <c r="O22" s="26">
        <f t="shared" ref="O22:O27" si="2">SUM(C22:N22)</f>
        <v>3000</v>
      </c>
    </row>
    <row r="23" spans="1:15" ht="24.95" customHeight="1" thickBot="1" x14ac:dyDescent="0.35">
      <c r="A23" s="13"/>
      <c r="B23" s="23" t="s">
        <v>25</v>
      </c>
      <c r="C23" s="24">
        <v>200</v>
      </c>
      <c r="D23" s="25">
        <v>200</v>
      </c>
      <c r="E23" s="25">
        <v>200</v>
      </c>
      <c r="F23" s="25">
        <v>200</v>
      </c>
      <c r="G23" s="25">
        <v>200</v>
      </c>
      <c r="H23" s="25">
        <v>1500</v>
      </c>
      <c r="I23" s="25"/>
      <c r="J23" s="25"/>
      <c r="K23" s="25"/>
      <c r="L23" s="25"/>
      <c r="M23" s="25"/>
      <c r="N23" s="25"/>
      <c r="O23" s="26">
        <f t="shared" si="2"/>
        <v>2500</v>
      </c>
    </row>
    <row r="24" spans="1:15" ht="24.95" customHeight="1" thickBot="1" x14ac:dyDescent="0.35">
      <c r="A24" s="13"/>
      <c r="B24" s="23" t="s">
        <v>26</v>
      </c>
      <c r="C24" s="24">
        <v>4800</v>
      </c>
      <c r="D24" s="25">
        <v>0</v>
      </c>
      <c r="E24" s="25">
        <v>0</v>
      </c>
      <c r="F24" s="25">
        <v>5500</v>
      </c>
      <c r="G24" s="25">
        <v>0</v>
      </c>
      <c r="H24" s="25">
        <v>0</v>
      </c>
      <c r="I24" s="25"/>
      <c r="J24" s="25"/>
      <c r="K24" s="25"/>
      <c r="L24" s="25"/>
      <c r="M24" s="25"/>
      <c r="N24" s="25"/>
      <c r="O24" s="26">
        <f t="shared" si="2"/>
        <v>10300</v>
      </c>
    </row>
    <row r="25" spans="1:15" ht="24.95" customHeight="1" thickBot="1" x14ac:dyDescent="0.35">
      <c r="A25" s="13"/>
      <c r="B25" s="23" t="s">
        <v>27</v>
      </c>
      <c r="C25" s="24">
        <v>100</v>
      </c>
      <c r="D25" s="25">
        <v>500</v>
      </c>
      <c r="E25" s="25">
        <v>100</v>
      </c>
      <c r="F25" s="25">
        <v>100</v>
      </c>
      <c r="G25" s="25">
        <v>600</v>
      </c>
      <c r="H25" s="25">
        <v>180</v>
      </c>
      <c r="I25" s="25"/>
      <c r="J25" s="25"/>
      <c r="K25" s="25"/>
      <c r="L25" s="25"/>
      <c r="M25" s="25"/>
      <c r="N25" s="25"/>
      <c r="O25" s="26">
        <f t="shared" si="2"/>
        <v>1580</v>
      </c>
    </row>
    <row r="26" spans="1:15" ht="24.95" customHeight="1" thickBot="1" x14ac:dyDescent="0.35">
      <c r="A26" s="13"/>
      <c r="B26" s="23" t="s">
        <v>28</v>
      </c>
      <c r="C26" s="24">
        <v>1800</v>
      </c>
      <c r="D26" s="25">
        <v>2200</v>
      </c>
      <c r="E26" s="25">
        <v>2200</v>
      </c>
      <c r="F26" s="25">
        <v>4700</v>
      </c>
      <c r="G26" s="25">
        <v>1500</v>
      </c>
      <c r="H26" s="25">
        <v>2300</v>
      </c>
      <c r="I26" s="25"/>
      <c r="J26" s="25"/>
      <c r="K26" s="25"/>
      <c r="L26" s="25"/>
      <c r="M26" s="25"/>
      <c r="N26" s="25"/>
      <c r="O26" s="26">
        <f t="shared" si="2"/>
        <v>14700</v>
      </c>
    </row>
    <row r="27" spans="1:15" ht="24.95" customHeight="1" thickBot="1" x14ac:dyDescent="0.35">
      <c r="A27" s="13"/>
      <c r="B27" s="23" t="s">
        <v>29</v>
      </c>
      <c r="C27" s="24">
        <v>145</v>
      </c>
      <c r="D27" s="25">
        <v>156</v>
      </c>
      <c r="E27" s="25">
        <v>123</v>
      </c>
      <c r="F27" s="25">
        <v>223</v>
      </c>
      <c r="G27" s="25">
        <v>187</v>
      </c>
      <c r="H27" s="25">
        <v>245</v>
      </c>
      <c r="I27" s="25"/>
      <c r="J27" s="25"/>
      <c r="K27" s="25"/>
      <c r="L27" s="25"/>
      <c r="M27" s="25"/>
      <c r="N27" s="25"/>
      <c r="O27" s="26">
        <f t="shared" si="2"/>
        <v>1079</v>
      </c>
    </row>
    <row r="28" spans="1:15" ht="24.95" customHeight="1" x14ac:dyDescent="0.3">
      <c r="A28" s="13"/>
      <c r="B28" s="58" t="s">
        <v>13</v>
      </c>
      <c r="C28" s="59">
        <f>SUBTOTAL(109,行銷實際數字[1 月])</f>
        <v>7545</v>
      </c>
      <c r="D28" s="60">
        <f>SUBTOTAL(109,行銷實際數字[2 月])</f>
        <v>3556</v>
      </c>
      <c r="E28" s="60">
        <f>SUBTOTAL(109,行銷實際數字[3 月])</f>
        <v>3123</v>
      </c>
      <c r="F28" s="60">
        <f>SUBTOTAL(109,行銷實際數字[4 月])</f>
        <v>11223</v>
      </c>
      <c r="G28" s="60">
        <f>SUBTOTAL(109,行銷實際數字[5 月])</f>
        <v>2987</v>
      </c>
      <c r="H28" s="60">
        <f>SUBTOTAL(109,行銷實際數字[6 月])</f>
        <v>4725</v>
      </c>
      <c r="I28" s="60">
        <f>SUBTOTAL(109,行銷實際數字[7 月])</f>
        <v>0</v>
      </c>
      <c r="J28" s="60">
        <f>SUBTOTAL(109,行銷實際數字[8 月])</f>
        <v>0</v>
      </c>
      <c r="K28" s="60">
        <f>SUBTOTAL(109,行銷實際數字[9 月])</f>
        <v>0</v>
      </c>
      <c r="L28" s="60">
        <f>SUBTOTAL(109,行銷實際數字[10 月])</f>
        <v>0</v>
      </c>
      <c r="M28" s="60">
        <f>SUBTOTAL(109,行銷實際數字[11 月])</f>
        <v>0</v>
      </c>
      <c r="N28" s="60">
        <f>SUBTOTAL(109,行銷實際數字[12 月])</f>
        <v>0</v>
      </c>
      <c r="O28" s="61">
        <f>SUBTOTAL(109,行銷實際數字[年度])</f>
        <v>33159</v>
      </c>
    </row>
    <row r="29" spans="1:15" ht="21" customHeight="1" x14ac:dyDescent="0.3">
      <c r="A29" s="13"/>
      <c r="B29" s="30"/>
      <c r="C29" s="30"/>
      <c r="D29" s="41"/>
      <c r="E29" s="41"/>
      <c r="F29" s="41"/>
      <c r="G29" s="41"/>
      <c r="H29" s="41"/>
      <c r="I29" s="41"/>
      <c r="J29" s="41"/>
      <c r="K29" s="41"/>
      <c r="L29" s="41"/>
      <c r="M29" s="41"/>
      <c r="N29" s="41"/>
      <c r="O29" s="32"/>
    </row>
    <row r="30" spans="1:15" ht="24.95" customHeight="1" thickBot="1" x14ac:dyDescent="0.35">
      <c r="A30" s="13"/>
      <c r="B30" s="18" t="s">
        <v>30</v>
      </c>
      <c r="C30" s="34" t="s">
        <v>36</v>
      </c>
      <c r="D30" s="34" t="s">
        <v>37</v>
      </c>
      <c r="E30" s="35" t="s">
        <v>38</v>
      </c>
      <c r="F30" s="34" t="s">
        <v>39</v>
      </c>
      <c r="G30" s="34" t="s">
        <v>40</v>
      </c>
      <c r="H30" s="34" t="s">
        <v>41</v>
      </c>
      <c r="I30" s="34" t="s">
        <v>42</v>
      </c>
      <c r="J30" s="34" t="s">
        <v>43</v>
      </c>
      <c r="K30" s="34" t="s">
        <v>46</v>
      </c>
      <c r="L30" s="34" t="s">
        <v>47</v>
      </c>
      <c r="M30" s="34" t="s">
        <v>48</v>
      </c>
      <c r="N30" s="34" t="s">
        <v>49</v>
      </c>
      <c r="O30" s="36" t="s">
        <v>50</v>
      </c>
    </row>
    <row r="31" spans="1:15" ht="24.95" customHeight="1" thickBot="1" x14ac:dyDescent="0.35">
      <c r="A31" s="13"/>
      <c r="B31" s="37" t="s">
        <v>31</v>
      </c>
      <c r="C31" s="25">
        <v>1600</v>
      </c>
      <c r="D31" s="25">
        <v>2400</v>
      </c>
      <c r="E31" s="25">
        <v>1400</v>
      </c>
      <c r="F31" s="25">
        <v>1600</v>
      </c>
      <c r="G31" s="25">
        <v>1200</v>
      </c>
      <c r="H31" s="25">
        <v>2800</v>
      </c>
      <c r="I31" s="25"/>
      <c r="J31" s="25"/>
      <c r="K31" s="25"/>
      <c r="L31" s="25"/>
      <c r="M31" s="25"/>
      <c r="N31" s="25"/>
      <c r="O31" s="26">
        <f>SUM(C31:N31)</f>
        <v>11000</v>
      </c>
    </row>
    <row r="32" spans="1:15" ht="24.95" customHeight="1" thickBot="1" x14ac:dyDescent="0.35">
      <c r="A32" s="13"/>
      <c r="B32" s="37" t="s">
        <v>32</v>
      </c>
      <c r="C32" s="25">
        <v>1200</v>
      </c>
      <c r="D32" s="25">
        <v>2200</v>
      </c>
      <c r="E32" s="25">
        <v>1400</v>
      </c>
      <c r="F32" s="25">
        <v>1200</v>
      </c>
      <c r="G32" s="25">
        <v>800</v>
      </c>
      <c r="H32" s="25">
        <v>3500</v>
      </c>
      <c r="I32" s="25"/>
      <c r="J32" s="25"/>
      <c r="K32" s="25"/>
      <c r="L32" s="25"/>
      <c r="M32" s="25"/>
      <c r="N32" s="25"/>
      <c r="O32" s="26">
        <f>SUM(C32:N32)</f>
        <v>10300</v>
      </c>
    </row>
    <row r="33" spans="1:16" ht="24.95" customHeight="1" x14ac:dyDescent="0.3">
      <c r="A33" s="13"/>
      <c r="B33" s="62" t="s">
        <v>13</v>
      </c>
      <c r="C33" s="60">
        <f>SUBTOTAL(109,教育訓練與差旅實際數字[1 月])</f>
        <v>2800</v>
      </c>
      <c r="D33" s="60">
        <f>SUBTOTAL(109,教育訓練與差旅實際數字[2 月])</f>
        <v>4600</v>
      </c>
      <c r="E33" s="60">
        <f>SUBTOTAL(109,教育訓練與差旅實際數字[3 月])</f>
        <v>2800</v>
      </c>
      <c r="F33" s="60">
        <f>SUBTOTAL(109,教育訓練與差旅實際數字[4 月])</f>
        <v>2800</v>
      </c>
      <c r="G33" s="60">
        <f>SUBTOTAL(109,教育訓練與差旅實際數字[5 月])</f>
        <v>2000</v>
      </c>
      <c r="H33" s="60">
        <f>SUBTOTAL(109,教育訓練與差旅實際數字[6 月])</f>
        <v>6300</v>
      </c>
      <c r="I33" s="60">
        <f>SUBTOTAL(109,教育訓練與差旅實際數字[7 月])</f>
        <v>0</v>
      </c>
      <c r="J33" s="60">
        <f>SUBTOTAL(109,教育訓練與差旅實際數字[8 月])</f>
        <v>0</v>
      </c>
      <c r="K33" s="60">
        <f>SUBTOTAL(109,教育訓練與差旅實際數字[9 月])</f>
        <v>0</v>
      </c>
      <c r="L33" s="60">
        <f>SUBTOTAL(109,教育訓練與差旅實際數字[10 月])</f>
        <v>0</v>
      </c>
      <c r="M33" s="60">
        <f>SUBTOTAL(109,教育訓練與差旅實際數字[11 月])</f>
        <v>0</v>
      </c>
      <c r="N33" s="60">
        <f>SUBTOTAL(109,教育訓練與差旅實際數字[12 月])</f>
        <v>0</v>
      </c>
      <c r="O33" s="61">
        <f>SUBTOTAL(109,教育訓練與差旅實際數字[年度])</f>
        <v>21300</v>
      </c>
    </row>
    <row r="34" spans="1:16" ht="21" customHeight="1" x14ac:dyDescent="0.3">
      <c r="A34" s="13"/>
      <c r="B34" s="30"/>
      <c r="C34" s="30"/>
      <c r="D34" s="32"/>
      <c r="E34" s="32"/>
      <c r="F34" s="32"/>
      <c r="G34" s="32"/>
      <c r="H34" s="32"/>
      <c r="I34" s="32"/>
      <c r="J34" s="32"/>
      <c r="K34" s="32"/>
      <c r="L34" s="32"/>
      <c r="M34" s="32"/>
      <c r="N34" s="32"/>
      <c r="O34" s="32"/>
    </row>
    <row r="35" spans="1:16" ht="24.95" customHeight="1" thickBot="1" x14ac:dyDescent="0.35">
      <c r="A35" s="13"/>
      <c r="B35" s="63" t="s">
        <v>35</v>
      </c>
      <c r="C35" s="47" t="s">
        <v>36</v>
      </c>
      <c r="D35" s="47" t="s">
        <v>37</v>
      </c>
      <c r="E35" s="47" t="s">
        <v>38</v>
      </c>
      <c r="F35" s="47" t="s">
        <v>39</v>
      </c>
      <c r="G35" s="47" t="s">
        <v>40</v>
      </c>
      <c r="H35" s="47" t="s">
        <v>41</v>
      </c>
      <c r="I35" s="47" t="s">
        <v>42</v>
      </c>
      <c r="J35" s="47" t="s">
        <v>43</v>
      </c>
      <c r="K35" s="47" t="s">
        <v>46</v>
      </c>
      <c r="L35" s="47" t="s">
        <v>47</v>
      </c>
      <c r="M35" s="47" t="s">
        <v>48</v>
      </c>
      <c r="N35" s="47" t="s">
        <v>49</v>
      </c>
      <c r="O35" s="64" t="s">
        <v>50</v>
      </c>
    </row>
    <row r="36" spans="1:16" ht="24.95" customHeight="1" thickBot="1" x14ac:dyDescent="0.35">
      <c r="A36" s="13"/>
      <c r="B36" s="65" t="s">
        <v>52</v>
      </c>
      <c r="C36" s="66">
        <f>教育訓練與差旅實際數字[[#Totals],[1 月]]+行銷實際數字[[#Totals],[1 月]]+辦公室實際數字[[#Totals],[1 月]]+員工實際數字[[#Totals],[1 月]]</f>
        <v>129682</v>
      </c>
      <c r="D36" s="66">
        <f>教育訓練與差旅實際數字[[#Totals],[2 月]]+行銷實際數字[[#Totals],[2 月]]+辦公室實際數字[[#Totals],[2 月]]+員工實際數字[[#Totals],[2 月]]</f>
        <v>127804</v>
      </c>
      <c r="E36" s="66">
        <f>教育訓練與差旅實際數字[[#Totals],[3 月]]+行銷實際數字[[#Totals],[3 月]]+辦公室實際數字[[#Totals],[3 月]]+員工實際數字[[#Totals],[3 月]]</f>
        <v>125565</v>
      </c>
      <c r="F36" s="66">
        <f>教育訓練與差旅實際數字[[#Totals],[4 月]]+行銷實際數字[[#Totals],[4 月]]+辦公室實際數字[[#Totals],[4 月]]+員工實際數字[[#Totals],[4 月]]</f>
        <v>137394</v>
      </c>
      <c r="G36" s="66">
        <f>教育訓練與差旅實際數字[[#Totals],[5 月]]+行銷實際數字[[#Totals],[5 月]]+辦公室實際數字[[#Totals],[5 月]]+員工實際數字[[#Totals],[5 月]]</f>
        <v>128255</v>
      </c>
      <c r="H36" s="66">
        <f>教育訓練與差旅實際數字[[#Totals],[6 月]]+行銷實際數字[[#Totals],[6 月]]+辦公室實際數字[[#Totals],[6 月]]+員工實際數字[[#Totals],[6 月]]</f>
        <v>134239</v>
      </c>
      <c r="I36" s="66">
        <f>教育訓練與差旅實際數字[[#Totals],[7 月]]+行銷實際數字[[#Totals],[7 月]]+辦公室實際數字[[#Totals],[7 月]]+員工實際數字[[#Totals],[7 月]]</f>
        <v>0</v>
      </c>
      <c r="J36" s="66">
        <f>教育訓練與差旅實際數字[[#Totals],[8 月]]+行銷實際數字[[#Totals],[8 月]]+辦公室實際數字[[#Totals],[8 月]]+員工實際數字[[#Totals],[8 月]]</f>
        <v>0</v>
      </c>
      <c r="K36" s="66">
        <f>教育訓練與差旅實際數字[[#Totals],[9 月]]+行銷實際數字[[#Totals],[9 月]]+辦公室實際數字[[#Totals],[9 月]]+員工實際數字[[#Totals],[9 月]]</f>
        <v>0</v>
      </c>
      <c r="L36" s="66">
        <f>教育訓練與差旅實際數字[[#Totals],[10 月]]+行銷實際數字[[#Totals],[10 月]]+辦公室實際數字[[#Totals],[10 月]]+員工實際數字[[#Totals],[10 月]]</f>
        <v>0</v>
      </c>
      <c r="M36" s="66">
        <f>教育訓練與差旅實際數字[[#Totals],[11 月]]+行銷實際數字[[#Totals],[11 月]]+辦公室實際數字[[#Totals],[11 月]]+員工實際數字[[#Totals],[11 月]]</f>
        <v>0</v>
      </c>
      <c r="N36" s="66">
        <f>教育訓練與差旅實際數字[[#Totals],[12 月]]+行銷實際數字[[#Totals],[12 月]]+辦公室實際數字[[#Totals],[12 月]]+員工實際數字[[#Totals],[12 月]]</f>
        <v>0</v>
      </c>
      <c r="O36" s="66">
        <f>教育訓練與差旅實際數字[[#Totals],[年度]]+行銷實際數字[[#Totals],[年度]]+辦公室實際數字[[#Totals],[年度]]+員工實際數字[[#Totals],[年度]]</f>
        <v>782939</v>
      </c>
      <c r="P36"/>
    </row>
    <row r="37" spans="1:16" ht="24.95" customHeight="1" thickBot="1" x14ac:dyDescent="0.35">
      <c r="A37" s="13"/>
      <c r="B37" s="65" t="s">
        <v>53</v>
      </c>
      <c r="C37" s="67">
        <f>SUM($C$36:C36)</f>
        <v>129682</v>
      </c>
      <c r="D37" s="68">
        <f>SUM($C$36:D36)</f>
        <v>257486</v>
      </c>
      <c r="E37" s="68">
        <f>SUM($C$36:E36)</f>
        <v>383051</v>
      </c>
      <c r="F37" s="68">
        <f>SUM($C$36:F36)</f>
        <v>520445</v>
      </c>
      <c r="G37" s="68">
        <f>SUM($C$36:G36)</f>
        <v>648700</v>
      </c>
      <c r="H37" s="69">
        <f>SUM($C$36:H36)</f>
        <v>782939</v>
      </c>
      <c r="I37" s="68">
        <f>SUM($C$36:I36)</f>
        <v>782939</v>
      </c>
      <c r="J37" s="68">
        <f>SUM($C$36:J36)</f>
        <v>782939</v>
      </c>
      <c r="K37" s="68">
        <f>SUM($C$36:K36)</f>
        <v>782939</v>
      </c>
      <c r="L37" s="68">
        <f>SUM($C$36:L36)</f>
        <v>782939</v>
      </c>
      <c r="M37" s="69">
        <f>SUM($C$36:M36)</f>
        <v>782939</v>
      </c>
      <c r="N37" s="68">
        <f>SUM($C$36:N36)</f>
        <v>782939</v>
      </c>
      <c r="O37" s="69">
        <f>教育訓練與差旅實際數字[[#Totals],[年度]]+行銷實際數字[[#Totals],[年度]]+辦公室實際數字[[#Totals],[年度]]+員工實際數字[[#Totals],[年度]]</f>
        <v>782939</v>
      </c>
      <c r="P37"/>
    </row>
    <row r="38" spans="1:16" ht="21" customHeight="1" x14ac:dyDescent="0.3">
      <c r="L38" s="51"/>
      <c r="M38" s="51"/>
      <c r="N38" s="51"/>
      <c r="O38" s="51"/>
    </row>
  </sheetData>
  <mergeCells count="2">
    <mergeCell ref="K2:M2"/>
    <mergeCell ref="K3:M3"/>
  </mergeCells>
  <phoneticPr fontId="1" type="noConversion"/>
  <dataValidations count="9">
    <dataValidation allowBlank="1" showInputMessage="1" showErrorMessage="1" prompt="標誌預留位置在此儲存格中。" sqref="N2" xr:uid="{C95257D8-3930-4F5C-8D70-88B292233801}"/>
    <dataValidation allowBlank="1" showInputMessage="1" showErrorMessage="1" prompt="從右側儲存格開始的總計實際費用表格會自動計算總計實際費用。" sqref="A4" xr:uid="{177C6CBD-70F5-4EE0-A8BD-78C9CA33B2BD}"/>
    <dataValidation allowBlank="1" showInputMessage="1" showErrorMessage="1" prompt="在右側儲存格開始的員工實際費用表格中輸入員工成本。下一個指示位於儲存格 A10。" sqref="A5" xr:uid="{C3141D3D-0B91-4F53-BE3F-38687FD87D6B}"/>
    <dataValidation allowBlank="1" showInputMessage="1" showErrorMessage="1" prompt="在右側儲存格開始的辦公室實際費用表格中輸入辦公室成本。下一個指示位於儲存格 A21。" sqref="A10" xr:uid="{6B251561-6C81-4CE6-8EBF-9D5790C7CB5E}"/>
    <dataValidation allowBlank="1" showInputMessage="1" showErrorMessage="1" prompt="在右側儲存格開始的行銷實際費用表格中輸入行銷成本。下一個指示位於儲存格 A30。" sqref="A21" xr:uid="{D284BFB1-3C99-4A34-BA1D-2099E5838FB2}"/>
    <dataValidation allowBlank="1" showInputMessage="1" showErrorMessage="1" prompt="在右側儲存格開始的教育訓練和差旅實際費用表格中，輸入教育訓練或差旅費用。下一個指示位於儲存格 A35。" sqref="A30" xr:uid="{255C7F8A-67BD-4F48-9D93-C907D407CF4C}"/>
    <dataValidation allowBlank="1" showInputMessage="1" showErrorMessage="1" prompt="在本工作表的個別表格中輸入計劃員工成本、辦公室成本、行銷成本和教育訓練或差旅費用。系統會自動計算總計。如何使用本工作表的指示位於此欄的儲存格中。按向下箭號以開始。" sqref="A1" xr:uid="{79AE6394-A51C-466A-B4A1-C38D88BF4EBB}"/>
    <dataValidation allowBlank="1" showInputMessage="1" showErrorMessage="1" prompt="公司名稱會在右側儲存格中自動更新。本工作表的標題位於儲存格 K2。在儲存格 N2 中輸入標誌。" sqref="A2" xr:uid="{26A4B1D9-8F73-440F-9A07-A3F7DBC9AEEF}"/>
    <dataValidation allowBlank="1" showInputMessage="1" showErrorMessage="1" prompt="祕訣位於儲存格 K3。" sqref="A3" xr:uid="{7DD6B845-A534-4A07-B96C-7DC7C0D747FC}"/>
  </dataValidations>
  <pageMargins left="0.7" right="0.7" top="0.75" bottom="0.75" header="0.3" footer="0.3"/>
  <pageSetup paperSize="9" fitToHeight="0" orientation="portrait" r:id="rId1"/>
  <ignoredErrors>
    <ignoredError sqref="B2 O31:O33 O22:O28 O11:O18" emptyCellReference="1"/>
    <ignoredError sqref="C37:N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sheetPr>
  <dimension ref="A1:P38"/>
  <sheetViews>
    <sheetView showGridLines="0" zoomScaleNormal="100" workbookViewId="0"/>
  </sheetViews>
  <sheetFormatPr defaultColWidth="9.140625" defaultRowHeight="21" customHeight="1" x14ac:dyDescent="0.3"/>
  <cols>
    <col min="1" max="1" width="4.7109375" style="5" customWidth="1"/>
    <col min="2" max="2" width="33.42578125" style="22" customWidth="1"/>
    <col min="3" max="15" width="17.7109375" style="22" customWidth="1"/>
    <col min="16" max="16" width="4.7109375" style="5" customWidth="1"/>
    <col min="17" max="16384" width="9.140625" style="22"/>
  </cols>
  <sheetData>
    <row r="1" spans="1:16" s="5" customFormat="1" ht="24" customHeight="1" x14ac:dyDescent="0.3">
      <c r="A1" s="1"/>
      <c r="B1" s="2"/>
      <c r="C1" s="2"/>
      <c r="D1" s="2"/>
      <c r="E1" s="2"/>
      <c r="F1" s="3"/>
      <c r="G1" s="3"/>
      <c r="H1" s="3"/>
      <c r="I1" s="3"/>
      <c r="J1" s="3"/>
      <c r="K1" s="3"/>
      <c r="L1" s="3"/>
      <c r="M1" s="3"/>
      <c r="N1" s="3"/>
      <c r="O1" s="3"/>
      <c r="P1" s="4" t="s">
        <v>51</v>
      </c>
    </row>
    <row r="2" spans="1:16" s="5" customFormat="1" ht="45" customHeight="1" x14ac:dyDescent="0.3">
      <c r="A2" s="6"/>
      <c r="B2" s="7" t="str">
        <f>計劃費用!B2:D3</f>
        <v>公司名稱</v>
      </c>
      <c r="C2" s="7"/>
      <c r="D2" s="7"/>
      <c r="E2" s="8"/>
      <c r="F2" s="9"/>
      <c r="G2" s="9"/>
      <c r="H2" s="9"/>
      <c r="I2" s="9"/>
      <c r="J2" s="9"/>
      <c r="K2" s="109" t="str">
        <f>工作表_標題</f>
        <v>預估費用明細</v>
      </c>
      <c r="L2" s="109"/>
      <c r="M2" s="109"/>
      <c r="N2" s="10"/>
      <c r="O2" s="10"/>
      <c r="P2" s="3"/>
    </row>
    <row r="3" spans="1:16" s="5" customFormat="1" ht="30" customHeight="1" x14ac:dyDescent="0.3">
      <c r="A3" s="6"/>
      <c r="B3" s="7"/>
      <c r="C3" s="7"/>
      <c r="D3" s="7"/>
      <c r="E3" s="11"/>
      <c r="F3" s="12"/>
      <c r="G3" s="12"/>
      <c r="H3" s="12"/>
      <c r="I3" s="12"/>
      <c r="J3" s="12"/>
      <c r="K3" s="111" t="s">
        <v>45</v>
      </c>
      <c r="L3" s="111"/>
      <c r="M3" s="111"/>
      <c r="N3" s="10"/>
      <c r="O3" s="10"/>
      <c r="P3" s="3"/>
    </row>
    <row r="4" spans="1:16" s="17" customFormat="1" ht="49.5" customHeight="1" x14ac:dyDescent="0.3">
      <c r="A4" s="13"/>
      <c r="B4" s="14" t="s">
        <v>57</v>
      </c>
      <c r="C4" s="15" t="s">
        <v>36</v>
      </c>
      <c r="D4" s="15" t="s">
        <v>37</v>
      </c>
      <c r="E4" s="16" t="s">
        <v>38</v>
      </c>
      <c r="F4" s="15" t="s">
        <v>39</v>
      </c>
      <c r="G4" s="15" t="s">
        <v>40</v>
      </c>
      <c r="H4" s="15" t="s">
        <v>41</v>
      </c>
      <c r="I4" s="16" t="s">
        <v>42</v>
      </c>
      <c r="J4" s="15" t="s">
        <v>43</v>
      </c>
      <c r="K4" s="15" t="s">
        <v>46</v>
      </c>
      <c r="L4" s="15" t="s">
        <v>47</v>
      </c>
      <c r="M4" s="15" t="s">
        <v>48</v>
      </c>
      <c r="N4" s="16" t="s">
        <v>49</v>
      </c>
      <c r="O4" s="15" t="s">
        <v>50</v>
      </c>
    </row>
    <row r="5" spans="1:16" ht="24.95" customHeight="1" thickBot="1" x14ac:dyDescent="0.35">
      <c r="A5" s="13"/>
      <c r="B5" s="18" t="s">
        <v>10</v>
      </c>
      <c r="C5" s="19" t="s">
        <v>36</v>
      </c>
      <c r="D5" s="19" t="s">
        <v>37</v>
      </c>
      <c r="E5" s="20" t="s">
        <v>38</v>
      </c>
      <c r="F5" s="19" t="s">
        <v>39</v>
      </c>
      <c r="G5" s="19" t="s">
        <v>40</v>
      </c>
      <c r="H5" s="19" t="s">
        <v>41</v>
      </c>
      <c r="I5" s="19" t="s">
        <v>42</v>
      </c>
      <c r="J5" s="19" t="s">
        <v>43</v>
      </c>
      <c r="K5" s="19" t="s">
        <v>46</v>
      </c>
      <c r="L5" s="19" t="s">
        <v>47</v>
      </c>
      <c r="M5" s="19" t="s">
        <v>48</v>
      </c>
      <c r="N5" s="19" t="s">
        <v>49</v>
      </c>
      <c r="O5" s="21" t="s">
        <v>50</v>
      </c>
    </row>
    <row r="6" spans="1:16" ht="24.95" customHeight="1" thickBot="1" x14ac:dyDescent="0.35">
      <c r="A6" s="13"/>
      <c r="B6" s="23" t="s">
        <v>11</v>
      </c>
      <c r="C6" s="24">
        <f>INDEX(員工計劃[],MATCH(INDEX(員工差異[],ROW()-ROW(員工差異[[#Headers],[1 月]]),1),INDEX(員工計劃[],,1),0),MATCH(員工差異[[#Headers],[1 月]],員工計劃[#Headers],0))-INDEX(員工實際數字[],MATCH(INDEX(員工差異[],ROW()-ROW(員工差異[[#Headers],[1 月]]),1),INDEX(員工計劃[],,1),0),MATCH(員工差異[[#Headers],[1 月]],員工實際數字[#Headers],0))</f>
        <v>0</v>
      </c>
      <c r="D6" s="25">
        <f>INDEX(員工計劃[],MATCH(INDEX(員工差異[],ROW()-ROW(員工差異[[#Headers],[2 月]]),1),INDEX(員工計劃[],,1),0),MATCH(員工差異[[#Headers],[2 月]],員工計劃[#Headers],0))-INDEX(員工實際數字[],MATCH(INDEX(員工差異[],ROW()-ROW(員工差異[[#Headers],[2 月]]),1),INDEX(員工計劃[],,1),0),MATCH(員工差異[[#Headers],[2 月]],員工實際數字[#Headers],0))</f>
        <v>0</v>
      </c>
      <c r="E6" s="25">
        <f>INDEX(員工計劃[],MATCH(INDEX(員工差異[],ROW()-ROW(員工差異[[#Headers],[3 月]]),1),INDEX(員工計劃[],,1),0),MATCH(員工差異[[#Headers],[3 月]],員工計劃[#Headers],0))-INDEX(員工實際數字[],MATCH(INDEX(員工差異[],ROW()-ROW(員工差異[[#Headers],[3 月]]),1),INDEX(員工計劃[],,1),0),MATCH(員工差異[[#Headers],[3 月]],員工實際數字[#Headers],0))</f>
        <v>0</v>
      </c>
      <c r="F6" s="25">
        <f>INDEX(員工計劃[],MATCH(INDEX(員工差異[],ROW()-ROW(員工差異[[#Headers],[4 月]]),1),INDEX(員工計劃[],,1),0),MATCH(員工差異[[#Headers],[4 月]],員工計劃[#Headers],0))-INDEX(員工實際數字[],MATCH(INDEX(員工差異[],ROW()-ROW(員工差異[[#Headers],[4 月]]),1),INDEX(員工計劃[],,1),0),MATCH(員工差異[[#Headers],[4 月]],員工實際數字[#Headers],0))</f>
        <v>-500</v>
      </c>
      <c r="G6" s="25">
        <f>INDEX(員工計劃[],MATCH(INDEX(員工差異[],ROW()-ROW(員工差異[[#Headers],[5 月]]),1),INDEX(員工計劃[],,1),0),MATCH(員工差異[[#Headers],[5 月]],員工計劃[#Headers],0))-INDEX(員工實際數字[],MATCH(INDEX(員工差異[],ROW()-ROW(員工差異[[#Headers],[5 月]]),1),INDEX(員工計劃[],,1),0),MATCH(員工差異[[#Headers],[5 月]],員工實際數字[#Headers],0))</f>
        <v>-500</v>
      </c>
      <c r="H6" s="25">
        <f>INDEX(員工計劃[],MATCH(INDEX(員工差異[],ROW()-ROW(員工差異[[#Headers],[6 月]]),1),INDEX(員工計劃[],,1),0),MATCH(員工差異[[#Headers],[6 月]],員工計劃[#Headers],0))-INDEX(員工實際數字[],MATCH(INDEX(員工差異[],ROW()-ROW(員工差異[[#Headers],[6 月]]),1),INDEX(員工計劃[],,1),0),MATCH(員工差異[[#Headers],[6 月]],員工實際數字[#Headers],0))</f>
        <v>-500</v>
      </c>
      <c r="I6" s="25">
        <f>INDEX(員工計劃[],MATCH(INDEX(員工差異[],ROW()-ROW(員工差異[[#Headers],[7 月]]),1),INDEX(員工計劃[],,1),0),MATCH(員工差異[[#Headers],[7 月]],員工計劃[#Headers],0))-INDEX(員工實際數字[],MATCH(INDEX(員工差異[],ROW()-ROW(員工差異[[#Headers],[7 月]]),1),INDEX(員工計劃[],,1),0),MATCH(員工差異[[#Headers],[7 月]],員工實際數字[#Headers],0))</f>
        <v>87500</v>
      </c>
      <c r="J6" s="25">
        <f>INDEX(員工計劃[],MATCH(INDEX(員工差異[],ROW()-ROW(員工差異[[#Headers],[8 月]]),1),INDEX(員工計劃[],,1),0),MATCH(員工差異[[#Headers],[8 月]],員工計劃[#Headers],0))-INDEX(員工實際數字[],MATCH(INDEX(員工差異[],ROW()-ROW(員工差異[[#Headers],[8 月]]),1),INDEX(員工計劃[],,1),0),MATCH(員工差異[[#Headers],[8 月]],員工實際數字[#Headers],0))</f>
        <v>92400</v>
      </c>
      <c r="K6" s="25">
        <f>INDEX(員工計劃[],MATCH(INDEX(員工差異[],ROW()-ROW(員工差異[[#Headers],[9 月]]),1),INDEX(員工計劃[],,1),0),MATCH(員工差異[[#Headers],[9 月]],員工計劃[#Headers],0))-INDEX(員工實際數字[],MATCH(INDEX(員工差異[],ROW()-ROW(員工差異[[#Headers],[9 月]]),1),INDEX(員工計劃[],,1),0),MATCH(員工差異[[#Headers],[9 月]],員工實際數字[#Headers],0))</f>
        <v>92400</v>
      </c>
      <c r="L6" s="25">
        <f>INDEX(員工計劃[],MATCH(INDEX(員工差異[],ROW()-ROW(員工差異[[#Headers],[10 月]]),1),INDEX(員工計劃[],,1),0),MATCH(員工差異[[#Headers],[10 月]],員工計劃[#Headers],0))-INDEX(員工實際數字[],MATCH(INDEX(員工差異[],ROW()-ROW(員工差異[[#Headers],[10 月]]),1),INDEX(員工計劃[],,1),0),MATCH(員工差異[[#Headers],[10 月]],員工實際數字[#Headers],0))</f>
        <v>92400</v>
      </c>
      <c r="M6" s="25">
        <f>INDEX(員工計劃[],MATCH(INDEX(員工差異[],ROW()-ROW(員工差異[[#Headers],[11 月]]),1),INDEX(員工計劃[],,1),0),MATCH(員工差異[[#Headers],[11 月]],員工計劃[#Headers],0))-INDEX(員工實際數字[],MATCH(INDEX(員工差異[],ROW()-ROW(員工差異[[#Headers],[11 月]]),1),INDEX(員工計劃[],,1),0),MATCH(員工差異[[#Headers],[11 月]],員工實際數字[#Headers],0))</f>
        <v>92400</v>
      </c>
      <c r="N6" s="25">
        <f>INDEX(員工計劃[],MATCH(INDEX(員工差異[],ROW()-ROW(員工差異[[#Headers],[12 月]]),1),INDEX(員工計劃[],,1),0),MATCH(員工差異[[#Headers],[12 月]],員工計劃[#Headers],0))-INDEX(員工實際數字[],MATCH(INDEX(員工差異[],ROW()-ROW(員工差異[[#Headers],[12 月]]),1),INDEX(員工計劃[],,1),0),MATCH(員工差異[[#Headers],[12 月]],員工實際數字[#Headers],0))</f>
        <v>92400</v>
      </c>
      <c r="O6" s="26">
        <f>SUM(員工差異[[#This Row],[1 月]:[12 月]])</f>
        <v>548000</v>
      </c>
    </row>
    <row r="7" spans="1:16" ht="24.95" customHeight="1" thickBot="1" x14ac:dyDescent="0.35">
      <c r="A7" s="13"/>
      <c r="B7" s="23" t="s">
        <v>12</v>
      </c>
      <c r="C7" s="24">
        <f>INDEX(員工計劃[],MATCH(INDEX(員工差異[],ROW()-ROW(員工差異[[#Headers],[1 月]]),1),INDEX(員工計劃[],,1),0),MATCH(員工差異[[#Headers],[1 月]],員工計劃[#Headers],0))-INDEX(員工實際數字[],MATCH(INDEX(員工差異[],ROW()-ROW(員工差異[[#Headers],[1 月]]),1),INDEX(員工計劃[],,1),0),MATCH(員工差異[[#Headers],[1 月]],員工實際數字[#Headers],0))</f>
        <v>0</v>
      </c>
      <c r="D7" s="25">
        <f>INDEX(員工計劃[],MATCH(INDEX(員工差異[],ROW()-ROW(員工差異[[#Headers],[2 月]]),1),INDEX(員工計劃[],,1),0),MATCH(員工差異[[#Headers],[2 月]],員工計劃[#Headers],0))-INDEX(員工實際數字[],MATCH(INDEX(員工差異[],ROW()-ROW(員工差異[[#Headers],[2 月]]),1),INDEX(員工計劃[],,1),0),MATCH(員工差異[[#Headers],[2 月]],員工實際數字[#Headers],0))</f>
        <v>0</v>
      </c>
      <c r="E7" s="25">
        <f>INDEX(員工計劃[],MATCH(INDEX(員工差異[],ROW()-ROW(員工差異[[#Headers],[3 月]]),1),INDEX(員工計劃[],,1),0),MATCH(員工差異[[#Headers],[3 月]],員工計劃[#Headers],0))-INDEX(員工實際數字[],MATCH(INDEX(員工差異[],ROW()-ROW(員工差異[[#Headers],[3 月]]),1),INDEX(員工計劃[],,1),0),MATCH(員工差異[[#Headers],[3 月]],員工實際數字[#Headers],0))</f>
        <v>0</v>
      </c>
      <c r="F7" s="25">
        <f>INDEX(員工計劃[],MATCH(INDEX(員工差異[],ROW()-ROW(員工差異[[#Headers],[4 月]]),1),INDEX(員工計劃[],,1),0),MATCH(員工差異[[#Headers],[4 月]],員工計劃[#Headers],0))-INDEX(員工實際數字[],MATCH(INDEX(員工差異[],ROW()-ROW(員工差異[[#Headers],[4 月]]),1),INDEX(員工計劃[],,1),0),MATCH(員工差異[[#Headers],[4 月]],員工實際數字[#Headers],0))</f>
        <v>-135</v>
      </c>
      <c r="G7" s="25">
        <f>INDEX(員工計劃[],MATCH(INDEX(員工差異[],ROW()-ROW(員工差異[[#Headers],[5 月]]),1),INDEX(員工計劃[],,1),0),MATCH(員工差異[[#Headers],[5 月]],員工計劃[#Headers],0))-INDEX(員工實際數字[],MATCH(INDEX(員工差異[],ROW()-ROW(員工差異[[#Headers],[5 月]]),1),INDEX(員工計劃[],,1),0),MATCH(員工差異[[#Headers],[5 月]],員工實際數字[#Headers],0))</f>
        <v>-135</v>
      </c>
      <c r="H7" s="25">
        <f>INDEX(員工計劃[],MATCH(INDEX(員工差異[],ROW()-ROW(員工差異[[#Headers],[6 月]]),1),INDEX(員工計劃[],,1),0),MATCH(員工差異[[#Headers],[6 月]],員工計劃[#Headers],0))-INDEX(員工實際數字[],MATCH(INDEX(員工差異[],ROW()-ROW(員工差異[[#Headers],[6 月]]),1),INDEX(員工計劃[],,1),0),MATCH(員工差異[[#Headers],[6 月]],員工實際數字[#Headers],0))</f>
        <v>-135</v>
      </c>
      <c r="I7" s="25">
        <f>INDEX(員工計劃[],MATCH(INDEX(員工差異[],ROW()-ROW(員工差異[[#Headers],[7 月]]),1),INDEX(員工計劃[],,1),0),MATCH(員工差異[[#Headers],[7 月]],員工計劃[#Headers],0))-INDEX(員工實際數字[],MATCH(INDEX(員工差異[],ROW()-ROW(員工差異[[#Headers],[7 月]]),1),INDEX(員工計劃[],,1),0),MATCH(員工差異[[#Headers],[7 月]],員工實際數字[#Headers],0))</f>
        <v>23625</v>
      </c>
      <c r="J7" s="25">
        <f>INDEX(員工計劃[],MATCH(INDEX(員工差異[],ROW()-ROW(員工差異[[#Headers],[8 月]]),1),INDEX(員工計劃[],,1),0),MATCH(員工差異[[#Headers],[8 月]],員工計劃[#Headers],0))-INDEX(員工實際數字[],MATCH(INDEX(員工差異[],ROW()-ROW(員工差異[[#Headers],[8 月]]),1),INDEX(員工計劃[],,1),0),MATCH(員工差異[[#Headers],[8 月]],員工實際數字[#Headers],0))</f>
        <v>24948</v>
      </c>
      <c r="K7" s="25">
        <f>INDEX(員工計劃[],MATCH(INDEX(員工差異[],ROW()-ROW(員工差異[[#Headers],[9 月]]),1),INDEX(員工計劃[],,1),0),MATCH(員工差異[[#Headers],[9 月]],員工計劃[#Headers],0))-INDEX(員工實際數字[],MATCH(INDEX(員工差異[],ROW()-ROW(員工差異[[#Headers],[9 月]]),1),INDEX(員工計劃[],,1),0),MATCH(員工差異[[#Headers],[9 月]],員工實際數字[#Headers],0))</f>
        <v>24948</v>
      </c>
      <c r="L7" s="25">
        <f>INDEX(員工計劃[],MATCH(INDEX(員工差異[],ROW()-ROW(員工差異[[#Headers],[10 月]]),1),INDEX(員工計劃[],,1),0),MATCH(員工差異[[#Headers],[10 月]],員工計劃[#Headers],0))-INDEX(員工實際數字[],MATCH(INDEX(員工差異[],ROW()-ROW(員工差異[[#Headers],[10 月]]),1),INDEX(員工計劃[],,1),0),MATCH(員工差異[[#Headers],[10 月]],員工實際數字[#Headers],0))</f>
        <v>24948</v>
      </c>
      <c r="M7" s="25">
        <f>INDEX(員工計劃[],MATCH(INDEX(員工差異[],ROW()-ROW(員工差異[[#Headers],[11 月]]),1),INDEX(員工計劃[],,1),0),MATCH(員工差異[[#Headers],[11 月]],員工計劃[#Headers],0))-INDEX(員工實際數字[],MATCH(INDEX(員工差異[],ROW()-ROW(員工差異[[#Headers],[11 月]]),1),INDEX(員工計劃[],,1),0),MATCH(員工差異[[#Headers],[11 月]],員工實際數字[#Headers],0))</f>
        <v>24948</v>
      </c>
      <c r="N7" s="25">
        <f>INDEX(員工計劃[],MATCH(INDEX(員工差異[],ROW()-ROW(員工差異[[#Headers],[12 月]]),1),INDEX(員工計劃[],,1),0),MATCH(員工差異[[#Headers],[12 月]],員工計劃[#Headers],0))-INDEX(員工實際數字[],MATCH(INDEX(員工差異[],ROW()-ROW(員工差異[[#Headers],[12 月]]),1),INDEX(員工計劃[],,1),0),MATCH(員工差異[[#Headers],[12 月]],員工實際數字[#Headers],0))</f>
        <v>24948</v>
      </c>
      <c r="O7" s="26">
        <f>SUM(員工差異[[#This Row],[1 月]:[12 月]])</f>
        <v>147960</v>
      </c>
    </row>
    <row r="8" spans="1:16" ht="24.95" customHeight="1" x14ac:dyDescent="0.3">
      <c r="A8" s="13"/>
      <c r="B8" s="27" t="s">
        <v>13</v>
      </c>
      <c r="C8" s="28">
        <f>SUBTOTAL(109,員工差異[1 月])</f>
        <v>0</v>
      </c>
      <c r="D8" s="28">
        <f>SUBTOTAL(109,員工差異[2 月])</f>
        <v>0</v>
      </c>
      <c r="E8" s="28">
        <f>SUBTOTAL(109,員工差異[3 月])</f>
        <v>0</v>
      </c>
      <c r="F8" s="28">
        <f>SUBTOTAL(109,員工差異[4 月])</f>
        <v>-635</v>
      </c>
      <c r="G8" s="28">
        <f>SUBTOTAL(109,員工差異[5 月])</f>
        <v>-635</v>
      </c>
      <c r="H8" s="28">
        <f>SUBTOTAL(109,員工差異[6 月])</f>
        <v>-635</v>
      </c>
      <c r="I8" s="28">
        <f>SUBTOTAL(109,員工差異[7 月])</f>
        <v>111125</v>
      </c>
      <c r="J8" s="28">
        <f>SUBTOTAL(109,員工差異[8 月])</f>
        <v>117348</v>
      </c>
      <c r="K8" s="28">
        <f>SUBTOTAL(109,員工差異[9 月])</f>
        <v>117348</v>
      </c>
      <c r="L8" s="28">
        <f>SUBTOTAL(109,員工差異[10 月])</f>
        <v>117348</v>
      </c>
      <c r="M8" s="28">
        <f>SUBTOTAL(109,員工差異[11 月])</f>
        <v>117348</v>
      </c>
      <c r="N8" s="28">
        <f>SUBTOTAL(109,員工差異[12 月])</f>
        <v>117348</v>
      </c>
      <c r="O8" s="29">
        <f>SUBTOTAL(109,員工差異[年度])</f>
        <v>695960</v>
      </c>
    </row>
    <row r="9" spans="1:16" ht="21" customHeight="1" x14ac:dyDescent="0.3">
      <c r="A9" s="13"/>
      <c r="B9" s="30"/>
      <c r="C9" s="30"/>
      <c r="D9" s="31"/>
      <c r="E9" s="31"/>
      <c r="F9" s="31"/>
      <c r="G9" s="31"/>
      <c r="H9" s="31"/>
      <c r="I9" s="31"/>
      <c r="J9" s="31"/>
      <c r="K9" s="31"/>
      <c r="L9" s="31"/>
      <c r="M9" s="31"/>
      <c r="N9" s="31"/>
      <c r="O9" s="32"/>
    </row>
    <row r="10" spans="1:16" ht="24.95" customHeight="1" thickBot="1" x14ac:dyDescent="0.35">
      <c r="A10" s="13"/>
      <c r="B10" s="33" t="s">
        <v>14</v>
      </c>
      <c r="C10" s="34" t="s">
        <v>36</v>
      </c>
      <c r="D10" s="34" t="s">
        <v>37</v>
      </c>
      <c r="E10" s="35" t="s">
        <v>38</v>
      </c>
      <c r="F10" s="34" t="s">
        <v>39</v>
      </c>
      <c r="G10" s="34" t="s">
        <v>40</v>
      </c>
      <c r="H10" s="34" t="s">
        <v>41</v>
      </c>
      <c r="I10" s="34" t="s">
        <v>42</v>
      </c>
      <c r="J10" s="34" t="s">
        <v>43</v>
      </c>
      <c r="K10" s="34" t="s">
        <v>46</v>
      </c>
      <c r="L10" s="34" t="s">
        <v>47</v>
      </c>
      <c r="M10" s="34" t="s">
        <v>48</v>
      </c>
      <c r="N10" s="34" t="s">
        <v>49</v>
      </c>
      <c r="O10" s="36" t="s">
        <v>50</v>
      </c>
    </row>
    <row r="11" spans="1:16" ht="24.95" customHeight="1" thickBot="1" x14ac:dyDescent="0.35">
      <c r="A11" s="13"/>
      <c r="B11" s="37" t="s">
        <v>15</v>
      </c>
      <c r="C11" s="25">
        <f>INDEX(辦公室計劃[],MATCH(INDEX(辦公室差異[],ROW()-ROW(辦公室差異[[#Headers],[1 月]]),1),INDEX(辦公室計劃[],,1),0),MATCH(辦公室差異[[#Headers],[1 月]],辦公室計劃[#Headers],0))-INDEX(辦公室實際數字[],MATCH(INDEX(辦公室差異[],ROW()-ROW(辦公室差異[[#Headers],[1 月]]),1),INDEX(辦公室計劃[],,1),0),MATCH(辦公室差異[[#Headers],[1 月]],辦公室實際數字[#Headers],0))</f>
        <v>0</v>
      </c>
      <c r="D11" s="25">
        <f>INDEX(辦公室計劃[],MATCH(INDEX(辦公室差異[],ROW()-ROW(辦公室差異[[#Headers],[2 月]]),1),INDEX(辦公室計劃[],,1),0),MATCH(辦公室差異[[#Headers],[2 月]],辦公室計劃[#Headers],0))-INDEX(辦公室實際數字[],MATCH(INDEX(辦公室差異[],ROW()-ROW(辦公室差異[[#Headers],[2 月]]),1),INDEX(辦公室計劃[],,1),0),MATCH(辦公室差異[[#Headers],[2 月]],辦公室實際數字[#Headers],0))</f>
        <v>0</v>
      </c>
      <c r="E11" s="25">
        <f>INDEX(辦公室計劃[],MATCH(INDEX(辦公室差異[],ROW()-ROW(辦公室差異[[#Headers],[3 月]]),1),INDEX(辦公室計劃[],,1),0),MATCH(辦公室差異[[#Headers],[3 月]],辦公室計劃[#Headers],0))-INDEX(辦公室實際數字[],MATCH(INDEX(辦公室差異[],ROW()-ROW(辦公室差異[[#Headers],[3 月]]),1),INDEX(辦公室計劃[],,1),0),MATCH(辦公室差異[[#Headers],[3 月]],辦公室實際數字[#Headers],0))</f>
        <v>0</v>
      </c>
      <c r="F11" s="25">
        <f>INDEX(辦公室計劃[],MATCH(INDEX(辦公室差異[],ROW()-ROW(辦公室差異[[#Headers],[4 月]]),1),INDEX(辦公室計劃[],,1),0),MATCH(辦公室差異[[#Headers],[4 月]],辦公室計劃[#Headers],0))-INDEX(辦公室實際數字[],MATCH(INDEX(辦公室差異[],ROW()-ROW(辦公室差異[[#Headers],[4 月]]),1),INDEX(辦公室計劃[],,1),0),MATCH(辦公室差異[[#Headers],[4 月]],辦公室實際數字[#Headers],0))</f>
        <v>0</v>
      </c>
      <c r="G11" s="25">
        <f>INDEX(辦公室計劃[],MATCH(INDEX(辦公室差異[],ROW()-ROW(辦公室差異[[#Headers],[5 月]]),1),INDEX(辦公室計劃[],,1),0),MATCH(辦公室差異[[#Headers],[5 月]],辦公室計劃[#Headers],0))-INDEX(辦公室實際數字[],MATCH(INDEX(辦公室差異[],ROW()-ROW(辦公室差異[[#Headers],[5 月]]),1),INDEX(辦公室計劃[],,1),0),MATCH(辦公室差異[[#Headers],[5 月]],辦公室實際數字[#Headers],0))</f>
        <v>0</v>
      </c>
      <c r="H11" s="25">
        <f>INDEX(辦公室計劃[],MATCH(INDEX(辦公室差異[],ROW()-ROW(辦公室差異[[#Headers],[6 月]]),1),INDEX(辦公室計劃[],,1),0),MATCH(辦公室差異[[#Headers],[6 月]],辦公室計劃[#Headers],0))-INDEX(辦公室實際數字[],MATCH(INDEX(辦公室差異[],ROW()-ROW(辦公室差異[[#Headers],[6 月]]),1),INDEX(辦公室計劃[],,1),0),MATCH(辦公室差異[[#Headers],[6 月]],辦公室實際數字[#Headers],0))</f>
        <v>0</v>
      </c>
      <c r="I11" s="25">
        <f>INDEX(辦公室計劃[],MATCH(INDEX(辦公室差異[],ROW()-ROW(辦公室差異[[#Headers],[7 月]]),1),INDEX(辦公室計劃[],,1),0),MATCH(辦公室差異[[#Headers],[7 月]],辦公室計劃[#Headers],0))-INDEX(辦公室實際數字[],MATCH(INDEX(辦公室差異[],ROW()-ROW(辦公室差異[[#Headers],[7 月]]),1),INDEX(辦公室計劃[],,1),0),MATCH(辦公室差異[[#Headers],[7 月]],辦公室實際數字[#Headers],0))</f>
        <v>9800</v>
      </c>
      <c r="J11" s="25">
        <f>INDEX(辦公室計劃[],MATCH(INDEX(辦公室差異[],ROW()-ROW(辦公室差異[[#Headers],[8 月]]),1),INDEX(辦公室計劃[],,1),0),MATCH(辦公室差異[[#Headers],[8 月]],辦公室計劃[#Headers],0))-INDEX(辦公室實際數字[],MATCH(INDEX(辦公室差異[],ROW()-ROW(辦公室差異[[#Headers],[8 月]]),1),INDEX(辦公室計劃[],,1),0),MATCH(辦公室差異[[#Headers],[8 月]],辦公室實際數字[#Headers],0))</f>
        <v>9800</v>
      </c>
      <c r="K11" s="25">
        <f>INDEX(辦公室計劃[],MATCH(INDEX(辦公室差異[],ROW()-ROW(辦公室差異[[#Headers],[9 月]]),1),INDEX(辦公室計劃[],,1),0),MATCH(辦公室差異[[#Headers],[9 月]],辦公室計劃[#Headers],0))-INDEX(辦公室實際數字[],MATCH(INDEX(辦公室差異[],ROW()-ROW(辦公室差異[[#Headers],[9 月]]),1),INDEX(辦公室計劃[],,1),0),MATCH(辦公室差異[[#Headers],[9 月]],辦公室實際數字[#Headers],0))</f>
        <v>9800</v>
      </c>
      <c r="L11" s="25">
        <f>INDEX(辦公室計劃[],MATCH(INDEX(辦公室差異[],ROW()-ROW(辦公室差異[[#Headers],[10 月]]),1),INDEX(辦公室計劃[],,1),0),MATCH(辦公室差異[[#Headers],[10 月]],辦公室計劃[#Headers],0))-INDEX(辦公室實際數字[],MATCH(INDEX(辦公室差異[],ROW()-ROW(辦公室差異[[#Headers],[10 月]]),1),INDEX(辦公室計劃[],,1),0),MATCH(辦公室差異[[#Headers],[10 月]],辦公室實際數字[#Headers],0))</f>
        <v>9800</v>
      </c>
      <c r="M11" s="25">
        <f>INDEX(辦公室計劃[],MATCH(INDEX(辦公室差異[],ROW()-ROW(辦公室差異[[#Headers],[11 月]]),1),INDEX(辦公室計劃[],,1),0),MATCH(辦公室差異[[#Headers],[11 月]],辦公室計劃[#Headers],0))-INDEX(辦公室實際數字[],MATCH(INDEX(辦公室差異[],ROW()-ROW(辦公室差異[[#Headers],[11 月]]),1),INDEX(辦公室計劃[],,1),0),MATCH(辦公室差異[[#Headers],[11 月]],辦公室實際數字[#Headers],0))</f>
        <v>9800</v>
      </c>
      <c r="N11" s="25">
        <f>INDEX(辦公室計劃[],MATCH(INDEX(辦公室差異[],ROW()-ROW(辦公室差異[[#Headers],[12 月]]),1),INDEX(辦公室計劃[],,1),0),MATCH(辦公室差異[[#Headers],[12 月]],辦公室計劃[#Headers],0))-INDEX(辦公室實際數字[],MATCH(INDEX(辦公室差異[],ROW()-ROW(辦公室差異[[#Headers],[12 月]]),1),INDEX(辦公室計劃[],,1),0),MATCH(辦公室差異[[#Headers],[12 月]],辦公室實際數字[#Headers],0))</f>
        <v>9800</v>
      </c>
      <c r="O11" s="26">
        <f>SUM(辦公室差異[[#This Row],[1 月]:[12 月]])</f>
        <v>58800</v>
      </c>
    </row>
    <row r="12" spans="1:16" ht="24.95" customHeight="1" thickBot="1" x14ac:dyDescent="0.35">
      <c r="A12" s="13"/>
      <c r="B12" s="37" t="s">
        <v>16</v>
      </c>
      <c r="C12" s="25">
        <f>INDEX(辦公室計劃[],MATCH(INDEX(辦公室差異[],ROW()-ROW(辦公室差異[[#Headers],[1 月]]),1),INDEX(辦公室計劃[],,1),0),MATCH(辦公室差異[[#Headers],[1 月]],辦公室計劃[#Headers],0))-INDEX(辦公室實際數字[],MATCH(INDEX(辦公室差異[],ROW()-ROW(辦公室差異[[#Headers],[1 月]]),1),INDEX(辦公室計劃[],,1),0),MATCH(辦公室差異[[#Headers],[1 月]],辦公室實際數字[#Headers],0))</f>
        <v>-4</v>
      </c>
      <c r="D12" s="25">
        <f>INDEX(辦公室計劃[],MATCH(INDEX(辦公室差異[],ROW()-ROW(辦公室差異[[#Headers],[2 月]]),1),INDEX(辦公室計劃[],,1),0),MATCH(辦公室差異[[#Headers],[2 月]],辦公室計劃[#Headers],0))-INDEX(辦公室實際數字[],MATCH(INDEX(辦公室差異[],ROW()-ROW(辦公室差異[[#Headers],[2 月]]),1),INDEX(辦公室計劃[],,1),0),MATCH(辦公室差異[[#Headers],[2 月]],辦公室實際數字[#Headers],0))</f>
        <v>-30</v>
      </c>
      <c r="E12" s="25">
        <f>INDEX(辦公室計劃[],MATCH(INDEX(辦公室差異[],ROW()-ROW(辦公室差異[[#Headers],[3 月]]),1),INDEX(辦公室計劃[],,1),0),MATCH(辦公室差異[[#Headers],[3 月]],辦公室計劃[#Headers],0))-INDEX(辦公室實際數字[],MATCH(INDEX(辦公室差異[],ROW()-ROW(辦公室差異[[#Headers],[3 月]]),1),INDEX(辦公室計劃[],,1),0),MATCH(辦公室差異[[#Headers],[3 月]],辦公室實際數字[#Headers],0))</f>
        <v>15</v>
      </c>
      <c r="F12" s="25">
        <f>INDEX(辦公室計劃[],MATCH(INDEX(辦公室差異[],ROW()-ROW(辦公室差異[[#Headers],[4 月]]),1),INDEX(辦公室計劃[],,1),0),MATCH(辦公室差異[[#Headers],[4 月]],辦公室計劃[#Headers],0))-INDEX(辦公室實際數字[],MATCH(INDEX(辦公室差異[],ROW()-ROW(辦公室差異[[#Headers],[4 月]]),1),INDEX(辦公室計劃[],,1),0),MATCH(辦公室差異[[#Headers],[4 月]],辦公室實際數字[#Headers],0))</f>
        <v>-130</v>
      </c>
      <c r="G12" s="25">
        <f>INDEX(辦公室計劃[],MATCH(INDEX(辦公室差異[],ROW()-ROW(辦公室差異[[#Headers],[5 月]]),1),INDEX(辦公室計劃[],,1),0),MATCH(辦公室差異[[#Headers],[5 月]],辦公室計劃[#Headers],0))-INDEX(辦公室實際數字[],MATCH(INDEX(辦公室差異[],ROW()-ROW(辦公室差異[[#Headers],[5 月]]),1),INDEX(辦公室計劃[],,1),0),MATCH(辦公室差異[[#Headers],[5 月]],辦公室實際數字[#Headers],0))</f>
        <v>13</v>
      </c>
      <c r="H12" s="25">
        <f>INDEX(辦公室計劃[],MATCH(INDEX(辦公室差異[],ROW()-ROW(辦公室差異[[#Headers],[6 月]]),1),INDEX(辦公室計劃[],,1),0),MATCH(辦公室差異[[#Headers],[6 月]],辦公室計劃[#Headers],0))-INDEX(辦公室實際數字[],MATCH(INDEX(辦公室差異[],ROW()-ROW(辦公室差異[[#Headers],[6 月]]),1),INDEX(辦公室計劃[],,1),0),MATCH(辦公室差異[[#Headers],[6 月]],辦公室實際數字[#Headers],0))</f>
        <v>12</v>
      </c>
      <c r="I12" s="25">
        <f>INDEX(辦公室計劃[],MATCH(INDEX(辦公室差異[],ROW()-ROW(辦公室差異[[#Headers],[7 月]]),1),INDEX(辦公室計劃[],,1),0),MATCH(辦公室差異[[#Headers],[7 月]],辦公室計劃[#Headers],0))-INDEX(辦公室實際數字[],MATCH(INDEX(辦公室差異[],ROW()-ROW(辦公室差異[[#Headers],[7 月]]),1),INDEX(辦公室計劃[],,1),0),MATCH(辦公室差異[[#Headers],[7 月]],辦公室實際數字[#Headers],0))</f>
        <v>100</v>
      </c>
      <c r="J12" s="25">
        <f>INDEX(辦公室計劃[],MATCH(INDEX(辦公室差異[],ROW()-ROW(辦公室差異[[#Headers],[8 月]]),1),INDEX(辦公室計劃[],,1),0),MATCH(辦公室差異[[#Headers],[8 月]],辦公室計劃[#Headers],0))-INDEX(辦公室實際數字[],MATCH(INDEX(辦公室差異[],ROW()-ROW(辦公室差異[[#Headers],[8 月]]),1),INDEX(辦公室計劃[],,1),0),MATCH(辦公室差異[[#Headers],[8 月]],辦公室實際數字[#Headers],0))</f>
        <v>100</v>
      </c>
      <c r="K12" s="25">
        <f>INDEX(辦公室計劃[],MATCH(INDEX(辦公室差異[],ROW()-ROW(辦公室差異[[#Headers],[9 月]]),1),INDEX(辦公室計劃[],,1),0),MATCH(辦公室差異[[#Headers],[9 月]],辦公室計劃[#Headers],0))-INDEX(辦公室實際數字[],MATCH(INDEX(辦公室差異[],ROW()-ROW(辦公室差異[[#Headers],[9 月]]),1),INDEX(辦公室計劃[],,1),0),MATCH(辦公室差異[[#Headers],[9 月]],辦公室實際數字[#Headers],0))</f>
        <v>100</v>
      </c>
      <c r="L12" s="25">
        <f>INDEX(辦公室計劃[],MATCH(INDEX(辦公室差異[],ROW()-ROW(辦公室差異[[#Headers],[10 月]]),1),INDEX(辦公室計劃[],,1),0),MATCH(辦公室差異[[#Headers],[10 月]],辦公室計劃[#Headers],0))-INDEX(辦公室實際數字[],MATCH(INDEX(辦公室差異[],ROW()-ROW(辦公室差異[[#Headers],[10 月]]),1),INDEX(辦公室計劃[],,1),0),MATCH(辦公室差異[[#Headers],[10 月]],辦公室實際數字[#Headers],0))</f>
        <v>100</v>
      </c>
      <c r="M12" s="25">
        <f>INDEX(辦公室計劃[],MATCH(INDEX(辦公室差異[],ROW()-ROW(辦公室差異[[#Headers],[11 月]]),1),INDEX(辦公室計劃[],,1),0),MATCH(辦公室差異[[#Headers],[11 月]],辦公室計劃[#Headers],0))-INDEX(辦公室實際數字[],MATCH(INDEX(辦公室差異[],ROW()-ROW(辦公室差異[[#Headers],[11 月]]),1),INDEX(辦公室計劃[],,1),0),MATCH(辦公室差異[[#Headers],[11 月]],辦公室實際數字[#Headers],0))</f>
        <v>400</v>
      </c>
      <c r="N12" s="25">
        <f>INDEX(辦公室計劃[],MATCH(INDEX(辦公室差異[],ROW()-ROW(辦公室差異[[#Headers],[12 月]]),1),INDEX(辦公室計劃[],,1),0),MATCH(辦公室差異[[#Headers],[12 月]],辦公室計劃[#Headers],0))-INDEX(辦公室實際數字[],MATCH(INDEX(辦公室差異[],ROW()-ROW(辦公室差異[[#Headers],[12 月]]),1),INDEX(辦公室計劃[],,1),0),MATCH(辦公室差異[[#Headers],[12 月]],辦公室實際數字[#Headers],0))</f>
        <v>400</v>
      </c>
      <c r="O12" s="26">
        <f>SUM(辦公室差異[[#This Row],[1 月]:[12 月]])</f>
        <v>1076</v>
      </c>
    </row>
    <row r="13" spans="1:16" ht="24.95" customHeight="1" thickBot="1" x14ac:dyDescent="0.35">
      <c r="A13" s="13"/>
      <c r="B13" s="37" t="s">
        <v>17</v>
      </c>
      <c r="C13" s="25">
        <f>INDEX(辦公室計劃[],MATCH(INDEX(辦公室差異[],ROW()-ROW(辦公室差異[[#Headers],[1 月]]),1),INDEX(辦公室計劃[],,1),0),MATCH(辦公室差異[[#Headers],[1 月]],辦公室計劃[#Headers],0))-INDEX(辦公室實際數字[],MATCH(INDEX(辦公室差異[],ROW()-ROW(辦公室差異[[#Headers],[1 月]]),1),INDEX(辦公室計劃[],,1),0),MATCH(辦公室差異[[#Headers],[1 月]],辦公室實際數字[#Headers],0))</f>
        <v>12</v>
      </c>
      <c r="D13" s="25">
        <f>INDEX(辦公室計劃[],MATCH(INDEX(辦公室差異[],ROW()-ROW(辦公室差異[[#Headers],[2 月]]),1),INDEX(辦公室計劃[],,1),0),MATCH(辦公室差異[[#Headers],[2 月]],辦公室計劃[#Headers],0))-INDEX(辦公室實際數字[],MATCH(INDEX(辦公室差異[],ROW()-ROW(辦公室差異[[#Headers],[2 月]]),1),INDEX(辦公室計劃[],,1),0),MATCH(辦公室差異[[#Headers],[2 月]],辦公室實際數字[#Headers],0))</f>
        <v>22</v>
      </c>
      <c r="E13" s="25">
        <f>INDEX(辦公室計劃[],MATCH(INDEX(辦公室差異[],ROW()-ROW(辦公室差異[[#Headers],[3 月]]),1),INDEX(辦公室計劃[],,1),0),MATCH(辦公室差異[[#Headers],[3 月]],辦公室計劃[#Headers],0))-INDEX(辦公室實際數字[],MATCH(INDEX(辦公室差異[],ROW()-ROW(辦公室差異[[#Headers],[3 月]]),1),INDEX(辦公室計劃[],,1),0),MATCH(辦公室差異[[#Headers],[3 月]],辦公室實際數字[#Headers],0))</f>
        <v>32</v>
      </c>
      <c r="F13" s="25">
        <f>INDEX(辦公室計劃[],MATCH(INDEX(辦公室差異[],ROW()-ROW(辦公室差異[[#Headers],[4 月]]),1),INDEX(辦公室計劃[],,1),0),MATCH(辦公室差異[[#Headers],[4 月]],辦公室計劃[#Headers],0))-INDEX(辦公室實際數字[],MATCH(INDEX(辦公室差異[],ROW()-ROW(辦公室差異[[#Headers],[4 月]]),1),INDEX(辦公室計劃[],,1),0),MATCH(辦公室差異[[#Headers],[4 月]],辦公室實際數字[#Headers],0))</f>
        <v>1</v>
      </c>
      <c r="G13" s="25">
        <f>INDEX(辦公室計劃[],MATCH(INDEX(辦公室差異[],ROW()-ROW(辦公室差異[[#Headers],[5 月]]),1),INDEX(辦公室計劃[],,1),0),MATCH(辦公室差異[[#Headers],[5 月]],辦公室計劃[#Headers],0))-INDEX(辦公室實際數字[],MATCH(INDEX(辦公室差異[],ROW()-ROW(辦公室差異[[#Headers],[5 月]]),1),INDEX(辦公室計劃[],,1),0),MATCH(辦公室差異[[#Headers],[5 月]],辦公室實際數字[#Headers],0))</f>
        <v>-6</v>
      </c>
      <c r="H13" s="25">
        <f>INDEX(辦公室計劃[],MATCH(INDEX(辦公室差異[],ROW()-ROW(辦公室差異[[#Headers],[6 月]]),1),INDEX(辦公室計劃[],,1),0),MATCH(辦公室差異[[#Headers],[6 月]],辦公室計劃[#Headers],0))-INDEX(辦公室實際數字[],MATCH(INDEX(辦公室差異[],ROW()-ROW(辦公室差異[[#Headers],[6 月]]),1),INDEX(辦公室計劃[],,1),0),MATCH(辦公室差異[[#Headers],[6 月]],辦公室實際數字[#Headers],0))</f>
        <v>10</v>
      </c>
      <c r="I13" s="25">
        <f>INDEX(辦公室計劃[],MATCH(INDEX(辦公室差異[],ROW()-ROW(辦公室差異[[#Headers],[7 月]]),1),INDEX(辦公室計劃[],,1),0),MATCH(辦公室差異[[#Headers],[7 月]],辦公室計劃[#Headers],0))-INDEX(辦公室實際數字[],MATCH(INDEX(辦公室差異[],ROW()-ROW(辦公室差異[[#Headers],[7 月]]),1),INDEX(辦公室計劃[],,1),0),MATCH(辦公室差異[[#Headers],[7 月]],辦公室實際數字[#Headers],0))</f>
        <v>300</v>
      </c>
      <c r="J13" s="25">
        <f>INDEX(辦公室計劃[],MATCH(INDEX(辦公室差異[],ROW()-ROW(辦公室差異[[#Headers],[8 月]]),1),INDEX(辦公室計劃[],,1),0),MATCH(辦公室差異[[#Headers],[8 月]],辦公室計劃[#Headers],0))-INDEX(辦公室實際數字[],MATCH(INDEX(辦公室差異[],ROW()-ROW(辦公室差異[[#Headers],[8 月]]),1),INDEX(辦公室計劃[],,1),0),MATCH(辦公室差異[[#Headers],[8 月]],辦公室實際數字[#Headers],0))</f>
        <v>300</v>
      </c>
      <c r="K13" s="25">
        <f>INDEX(辦公室計劃[],MATCH(INDEX(辦公室差異[],ROW()-ROW(辦公室差異[[#Headers],[9 月]]),1),INDEX(辦公室計劃[],,1),0),MATCH(辦公室差異[[#Headers],[9 月]],辦公室計劃[#Headers],0))-INDEX(辦公室實際數字[],MATCH(INDEX(辦公室差異[],ROW()-ROW(辦公室差異[[#Headers],[9 月]]),1),INDEX(辦公室計劃[],,1),0),MATCH(辦公室差異[[#Headers],[9 月]],辦公室實際數字[#Headers],0))</f>
        <v>300</v>
      </c>
      <c r="L13" s="25">
        <f>INDEX(辦公室計劃[],MATCH(INDEX(辦公室差異[],ROW()-ROW(辦公室差異[[#Headers],[10 月]]),1),INDEX(辦公室計劃[],,1),0),MATCH(辦公室差異[[#Headers],[10 月]],辦公室計劃[#Headers],0))-INDEX(辦公室實際數字[],MATCH(INDEX(辦公室差異[],ROW()-ROW(辦公室差異[[#Headers],[10 月]]),1),INDEX(辦公室計劃[],,1),0),MATCH(辦公室差異[[#Headers],[10 月]],辦公室實際數字[#Headers],0))</f>
        <v>300</v>
      </c>
      <c r="M13" s="25">
        <f>INDEX(辦公室計劃[],MATCH(INDEX(辦公室差異[],ROW()-ROW(辦公室差異[[#Headers],[11 月]]),1),INDEX(辦公室計劃[],,1),0),MATCH(辦公室差異[[#Headers],[11 月]],辦公室計劃[#Headers],0))-INDEX(辦公室實際數字[],MATCH(INDEX(辦公室差異[],ROW()-ROW(辦公室差異[[#Headers],[11 月]]),1),INDEX(辦公室計劃[],,1),0),MATCH(辦公室差異[[#Headers],[11 月]],辦公室實際數字[#Headers],0))</f>
        <v>300</v>
      </c>
      <c r="N13" s="25">
        <f>INDEX(辦公室計劃[],MATCH(INDEX(辦公室差異[],ROW()-ROW(辦公室差異[[#Headers],[12 月]]),1),INDEX(辦公室計劃[],,1),0),MATCH(辦公室差異[[#Headers],[12 月]],辦公室計劃[#Headers],0))-INDEX(辦公室實際數字[],MATCH(INDEX(辦公室差異[],ROW()-ROW(辦公室差異[[#Headers],[12 月]]),1),INDEX(辦公室計劃[],,1),0),MATCH(辦公室差異[[#Headers],[12 月]],辦公室實際數字[#Headers],0))</f>
        <v>300</v>
      </c>
      <c r="O13" s="26">
        <f>SUM(辦公室差異[[#This Row],[1 月]:[12 月]])</f>
        <v>1871</v>
      </c>
    </row>
    <row r="14" spans="1:16" ht="24.95" customHeight="1" thickBot="1" x14ac:dyDescent="0.35">
      <c r="A14" s="13"/>
      <c r="B14" s="37" t="s">
        <v>18</v>
      </c>
      <c r="C14" s="25">
        <f>INDEX(辦公室計劃[],MATCH(INDEX(辦公室差異[],ROW()-ROW(辦公室差異[[#Headers],[1 月]]),1),INDEX(辦公室計劃[],,1),0),MATCH(辦公室差異[[#Headers],[1 月]],辦公室計劃[#Headers],0))-INDEX(辦公室實際數字[],MATCH(INDEX(辦公室差異[],ROW()-ROW(辦公室差異[[#Headers],[1 月]]),1),INDEX(辦公室計劃[],,1),0),MATCH(辦公室差異[[#Headers],[1 月]],辦公室實際數字[#Headers],0))</f>
        <v>5</v>
      </c>
      <c r="D14" s="25">
        <f>INDEX(辦公室計劃[],MATCH(INDEX(辦公室差異[],ROW()-ROW(辦公室差異[[#Headers],[2 月]]),1),INDEX(辦公室計劃[],,1),0),MATCH(辦公室差異[[#Headers],[2 月]],辦公室計劃[#Headers],0))-INDEX(辦公室實際數字[],MATCH(INDEX(辦公室差異[],ROW()-ROW(辦公室差異[[#Headers],[2 月]]),1),INDEX(辦公室計劃[],,1),0),MATCH(辦公室差異[[#Headers],[2 月]],辦公室實際數字[#Headers],0))</f>
        <v>7</v>
      </c>
      <c r="E14" s="25">
        <f>INDEX(辦公室計劃[],MATCH(INDEX(辦公室差異[],ROW()-ROW(辦公室差異[[#Headers],[3 月]]),1),INDEX(辦公室計劃[],,1),0),MATCH(辦公室差異[[#Headers],[3 月]],辦公室計劃[#Headers],0))-INDEX(辦公室實際數字[],MATCH(INDEX(辦公室差異[],ROW()-ROW(辦公室差異[[#Headers],[3 月]]),1),INDEX(辦公室計劃[],,1),0),MATCH(辦公室差異[[#Headers],[3 月]],辦公室實際數字[#Headers],0))</f>
        <v>6</v>
      </c>
      <c r="F14" s="25">
        <f>INDEX(辦公室計劃[],MATCH(INDEX(辦公室差異[],ROW()-ROW(辦公室差異[[#Headers],[4 月]]),1),INDEX(辦公室計劃[],,1),0),MATCH(辦公室差異[[#Headers],[4 月]],辦公室計劃[#Headers],0))-INDEX(辦公室實際數字[],MATCH(INDEX(辦公室差異[],ROW()-ROW(辦公室差異[[#Headers],[4 月]]),1),INDEX(辦公室計劃[],,1),0),MATCH(辦公室差異[[#Headers],[4 月]],辦公室實際數字[#Headers],0))</f>
        <v>4</v>
      </c>
      <c r="G14" s="25">
        <f>INDEX(辦公室計劃[],MATCH(INDEX(辦公室差異[],ROW()-ROW(辦公室差異[[#Headers],[5 月]]),1),INDEX(辦公室計劃[],,1),0),MATCH(辦公室差異[[#Headers],[5 月]],辦公室計劃[#Headers],0))-INDEX(辦公室實際數字[],MATCH(INDEX(辦公室差異[],ROW()-ROW(辦公室差異[[#Headers],[5 月]]),1),INDEX(辦公室計劃[],,1),0),MATCH(辦公室差異[[#Headers],[5 月]],辦公室實際數字[#Headers],0))</f>
        <v>6</v>
      </c>
      <c r="H14" s="25">
        <f>INDEX(辦公室計劃[],MATCH(INDEX(辦公室差異[],ROW()-ROW(辦公室差異[[#Headers],[6 月]]),1),INDEX(辦公室計劃[],,1),0),MATCH(辦公室差異[[#Headers],[6 月]],辦公室計劃[#Headers],0))-INDEX(辦公室實際數字[],MATCH(INDEX(辦公室差異[],ROW()-ROW(辦公室差異[[#Headers],[6 月]]),1),INDEX(辦公室計劃[],,1),0),MATCH(辦公室差異[[#Headers],[6 月]],辦公室實際數字[#Headers],0))</f>
        <v>4</v>
      </c>
      <c r="I14" s="25">
        <f>INDEX(辦公室計劃[],MATCH(INDEX(辦公室差異[],ROW()-ROW(辦公室差異[[#Headers],[7 月]]),1),INDEX(辦公室計劃[],,1),0),MATCH(辦公室差異[[#Headers],[7 月]],辦公室計劃[#Headers],0))-INDEX(辦公室實際數字[],MATCH(INDEX(辦公室差異[],ROW()-ROW(辦公室差異[[#Headers],[7 月]]),1),INDEX(辦公室計劃[],,1),0),MATCH(辦公室差異[[#Headers],[7 月]],辦公室實際數字[#Headers],0))</f>
        <v>40</v>
      </c>
      <c r="J14" s="25">
        <f>INDEX(辦公室計劃[],MATCH(INDEX(辦公室差異[],ROW()-ROW(辦公室差異[[#Headers],[8 月]]),1),INDEX(辦公室計劃[],,1),0),MATCH(辦公室差異[[#Headers],[8 月]],辦公室計劃[#Headers],0))-INDEX(辦公室實際數字[],MATCH(INDEX(辦公室差異[],ROW()-ROW(辦公室差異[[#Headers],[8 月]]),1),INDEX(辦公室計劃[],,1),0),MATCH(辦公室差異[[#Headers],[8 月]],辦公室實際數字[#Headers],0))</f>
        <v>40</v>
      </c>
      <c r="K14" s="25">
        <f>INDEX(辦公室計劃[],MATCH(INDEX(辦公室差異[],ROW()-ROW(辦公室差異[[#Headers],[9 月]]),1),INDEX(辦公室計劃[],,1),0),MATCH(辦公室差異[[#Headers],[9 月]],辦公室計劃[#Headers],0))-INDEX(辦公室實際數字[],MATCH(INDEX(辦公室差異[],ROW()-ROW(辦公室差異[[#Headers],[9 月]]),1),INDEX(辦公室計劃[],,1),0),MATCH(辦公室差異[[#Headers],[9 月]],辦公室實際數字[#Headers],0))</f>
        <v>40</v>
      </c>
      <c r="L14" s="25">
        <f>INDEX(辦公室計劃[],MATCH(INDEX(辦公室差異[],ROW()-ROW(辦公室差異[[#Headers],[10 月]]),1),INDEX(辦公室計劃[],,1),0),MATCH(辦公室差異[[#Headers],[10 月]],辦公室計劃[#Headers],0))-INDEX(辦公室實際數字[],MATCH(INDEX(辦公室差異[],ROW()-ROW(辦公室差異[[#Headers],[10 月]]),1),INDEX(辦公室計劃[],,1),0),MATCH(辦公室差異[[#Headers],[10 月]],辦公室實際數字[#Headers],0))</f>
        <v>40</v>
      </c>
      <c r="M14" s="25">
        <f>INDEX(辦公室計劃[],MATCH(INDEX(辦公室差異[],ROW()-ROW(辦公室差異[[#Headers],[11 月]]),1),INDEX(辦公室計劃[],,1),0),MATCH(辦公室差異[[#Headers],[11 月]],辦公室計劃[#Headers],0))-INDEX(辦公室實際數字[],MATCH(INDEX(辦公室差異[],ROW()-ROW(辦公室差異[[#Headers],[11 月]]),1),INDEX(辦公室計劃[],,1),0),MATCH(辦公室差異[[#Headers],[11 月]],辦公室實際數字[#Headers],0))</f>
        <v>40</v>
      </c>
      <c r="N14" s="25">
        <f>INDEX(辦公室計劃[],MATCH(INDEX(辦公室差異[],ROW()-ROW(辦公室差異[[#Headers],[12 月]]),1),INDEX(辦公室計劃[],,1),0),MATCH(辦公室差異[[#Headers],[12 月]],辦公室計劃[#Headers],0))-INDEX(辦公室實際數字[],MATCH(INDEX(辦公室差異[],ROW()-ROW(辦公室差異[[#Headers],[12 月]]),1),INDEX(辦公室計劃[],,1),0),MATCH(辦公室差異[[#Headers],[12 月]],辦公室實際數字[#Headers],0))</f>
        <v>40</v>
      </c>
      <c r="O14" s="26">
        <f>SUM(辦公室差異[[#This Row],[1 月]:[12 月]])</f>
        <v>272</v>
      </c>
    </row>
    <row r="15" spans="1:16" ht="24.95" customHeight="1" thickBot="1" x14ac:dyDescent="0.35">
      <c r="A15" s="13"/>
      <c r="B15" s="37" t="s">
        <v>19</v>
      </c>
      <c r="C15" s="25">
        <f>INDEX(辦公室計劃[],MATCH(INDEX(辦公室差異[],ROW()-ROW(辦公室差異[[#Headers],[1 月]]),1),INDEX(辦公室計劃[],,1),0),MATCH(辦公室差異[[#Headers],[1 月]],辦公室計劃[#Headers],0))-INDEX(辦公室實際數字[],MATCH(INDEX(辦公室差異[],ROW()-ROW(辦公室差異[[#Headers],[1 月]]),1),INDEX(辦公室計劃[],,1),0),MATCH(辦公室差異[[#Headers],[1 月]],辦公室實際數字[#Headers],0))</f>
        <v>26</v>
      </c>
      <c r="D15" s="25">
        <f>INDEX(辦公室計劃[],MATCH(INDEX(辦公室差異[],ROW()-ROW(辦公室差異[[#Headers],[2 月]]),1),INDEX(辦公室計劃[],,1),0),MATCH(辦公室差異[[#Headers],[2 月]],辦公室計劃[#Headers],0))-INDEX(辦公室實際數字[],MATCH(INDEX(辦公室差異[],ROW()-ROW(辦公室差異[[#Headers],[2 月]]),1),INDEX(辦公室計劃[],,1),0),MATCH(辦公室差異[[#Headers],[2 月]],辦公室實際數字[#Headers],0))</f>
        <v>15</v>
      </c>
      <c r="E15" s="25">
        <f>INDEX(辦公室計劃[],MATCH(INDEX(辦公室差異[],ROW()-ROW(辦公室差異[[#Headers],[3 月]]),1),INDEX(辦公室計劃[],,1),0),MATCH(辦公室差異[[#Headers],[3 月]],辦公室計劃[#Headers],0))-INDEX(辦公室實際數字[],MATCH(INDEX(辦公室差異[],ROW()-ROW(辦公室差異[[#Headers],[3 月]]),1),INDEX(辦公室計劃[],,1),0),MATCH(辦公室差異[[#Headers],[3 月]],辦公室實際數字[#Headers],0))</f>
        <v>-15</v>
      </c>
      <c r="F15" s="25">
        <f>INDEX(辦公室計劃[],MATCH(INDEX(辦公室差異[],ROW()-ROW(辦公室差異[[#Headers],[4 月]]),1),INDEX(辦公室計劃[],,1),0),MATCH(辦公室差異[[#Headers],[4 月]],辦公室計劃[#Headers],0))-INDEX(辦公室實際數字[],MATCH(INDEX(辦公室差異[],ROW()-ROW(辦公室差異[[#Headers],[4 月]]),1),INDEX(辦公室計劃[],,1),0),MATCH(辦公室差異[[#Headers],[4 月]],辦公室實際數字[#Headers],0))</f>
        <v>5</v>
      </c>
      <c r="G15" s="25">
        <f>INDEX(辦公室計劃[],MATCH(INDEX(辦公室差異[],ROW()-ROW(辦公室差異[[#Headers],[5 月]]),1),INDEX(辦公室計劃[],,1),0),MATCH(辦公室差異[[#Headers],[5 月]],辦公室計劃[#Headers],0))-INDEX(辦公室實際數字[],MATCH(INDEX(辦公室差異[],ROW()-ROW(辦公室差異[[#Headers],[5 月]]),1),INDEX(辦公室計劃[],,1),0),MATCH(辦公室差異[[#Headers],[5 月]],辦公室實際數字[#Headers],0))</f>
        <v>5</v>
      </c>
      <c r="H15" s="25">
        <f>INDEX(辦公室計劃[],MATCH(INDEX(辦公室差異[],ROW()-ROW(辦公室差異[[#Headers],[6 月]]),1),INDEX(辦公室計劃[],,1),0),MATCH(辦公室差異[[#Headers],[6 月]],辦公室計劃[#Headers],0))-INDEX(辦公室實際數字[],MATCH(INDEX(辦公室差異[],ROW()-ROW(辦公室差異[[#Headers],[6 月]]),1),INDEX(辦公室計劃[],,1),0),MATCH(辦公室差異[[#Headers],[6 月]],辦公室實際數字[#Headers],0))</f>
        <v>30</v>
      </c>
      <c r="I15" s="25">
        <f>INDEX(辦公室計劃[],MATCH(INDEX(辦公室差異[],ROW()-ROW(辦公室差異[[#Headers],[7 月]]),1),INDEX(辦公室計劃[],,1),0),MATCH(辦公室差異[[#Headers],[7 月]],辦公室計劃[#Headers],0))-INDEX(辦公室實際數字[],MATCH(INDEX(辦公室差異[],ROW()-ROW(辦公室差異[[#Headers],[7 月]]),1),INDEX(辦公室計劃[],,1),0),MATCH(辦公室差異[[#Headers],[7 月]],辦公室實際數字[#Headers],0))</f>
        <v>250</v>
      </c>
      <c r="J15" s="25">
        <f>INDEX(辦公室計劃[],MATCH(INDEX(辦公室差異[],ROW()-ROW(辦公室差異[[#Headers],[8 月]]),1),INDEX(辦公室計劃[],,1),0),MATCH(辦公室差異[[#Headers],[8 月]],辦公室計劃[#Headers],0))-INDEX(辦公室實際數字[],MATCH(INDEX(辦公室差異[],ROW()-ROW(辦公室差異[[#Headers],[8 月]]),1),INDEX(辦公室計劃[],,1),0),MATCH(辦公室差異[[#Headers],[8 月]],辦公室實際數字[#Headers],0))</f>
        <v>250</v>
      </c>
      <c r="K15" s="25">
        <f>INDEX(辦公室計劃[],MATCH(INDEX(辦公室差異[],ROW()-ROW(辦公室差異[[#Headers],[9 月]]),1),INDEX(辦公室計劃[],,1),0),MATCH(辦公室差異[[#Headers],[9 月]],辦公室計劃[#Headers],0))-INDEX(辦公室實際數字[],MATCH(INDEX(辦公室差異[],ROW()-ROW(辦公室差異[[#Headers],[9 月]]),1),INDEX(辦公室計劃[],,1),0),MATCH(辦公室差異[[#Headers],[9 月]],辦公室實際數字[#Headers],0))</f>
        <v>250</v>
      </c>
      <c r="L15" s="25">
        <f>INDEX(辦公室計劃[],MATCH(INDEX(辦公室差異[],ROW()-ROW(辦公室差異[[#Headers],[10 月]]),1),INDEX(辦公室計劃[],,1),0),MATCH(辦公室差異[[#Headers],[10 月]],辦公室計劃[#Headers],0))-INDEX(辦公室實際數字[],MATCH(INDEX(辦公室差異[],ROW()-ROW(辦公室差異[[#Headers],[10 月]]),1),INDEX(辦公室計劃[],,1),0),MATCH(辦公室差異[[#Headers],[10 月]],辦公室實際數字[#Headers],0))</f>
        <v>250</v>
      </c>
      <c r="M15" s="25">
        <f>INDEX(辦公室計劃[],MATCH(INDEX(辦公室差異[],ROW()-ROW(辦公室差異[[#Headers],[11 月]]),1),INDEX(辦公室計劃[],,1),0),MATCH(辦公室差異[[#Headers],[11 月]],辦公室計劃[#Headers],0))-INDEX(辦公室實際數字[],MATCH(INDEX(辦公室差異[],ROW()-ROW(辦公室差異[[#Headers],[11 月]]),1),INDEX(辦公室計劃[],,1),0),MATCH(辦公室差異[[#Headers],[11 月]],辦公室實際數字[#Headers],0))</f>
        <v>250</v>
      </c>
      <c r="N15" s="25">
        <f>INDEX(辦公室計劃[],MATCH(INDEX(辦公室差異[],ROW()-ROW(辦公室差異[[#Headers],[12 月]]),1),INDEX(辦公室計劃[],,1),0),MATCH(辦公室差異[[#Headers],[12 月]],辦公室計劃[#Headers],0))-INDEX(辦公室實際數字[],MATCH(INDEX(辦公室差異[],ROW()-ROW(辦公室差異[[#Headers],[12 月]]),1),INDEX(辦公室計劃[],,1),0),MATCH(辦公室差異[[#Headers],[12 月]],辦公室實際數字[#Headers],0))</f>
        <v>250</v>
      </c>
      <c r="O15" s="26">
        <f>SUM(辦公室差異[[#This Row],[1 月]:[12 月]])</f>
        <v>1566</v>
      </c>
    </row>
    <row r="16" spans="1:16" ht="24.95" customHeight="1" thickBot="1" x14ac:dyDescent="0.35">
      <c r="A16" s="13"/>
      <c r="B16" s="37" t="s">
        <v>20</v>
      </c>
      <c r="C16" s="25">
        <f>INDEX(辦公室計劃[],MATCH(INDEX(辦公室差異[],ROW()-ROW(辦公室差異[[#Headers],[1 月]]),1),INDEX(辦公室計劃[],,1),0),MATCH(辦公室差異[[#Headers],[1 月]],辦公室計劃[#Headers],0))-INDEX(辦公室實際數字[],MATCH(INDEX(辦公室差異[],ROW()-ROW(辦公室差異[[#Headers],[1 月]]),1),INDEX(辦公室計劃[],,1),0),MATCH(辦公室差異[[#Headers],[1 月]],辦公室實際數字[#Headers],0))</f>
        <v>0</v>
      </c>
      <c r="D16" s="25">
        <f>INDEX(辦公室計劃[],MATCH(INDEX(辦公室差異[],ROW()-ROW(辦公室差異[[#Headers],[2 月]]),1),INDEX(辦公室計劃[],,1),0),MATCH(辦公室差異[[#Headers],[2 月]],辦公室計劃[#Headers],0))-INDEX(辦公室實際數字[],MATCH(INDEX(辦公室差異[],ROW()-ROW(辦公室差異[[#Headers],[2 月]]),1),INDEX(辦公室計劃[],,1),0),MATCH(辦公室差異[[#Headers],[2 月]],辦公室實際數字[#Headers],0))</f>
        <v>0</v>
      </c>
      <c r="E16" s="25">
        <f>INDEX(辦公室計劃[],MATCH(INDEX(辦公室差異[],ROW()-ROW(辦公室差異[[#Headers],[3 月]]),1),INDEX(辦公室計劃[],,1),0),MATCH(辦公室差異[[#Headers],[3 月]],辦公室計劃[#Headers],0))-INDEX(辦公室實際數字[],MATCH(INDEX(辦公室差異[],ROW()-ROW(辦公室差異[[#Headers],[3 月]]),1),INDEX(辦公室計劃[],,1),0),MATCH(辦公室差異[[#Headers],[3 月]],辦公室實際數字[#Headers],0))</f>
        <v>0</v>
      </c>
      <c r="F16" s="25">
        <f>INDEX(辦公室計劃[],MATCH(INDEX(辦公室差異[],ROW()-ROW(辦公室差異[[#Headers],[4 月]]),1),INDEX(辦公室計劃[],,1),0),MATCH(辦公室差異[[#Headers],[4 月]],辦公室計劃[#Headers],0))-INDEX(辦公室實際數字[],MATCH(INDEX(辦公室差異[],ROW()-ROW(辦公室差異[[#Headers],[4 月]]),1),INDEX(辦公室計劃[],,1),0),MATCH(辦公室差異[[#Headers],[4 月]],辦公室實際數字[#Headers],0))</f>
        <v>0</v>
      </c>
      <c r="G16" s="25">
        <f>INDEX(辦公室計劃[],MATCH(INDEX(辦公室差異[],ROW()-ROW(辦公室差異[[#Headers],[5 月]]),1),INDEX(辦公室計劃[],,1),0),MATCH(辦公室差異[[#Headers],[5 月]],辦公室計劃[#Headers],0))-INDEX(辦公室實際數字[],MATCH(INDEX(辦公室差異[],ROW()-ROW(辦公室差異[[#Headers],[5 月]]),1),INDEX(辦公室計劃[],,1),0),MATCH(辦公室差異[[#Headers],[5 月]],辦公室實際數字[#Headers],0))</f>
        <v>0</v>
      </c>
      <c r="H16" s="25">
        <f>INDEX(辦公室計劃[],MATCH(INDEX(辦公室差異[],ROW()-ROW(辦公室差異[[#Headers],[6 月]]),1),INDEX(辦公室計劃[],,1),0),MATCH(辦公室差異[[#Headers],[6 月]],辦公室計劃[#Headers],0))-INDEX(辦公室實際數字[],MATCH(INDEX(辦公室差異[],ROW()-ROW(辦公室差異[[#Headers],[6 月]]),1),INDEX(辦公室計劃[],,1),0),MATCH(辦公室差異[[#Headers],[6 月]],辦公室實際數字[#Headers],0))</f>
        <v>0</v>
      </c>
      <c r="I16" s="25">
        <f>INDEX(辦公室計劃[],MATCH(INDEX(辦公室差異[],ROW()-ROW(辦公室差異[[#Headers],[7 月]]),1),INDEX(辦公室計劃[],,1),0),MATCH(辦公室差異[[#Headers],[7 月]],辦公室計劃[#Headers],0))-INDEX(辦公室實際數字[],MATCH(INDEX(辦公室差異[],ROW()-ROW(辦公室差異[[#Headers],[7 月]]),1),INDEX(辦公室計劃[],,1),0),MATCH(辦公室差異[[#Headers],[7 月]],辦公室實際數字[#Headers],0))</f>
        <v>180</v>
      </c>
      <c r="J16" s="25">
        <f>INDEX(辦公室計劃[],MATCH(INDEX(辦公室差異[],ROW()-ROW(辦公室差異[[#Headers],[8 月]]),1),INDEX(辦公室計劃[],,1),0),MATCH(辦公室差異[[#Headers],[8 月]],辦公室計劃[#Headers],0))-INDEX(辦公室實際數字[],MATCH(INDEX(辦公室差異[],ROW()-ROW(辦公室差異[[#Headers],[8 月]]),1),INDEX(辦公室計劃[],,1),0),MATCH(辦公室差異[[#Headers],[8 月]],辦公室實際數字[#Headers],0))</f>
        <v>180</v>
      </c>
      <c r="K16" s="25">
        <f>INDEX(辦公室計劃[],MATCH(INDEX(辦公室差異[],ROW()-ROW(辦公室差異[[#Headers],[9 月]]),1),INDEX(辦公室計劃[],,1),0),MATCH(辦公室差異[[#Headers],[9 月]],辦公室計劃[#Headers],0))-INDEX(辦公室實際數字[],MATCH(INDEX(辦公室差異[],ROW()-ROW(辦公室差異[[#Headers],[9 月]]),1),INDEX(辦公室計劃[],,1),0),MATCH(辦公室差異[[#Headers],[9 月]],辦公室實際數字[#Headers],0))</f>
        <v>180</v>
      </c>
      <c r="L16" s="25">
        <f>INDEX(辦公室計劃[],MATCH(INDEX(辦公室差異[],ROW()-ROW(辦公室差異[[#Headers],[10 月]]),1),INDEX(辦公室計劃[],,1),0),MATCH(辦公室差異[[#Headers],[10 月]],辦公室計劃[#Headers],0))-INDEX(辦公室實際數字[],MATCH(INDEX(辦公室差異[],ROW()-ROW(辦公室差異[[#Headers],[10 月]]),1),INDEX(辦公室計劃[],,1),0),MATCH(辦公室差異[[#Headers],[10 月]],辦公室實際數字[#Headers],0))</f>
        <v>180</v>
      </c>
      <c r="M16" s="25">
        <f>INDEX(辦公室計劃[],MATCH(INDEX(辦公室差異[],ROW()-ROW(辦公室差異[[#Headers],[11 月]]),1),INDEX(辦公室計劃[],,1),0),MATCH(辦公室差異[[#Headers],[11 月]],辦公室計劃[#Headers],0))-INDEX(辦公室實際數字[],MATCH(INDEX(辦公室差異[],ROW()-ROW(辦公室差異[[#Headers],[11 月]]),1),INDEX(辦公室計劃[],,1),0),MATCH(辦公室差異[[#Headers],[11 月]],辦公室實際數字[#Headers],0))</f>
        <v>180</v>
      </c>
      <c r="N16" s="25">
        <f>INDEX(辦公室計劃[],MATCH(INDEX(辦公室差異[],ROW()-ROW(辦公室差異[[#Headers],[12 月]]),1),INDEX(辦公室計劃[],,1),0),MATCH(辦公室差異[[#Headers],[12 月]],辦公室計劃[#Headers],0))-INDEX(辦公室實際數字[],MATCH(INDEX(辦公室差異[],ROW()-ROW(辦公室差異[[#Headers],[12 月]]),1),INDEX(辦公室計劃[],,1),0),MATCH(辦公室差異[[#Headers],[12 月]],辦公室實際數字[#Headers],0))</f>
        <v>180</v>
      </c>
      <c r="O16" s="26">
        <f>SUM(辦公室差異[[#This Row],[1 月]:[12 月]])</f>
        <v>1080</v>
      </c>
    </row>
    <row r="17" spans="1:15" ht="24.95" customHeight="1" thickBot="1" x14ac:dyDescent="0.35">
      <c r="A17" s="13"/>
      <c r="B17" s="37" t="s">
        <v>21</v>
      </c>
      <c r="C17" s="25">
        <f>INDEX(辦公室計劃[],MATCH(INDEX(辦公室差異[],ROW()-ROW(辦公室差異[[#Headers],[1 月]]),1),INDEX(辦公室計劃[],,1),0),MATCH(辦公室差異[[#Headers],[1 月]],辦公室計劃[#Headers],0))-INDEX(辦公室實際數字[],MATCH(INDEX(辦公室差異[],ROW()-ROW(辦公室差異[[#Headers],[1 月]]),1),INDEX(辦公室計劃[],,1),0),MATCH(辦公室差異[[#Headers],[1 月]],辦公室實際數字[#Headers],0))</f>
        <v>-56</v>
      </c>
      <c r="D17" s="25">
        <f>INDEX(辦公室計劃[],MATCH(INDEX(辦公室差異[],ROW()-ROW(辦公室差異[[#Headers],[2 月]]),1),INDEX(辦公室計劃[],,1),0),MATCH(辦公室差異[[#Headers],[2 月]],辦公室計劃[#Headers],0))-INDEX(辦公室實際數字[],MATCH(INDEX(辦公室差異[],ROW()-ROW(辦公室差異[[#Headers],[2 月]]),1),INDEX(辦公室計劃[],,1),0),MATCH(辦公室差異[[#Headers],[2 月]],辦公室實際數字[#Headers],0))</f>
        <v>58</v>
      </c>
      <c r="E17" s="25">
        <f>INDEX(辦公室計劃[],MATCH(INDEX(辦公室差異[],ROW()-ROW(辦公室差異[[#Headers],[3 月]]),1),INDEX(辦公室計劃[],,1),0),MATCH(辦公室差異[[#Headers],[3 月]],辦公室計劃[#Headers],0))-INDEX(辦公室實際數字[],MATCH(INDEX(辦公室差異[],ROW()-ROW(辦公室差異[[#Headers],[3 月]]),1),INDEX(辦公室計劃[],,1),0),MATCH(辦公室差異[[#Headers],[3 月]],辦公室實際數字[#Headers],0))</f>
        <v>40</v>
      </c>
      <c r="F17" s="25">
        <f>INDEX(辦公室計劃[],MATCH(INDEX(辦公室差異[],ROW()-ROW(辦公室差異[[#Headers],[4 月]]),1),INDEX(辦公室計劃[],,1),0),MATCH(辦公室差異[[#Headers],[4 月]],辦公室計劃[#Headers],0))-INDEX(辦公室實際數字[],MATCH(INDEX(辦公室差異[],ROW()-ROW(辦公室差異[[#Headers],[4 月]]),1),INDEX(辦公室計劃[],,1),0),MATCH(辦公室差異[[#Headers],[4 月]],辦公室實際數字[#Headers],0))</f>
        <v>-21</v>
      </c>
      <c r="G17" s="25">
        <f>INDEX(辦公室計劃[],MATCH(INDEX(辦公室差異[],ROW()-ROW(辦公室差異[[#Headers],[5 月]]),1),INDEX(辦公室計劃[],,1),0),MATCH(辦公室差異[[#Headers],[5 月]],辦公室計劃[#Headers],0))-INDEX(辦公室實際數字[],MATCH(INDEX(辦公室差異[],ROW()-ROW(辦公室差異[[#Headers],[5 月]]),1),INDEX(辦公室計劃[],,1),0),MATCH(辦公室差異[[#Headers],[5 月]],辦公室實際數字[#Headers],0))</f>
        <v>-56</v>
      </c>
      <c r="H17" s="25">
        <f>INDEX(辦公室計劃[],MATCH(INDEX(辦公室差異[],ROW()-ROW(辦公室差異[[#Headers],[6 月]]),1),INDEX(辦公室計劃[],,1),0),MATCH(辦公室差異[[#Headers],[6 月]],辦公室計劃[#Headers],0))-INDEX(辦公室實際數字[],MATCH(INDEX(辦公室差異[],ROW()-ROW(辦公室差異[[#Headers],[6 月]]),1),INDEX(辦公室計劃[],,1),0),MATCH(辦公室差異[[#Headers],[6 月]],辦公室實際數字[#Headers],0))</f>
        <v>-40</v>
      </c>
      <c r="I17" s="25">
        <f>INDEX(辦公室計劃[],MATCH(INDEX(辦公室差異[],ROW()-ROW(辦公室差異[[#Headers],[7 月]]),1),INDEX(辦公室計劃[],,1),0),MATCH(辦公室差異[[#Headers],[7 月]],辦公室計劃[#Headers],0))-INDEX(辦公室實際數字[],MATCH(INDEX(辦公室差異[],ROW()-ROW(辦公室差異[[#Headers],[7 月]]),1),INDEX(辦公室計劃[],,1),0),MATCH(辦公室差異[[#Headers],[7 月]],辦公室實際數字[#Headers],0))</f>
        <v>200</v>
      </c>
      <c r="J17" s="25">
        <f>INDEX(辦公室計劃[],MATCH(INDEX(辦公室差異[],ROW()-ROW(辦公室差異[[#Headers],[8 月]]),1),INDEX(辦公室計劃[],,1),0),MATCH(辦公室差異[[#Headers],[8 月]],辦公室計劃[#Headers],0))-INDEX(辦公室實際數字[],MATCH(INDEX(辦公室差異[],ROW()-ROW(辦公室差異[[#Headers],[8 月]]),1),INDEX(辦公室計劃[],,1),0),MATCH(辦公室差異[[#Headers],[8 月]],辦公室實際數字[#Headers],0))</f>
        <v>200</v>
      </c>
      <c r="K17" s="25">
        <f>INDEX(辦公室計劃[],MATCH(INDEX(辦公室差異[],ROW()-ROW(辦公室差異[[#Headers],[9 月]]),1),INDEX(辦公室計劃[],,1),0),MATCH(辦公室差異[[#Headers],[9 月]],辦公室計劃[#Headers],0))-INDEX(辦公室實際數字[],MATCH(INDEX(辦公室差異[],ROW()-ROW(辦公室差異[[#Headers],[9 月]]),1),INDEX(辦公室計劃[],,1),0),MATCH(辦公室差異[[#Headers],[9 月]],辦公室實際數字[#Headers],0))</f>
        <v>200</v>
      </c>
      <c r="L17" s="25">
        <f>INDEX(辦公室計劃[],MATCH(INDEX(辦公室差異[],ROW()-ROW(辦公室差異[[#Headers],[10 月]]),1),INDEX(辦公室計劃[],,1),0),MATCH(辦公室差異[[#Headers],[10 月]],辦公室計劃[#Headers],0))-INDEX(辦公室實際數字[],MATCH(INDEX(辦公室差異[],ROW()-ROW(辦公室差異[[#Headers],[10 月]]),1),INDEX(辦公室計劃[],,1),0),MATCH(辦公室差異[[#Headers],[10 月]],辦公室實際數字[#Headers],0))</f>
        <v>200</v>
      </c>
      <c r="M17" s="25">
        <f>INDEX(辦公室計劃[],MATCH(INDEX(辦公室差異[],ROW()-ROW(辦公室差異[[#Headers],[11 月]]),1),INDEX(辦公室計劃[],,1),0),MATCH(辦公室差異[[#Headers],[11 月]],辦公室計劃[#Headers],0))-INDEX(辦公室實際數字[],MATCH(INDEX(辦公室差異[],ROW()-ROW(辦公室差異[[#Headers],[11 月]]),1),INDEX(辦公室計劃[],,1),0),MATCH(辦公室差異[[#Headers],[11 月]],辦公室實際數字[#Headers],0))</f>
        <v>200</v>
      </c>
      <c r="N17" s="25">
        <f>INDEX(辦公室計劃[],MATCH(INDEX(辦公室差異[],ROW()-ROW(辦公室差異[[#Headers],[12 月]]),1),INDEX(辦公室計劃[],,1),0),MATCH(辦公室差異[[#Headers],[12 月]],辦公室計劃[#Headers],0))-INDEX(辦公室實際數字[],MATCH(INDEX(辦公室差異[],ROW()-ROW(辦公室差異[[#Headers],[12 月]]),1),INDEX(辦公室計劃[],,1),0),MATCH(辦公室差異[[#Headers],[12 月]],辦公室實際數字[#Headers],0))</f>
        <v>200</v>
      </c>
      <c r="O17" s="26">
        <f>SUM(辦公室差異[[#This Row],[1 月]:[12 月]])</f>
        <v>1125</v>
      </c>
    </row>
    <row r="18" spans="1:15" ht="24.95" customHeight="1" thickBot="1" x14ac:dyDescent="0.35">
      <c r="A18" s="13"/>
      <c r="B18" s="37" t="s">
        <v>22</v>
      </c>
      <c r="C18" s="25">
        <f>INDEX(辦公室計劃[],MATCH(INDEX(辦公室差異[],ROW()-ROW(辦公室差異[[#Headers],[1 月]]),1),INDEX(辦公室計劃[],,1),0),MATCH(辦公室差異[[#Headers],[1 月]],辦公室計劃[#Headers],0))-INDEX(辦公室實際數字[],MATCH(INDEX(辦公室差異[],ROW()-ROW(辦公室差異[[#Headers],[1 月]]),1),INDEX(辦公室計劃[],,1),0),MATCH(辦公室差異[[#Headers],[1 月]],辦公室實際數字[#Headers],0))</f>
        <v>0</v>
      </c>
      <c r="D18" s="25">
        <f>INDEX(辦公室計劃[],MATCH(INDEX(辦公室差異[],ROW()-ROW(辦公室差異[[#Headers],[2 月]]),1),INDEX(辦公室計劃[],,1),0),MATCH(辦公室差異[[#Headers],[2 月]],辦公室計劃[#Headers],0))-INDEX(辦公室實際數字[],MATCH(INDEX(辦公室差異[],ROW()-ROW(辦公室差異[[#Headers],[2 月]]),1),INDEX(辦公室計劃[],,1),0),MATCH(辦公室差異[[#Headers],[2 月]],辦公室實際數字[#Headers],0))</f>
        <v>0</v>
      </c>
      <c r="E18" s="25">
        <f>INDEX(辦公室計劃[],MATCH(INDEX(辦公室差異[],ROW()-ROW(辦公室差異[[#Headers],[3 月]]),1),INDEX(辦公室計劃[],,1),0),MATCH(辦公室差異[[#Headers],[3 月]],辦公室計劃[#Headers],0))-INDEX(辦公室實際數字[],MATCH(INDEX(辦公室差異[],ROW()-ROW(辦公室差異[[#Headers],[3 月]]),1),INDEX(辦公室計劃[],,1),0),MATCH(辦公室差異[[#Headers],[3 月]],辦公室實際數字[#Headers],0))</f>
        <v>0</v>
      </c>
      <c r="F18" s="25">
        <f>INDEX(辦公室計劃[],MATCH(INDEX(辦公室差異[],ROW()-ROW(辦公室差異[[#Headers],[4 月]]),1),INDEX(辦公室計劃[],,1),0),MATCH(辦公室差異[[#Headers],[4 月]],辦公室計劃[#Headers],0))-INDEX(辦公室實際數字[],MATCH(INDEX(辦公室差異[],ROW()-ROW(辦公室差異[[#Headers],[4 月]]),1),INDEX(辦公室計劃[],,1),0),MATCH(辦公室差異[[#Headers],[4 月]],辦公室實際數字[#Headers],0))</f>
        <v>0</v>
      </c>
      <c r="G18" s="25">
        <f>INDEX(辦公室計劃[],MATCH(INDEX(辦公室差異[],ROW()-ROW(辦公室差異[[#Headers],[5 月]]),1),INDEX(辦公室計劃[],,1),0),MATCH(辦公室差異[[#Headers],[5 月]],辦公室計劃[#Headers],0))-INDEX(辦公室實際數字[],MATCH(INDEX(辦公室差異[],ROW()-ROW(辦公室差異[[#Headers],[5 月]]),1),INDEX(辦公室計劃[],,1),0),MATCH(辦公室差異[[#Headers],[5 月]],辦公室實際數字[#Headers],0))</f>
        <v>0</v>
      </c>
      <c r="H18" s="25">
        <f>INDEX(辦公室計劃[],MATCH(INDEX(辦公室差異[],ROW()-ROW(辦公室差異[[#Headers],[6 月]]),1),INDEX(辦公室計劃[],,1),0),MATCH(辦公室差異[[#Headers],[6 月]],辦公室計劃[#Headers],0))-INDEX(辦公室實際數字[],MATCH(INDEX(辦公室差異[],ROW()-ROW(辦公室差異[[#Headers],[6 月]]),1),INDEX(辦公室計劃[],,1),0),MATCH(辦公室差異[[#Headers],[6 月]],辦公室實際數字[#Headers],0))</f>
        <v>0</v>
      </c>
      <c r="I18" s="25">
        <f>INDEX(辦公室計劃[],MATCH(INDEX(辦公室差異[],ROW()-ROW(辦公室差異[[#Headers],[7 月]]),1),INDEX(辦公室計劃[],,1),0),MATCH(辦公室差異[[#Headers],[7 月]],辦公室計劃[#Headers],0))-INDEX(辦公室實際數字[],MATCH(INDEX(辦公室差異[],ROW()-ROW(辦公室差異[[#Headers],[7 月]]),1),INDEX(辦公室計劃[],,1),0),MATCH(辦公室差異[[#Headers],[7 月]],辦公室實際數字[#Headers],0))</f>
        <v>600</v>
      </c>
      <c r="J18" s="25">
        <f>INDEX(辦公室計劃[],MATCH(INDEX(辦公室差異[],ROW()-ROW(辦公室差異[[#Headers],[8 月]]),1),INDEX(辦公室計劃[],,1),0),MATCH(辦公室差異[[#Headers],[8 月]],辦公室計劃[#Headers],0))-INDEX(辦公室實際數字[],MATCH(INDEX(辦公室差異[],ROW()-ROW(辦公室差異[[#Headers],[8 月]]),1),INDEX(辦公室計劃[],,1),0),MATCH(辦公室差異[[#Headers],[8 月]],辦公室實際數字[#Headers],0))</f>
        <v>600</v>
      </c>
      <c r="K18" s="25">
        <f>INDEX(辦公室計劃[],MATCH(INDEX(辦公室差異[],ROW()-ROW(辦公室差異[[#Headers],[9 月]]),1),INDEX(辦公室計劃[],,1),0),MATCH(辦公室差異[[#Headers],[9 月]],辦公室計劃[#Headers],0))-INDEX(辦公室實際數字[],MATCH(INDEX(辦公室差異[],ROW()-ROW(辦公室差異[[#Headers],[9 月]]),1),INDEX(辦公室計劃[],,1),0),MATCH(辦公室差異[[#Headers],[9 月]],辦公室實際數字[#Headers],0))</f>
        <v>600</v>
      </c>
      <c r="L18" s="25">
        <f>INDEX(辦公室計劃[],MATCH(INDEX(辦公室差異[],ROW()-ROW(辦公室差異[[#Headers],[10 月]]),1),INDEX(辦公室計劃[],,1),0),MATCH(辦公室差異[[#Headers],[10 月]],辦公室計劃[#Headers],0))-INDEX(辦公室實際數字[],MATCH(INDEX(辦公室差異[],ROW()-ROW(辦公室差異[[#Headers],[10 月]]),1),INDEX(辦公室計劃[],,1),0),MATCH(辦公室差異[[#Headers],[10 月]],辦公室實際數字[#Headers],0))</f>
        <v>600</v>
      </c>
      <c r="M18" s="25">
        <f>INDEX(辦公室計劃[],MATCH(INDEX(辦公室差異[],ROW()-ROW(辦公室差異[[#Headers],[11 月]]),1),INDEX(辦公室計劃[],,1),0),MATCH(辦公室差異[[#Headers],[11 月]],辦公室計劃[#Headers],0))-INDEX(辦公室實際數字[],MATCH(INDEX(辦公室差異[],ROW()-ROW(辦公室差異[[#Headers],[11 月]]),1),INDEX(辦公室計劃[],,1),0),MATCH(辦公室差異[[#Headers],[11 月]],辦公室實際數字[#Headers],0))</f>
        <v>600</v>
      </c>
      <c r="N18" s="25">
        <f>INDEX(辦公室計劃[],MATCH(INDEX(辦公室差異[],ROW()-ROW(辦公室差異[[#Headers],[12 月]]),1),INDEX(辦公室計劃[],,1),0),MATCH(辦公室差異[[#Headers],[12 月]],辦公室計劃[#Headers],0))-INDEX(辦公室實際數字[],MATCH(INDEX(辦公室差異[],ROW()-ROW(辦公室差異[[#Headers],[12 月]]),1),INDEX(辦公室計劃[],,1),0),MATCH(辦公室差異[[#Headers],[12 月]],辦公室實際數字[#Headers],0))</f>
        <v>600</v>
      </c>
      <c r="O18" s="26">
        <f>SUM(辦公室差異[[#This Row],[1 月]:[12 月]])</f>
        <v>3600</v>
      </c>
    </row>
    <row r="19" spans="1:15" ht="24.95" customHeight="1" x14ac:dyDescent="0.3">
      <c r="A19" s="13"/>
      <c r="B19" s="38" t="s">
        <v>13</v>
      </c>
      <c r="C19" s="39">
        <f>SUBTOTAL(109,辦公室差異[1 月])</f>
        <v>-17</v>
      </c>
      <c r="D19" s="28">
        <f>SUBTOTAL(109,辦公室差異[2 月])</f>
        <v>72</v>
      </c>
      <c r="E19" s="28">
        <f>SUBTOTAL(109,辦公室差異[3 月])</f>
        <v>78</v>
      </c>
      <c r="F19" s="28">
        <f>SUBTOTAL(109,辦公室差異[4 月])</f>
        <v>-141</v>
      </c>
      <c r="G19" s="28">
        <f>SUBTOTAL(109,辦公室差異[5 月])</f>
        <v>-38</v>
      </c>
      <c r="H19" s="28">
        <f>SUBTOTAL(109,辦公室差異[6 月])</f>
        <v>16</v>
      </c>
      <c r="I19" s="28">
        <f>SUBTOTAL(109,辦公室差異[7 月])</f>
        <v>11470</v>
      </c>
      <c r="J19" s="28">
        <f>SUBTOTAL(109,辦公室差異[8 月])</f>
        <v>11470</v>
      </c>
      <c r="K19" s="28">
        <f>SUBTOTAL(109,辦公室差異[9 月])</f>
        <v>11470</v>
      </c>
      <c r="L19" s="28">
        <f>SUBTOTAL(109,辦公室差異[10 月])</f>
        <v>11470</v>
      </c>
      <c r="M19" s="28">
        <f>SUBTOTAL(109,辦公室差異[11 月])</f>
        <v>11770</v>
      </c>
      <c r="N19" s="28">
        <f>SUBTOTAL(109,辦公室差異[12 月])</f>
        <v>11770</v>
      </c>
      <c r="O19" s="29">
        <f>SUBTOTAL(109,辦公室差異[年度])</f>
        <v>69390</v>
      </c>
    </row>
    <row r="20" spans="1:15" ht="21" customHeight="1" x14ac:dyDescent="0.3">
      <c r="A20" s="13"/>
      <c r="B20" s="40"/>
      <c r="C20" s="40"/>
      <c r="D20" s="31"/>
      <c r="E20" s="31"/>
      <c r="F20" s="41"/>
      <c r="G20" s="41"/>
      <c r="H20" s="41"/>
      <c r="I20" s="41"/>
      <c r="J20" s="41"/>
      <c r="K20" s="41"/>
      <c r="L20" s="41"/>
      <c r="M20" s="41"/>
      <c r="N20" s="41"/>
      <c r="O20" s="32"/>
    </row>
    <row r="21" spans="1:15" ht="24.95" customHeight="1" thickBot="1" x14ac:dyDescent="0.35">
      <c r="A21" s="13"/>
      <c r="B21" s="42" t="s">
        <v>23</v>
      </c>
      <c r="C21" s="34" t="s">
        <v>36</v>
      </c>
      <c r="D21" s="34" t="s">
        <v>37</v>
      </c>
      <c r="E21" s="35" t="s">
        <v>38</v>
      </c>
      <c r="F21" s="34" t="s">
        <v>39</v>
      </c>
      <c r="G21" s="34" t="s">
        <v>40</v>
      </c>
      <c r="H21" s="34" t="s">
        <v>41</v>
      </c>
      <c r="I21" s="34" t="s">
        <v>42</v>
      </c>
      <c r="J21" s="34" t="s">
        <v>43</v>
      </c>
      <c r="K21" s="34" t="s">
        <v>46</v>
      </c>
      <c r="L21" s="34" t="s">
        <v>47</v>
      </c>
      <c r="M21" s="34" t="s">
        <v>48</v>
      </c>
      <c r="N21" s="34" t="s">
        <v>49</v>
      </c>
      <c r="O21" s="36" t="s">
        <v>50</v>
      </c>
    </row>
    <row r="22" spans="1:15" ht="24.95" customHeight="1" thickBot="1" x14ac:dyDescent="0.35">
      <c r="A22" s="13"/>
      <c r="B22" s="37" t="s">
        <v>24</v>
      </c>
      <c r="C22" s="25">
        <f>INDEX(行銷計劃[],MATCH(INDEX(行銷差異[],ROW()-ROW(行銷差異[[#Headers],[1 月]]),1),INDEX(行銷計劃[],,1),0),MATCH(行銷差異[[#Headers],[1 月]],行銷計劃[#Headers],0))-INDEX(行銷實際數字[],MATCH(INDEX(行銷差異[],ROW()-ROW(行銷差異[[#Headers],[1 月]]),1),INDEX(行銷計劃[],,1),0),MATCH(行銷差異[[#Headers],[1 月]],行銷實際數字[#Headers],0))</f>
        <v>0</v>
      </c>
      <c r="D22" s="25">
        <f>INDEX(行銷計劃[],MATCH(INDEX(行銷差異[],ROW()-ROW(行銷差異[[#Headers],[2 月]]),1),INDEX(行銷計劃[],,1),0),MATCH(行銷差異[[#Headers],[2 月]],行銷計劃[#Headers],0))-INDEX(行銷實際數字[],MATCH(INDEX(行銷差異[],ROW()-ROW(行銷差異[[#Headers],[2 月]]),1),INDEX(行銷計劃[],,1),0),MATCH(行銷差異[[#Headers],[2 月]],行銷實際數字[#Headers],0))</f>
        <v>0</v>
      </c>
      <c r="E22" s="25">
        <f>INDEX(行銷計劃[],MATCH(INDEX(行銷差異[],ROW()-ROW(行銷差異[[#Headers],[3 月]]),1),INDEX(行銷計劃[],,1),0),MATCH(行銷差異[[#Headers],[3 月]],行銷計劃[#Headers],0))-INDEX(行銷實際數字[],MATCH(INDEX(行銷差異[],ROW()-ROW(行銷差異[[#Headers],[3 月]]),1),INDEX(行銷計劃[],,1),0),MATCH(行銷差異[[#Headers],[3 月]],行銷實際數字[#Headers],0))</f>
        <v>0</v>
      </c>
      <c r="F22" s="25">
        <f>INDEX(行銷計劃[],MATCH(INDEX(行銷差異[],ROW()-ROW(行銷差異[[#Headers],[4 月]]),1),INDEX(行銷計劃[],,1),0),MATCH(行銷差異[[#Headers],[4 月]],行銷計劃[#Headers],0))-INDEX(行銷實際數字[],MATCH(INDEX(行銷差異[],ROW()-ROW(行銷差異[[#Headers],[4 月]]),1),INDEX(行銷計劃[],,1),0),MATCH(行銷差異[[#Headers],[4 月]],行銷實際數字[#Headers],0))</f>
        <v>0</v>
      </c>
      <c r="G22" s="25">
        <f>INDEX(行銷計劃[],MATCH(INDEX(行銷差異[],ROW()-ROW(行銷差異[[#Headers],[5 月]]),1),INDEX(行銷計劃[],,1),0),MATCH(行銷差異[[#Headers],[5 月]],行銷計劃[#Headers],0))-INDEX(行銷實際數字[],MATCH(INDEX(行銷差異[],ROW()-ROW(行銷差異[[#Headers],[5 月]]),1),INDEX(行銷計劃[],,1),0),MATCH(行銷差異[[#Headers],[5 月]],行銷實際數字[#Headers],0))</f>
        <v>0</v>
      </c>
      <c r="H22" s="25">
        <f>INDEX(行銷計劃[],MATCH(INDEX(行銷差異[],ROW()-ROW(行銷差異[[#Headers],[6 月]]),1),INDEX(行銷計劃[],,1),0),MATCH(行銷差異[[#Headers],[6 月]],行銷計劃[#Headers],0))-INDEX(行銷實際數字[],MATCH(INDEX(行銷差異[],ROW()-ROW(行銷差異[[#Headers],[6 月]]),1),INDEX(行銷計劃[],,1),0),MATCH(行銷差異[[#Headers],[6 月]],行銷實際數字[#Headers],0))</f>
        <v>0</v>
      </c>
      <c r="I22" s="25">
        <f>INDEX(行銷計劃[],MATCH(INDEX(行銷差異[],ROW()-ROW(行銷差異[[#Headers],[7 月]]),1),INDEX(行銷計劃[],,1),0),MATCH(行銷差異[[#Headers],[7 月]],行銷計劃[#Headers],0))-INDEX(行銷實際數字[],MATCH(INDEX(行銷差異[],ROW()-ROW(行銷差異[[#Headers],[7 月]]),1),INDEX(行銷計劃[],,1),0),MATCH(行銷差異[[#Headers],[7 月]],行銷實際數字[#Headers],0))</f>
        <v>500</v>
      </c>
      <c r="J22" s="25">
        <f>INDEX(行銷計劃[],MATCH(INDEX(行銷差異[],ROW()-ROW(行銷差異[[#Headers],[8 月]]),1),INDEX(行銷計劃[],,1),0),MATCH(行銷差異[[#Headers],[8 月]],行銷計劃[#Headers],0))-INDEX(行銷實際數字[],MATCH(INDEX(行銷差異[],ROW()-ROW(行銷差異[[#Headers],[8 月]]),1),INDEX(行銷計劃[],,1),0),MATCH(行銷差異[[#Headers],[8 月]],行銷實際數字[#Headers],0))</f>
        <v>500</v>
      </c>
      <c r="K22" s="25">
        <f>INDEX(行銷計劃[],MATCH(INDEX(行銷差異[],ROW()-ROW(行銷差異[[#Headers],[9 月]]),1),INDEX(行銷計劃[],,1),0),MATCH(行銷差異[[#Headers],[9 月]],行銷計劃[#Headers],0))-INDEX(行銷實際數字[],MATCH(INDEX(行銷差異[],ROW()-ROW(行銷差異[[#Headers],[9 月]]),1),INDEX(行銷計劃[],,1),0),MATCH(行銷差異[[#Headers],[9 月]],行銷實際數字[#Headers],0))</f>
        <v>500</v>
      </c>
      <c r="L22" s="25">
        <f>INDEX(行銷計劃[],MATCH(INDEX(行銷差異[],ROW()-ROW(行銷差異[[#Headers],[10 月]]),1),INDEX(行銷計劃[],,1),0),MATCH(行銷差異[[#Headers],[10 月]],行銷計劃[#Headers],0))-INDEX(行銷實際數字[],MATCH(INDEX(行銷差異[],ROW()-ROW(行銷差異[[#Headers],[10 月]]),1),INDEX(行銷計劃[],,1),0),MATCH(行銷差異[[#Headers],[10 月]],行銷實際數字[#Headers],0))</f>
        <v>500</v>
      </c>
      <c r="M22" s="25">
        <f>INDEX(行銷計劃[],MATCH(INDEX(行銷差異[],ROW()-ROW(行銷差異[[#Headers],[11 月]]),1),INDEX(行銷計劃[],,1),0),MATCH(行銷差異[[#Headers],[11 月]],行銷計劃[#Headers],0))-INDEX(行銷實際數字[],MATCH(INDEX(行銷差異[],ROW()-ROW(行銷差異[[#Headers],[11 月]]),1),INDEX(行銷計劃[],,1),0),MATCH(行銷差異[[#Headers],[11 月]],行銷實際數字[#Headers],0))</f>
        <v>500</v>
      </c>
      <c r="N22" s="25">
        <f>INDEX(行銷計劃[],MATCH(INDEX(行銷差異[],ROW()-ROW(行銷差異[[#Headers],[12 月]]),1),INDEX(行銷計劃[],,1),0),MATCH(行銷差異[[#Headers],[12 月]],行銷計劃[#Headers],0))-INDEX(行銷實際數字[],MATCH(INDEX(行銷差異[],ROW()-ROW(行銷差異[[#Headers],[12 月]]),1),INDEX(行銷計劃[],,1),0),MATCH(行銷差異[[#Headers],[12 月]],行銷實際數字[#Headers],0))</f>
        <v>500</v>
      </c>
      <c r="O22" s="26">
        <f>SUM(行銷差異[[#This Row],[1 月]:[12 月]])</f>
        <v>3000</v>
      </c>
    </row>
    <row r="23" spans="1:15" ht="24.95" customHeight="1" thickBot="1" x14ac:dyDescent="0.35">
      <c r="A23" s="13"/>
      <c r="B23" s="37" t="s">
        <v>25</v>
      </c>
      <c r="C23" s="25">
        <f>INDEX(行銷計劃[],MATCH(INDEX(行銷差異[],ROW()-ROW(行銷差異[[#Headers],[1 月]]),1),INDEX(行銷計劃[],,1),0),MATCH(行銷差異[[#Headers],[1 月]],行銷計劃[#Headers],0))-INDEX(行銷實際數字[],MATCH(INDEX(行銷差異[],ROW()-ROW(行銷差異[[#Headers],[1 月]]),1),INDEX(行銷計劃[],,1),0),MATCH(行銷差異[[#Headers],[1 月]],行銷實際數字[#Headers],0))</f>
        <v>0</v>
      </c>
      <c r="D23" s="25">
        <f>INDEX(行銷計劃[],MATCH(INDEX(行銷差異[],ROW()-ROW(行銷差異[[#Headers],[2 月]]),1),INDEX(行銷計劃[],,1),0),MATCH(行銷差異[[#Headers],[2 月]],行銷計劃[#Headers],0))-INDEX(行銷實際數字[],MATCH(INDEX(行銷差異[],ROW()-ROW(行銷差異[[#Headers],[2 月]]),1),INDEX(行銷計劃[],,1),0),MATCH(行銷差異[[#Headers],[2 月]],行銷實際數字[#Headers],0))</f>
        <v>0</v>
      </c>
      <c r="E23" s="25">
        <f>INDEX(行銷計劃[],MATCH(INDEX(行銷差異[],ROW()-ROW(行銷差異[[#Headers],[3 月]]),1),INDEX(行銷計劃[],,1),0),MATCH(行銷差異[[#Headers],[3 月]],行銷計劃[#Headers],0))-INDEX(行銷實際數字[],MATCH(INDEX(行銷差異[],ROW()-ROW(行銷差異[[#Headers],[3 月]]),1),INDEX(行銷計劃[],,1),0),MATCH(行銷差異[[#Headers],[3 月]],行銷實際數字[#Headers],0))</f>
        <v>0</v>
      </c>
      <c r="F23" s="25">
        <f>INDEX(行銷計劃[],MATCH(INDEX(行銷差異[],ROW()-ROW(行銷差異[[#Headers],[4 月]]),1),INDEX(行銷計劃[],,1),0),MATCH(行銷差異[[#Headers],[4 月]],行銷計劃[#Headers],0))-INDEX(行銷實際數字[],MATCH(INDEX(行銷差異[],ROW()-ROW(行銷差異[[#Headers],[4 月]]),1),INDEX(行銷計劃[],,1),0),MATCH(行銷差異[[#Headers],[4 月]],行銷實際數字[#Headers],0))</f>
        <v>0</v>
      </c>
      <c r="G23" s="25">
        <f>INDEX(行銷計劃[],MATCH(INDEX(行銷差異[],ROW()-ROW(行銷差異[[#Headers],[5 月]]),1),INDEX(行銷計劃[],,1),0),MATCH(行銷差異[[#Headers],[5 月]],行銷計劃[#Headers],0))-INDEX(行銷實際數字[],MATCH(INDEX(行銷差異[],ROW()-ROW(行銷差異[[#Headers],[5 月]]),1),INDEX(行銷計劃[],,1),0),MATCH(行銷差異[[#Headers],[5 月]],行銷實際數字[#Headers],0))</f>
        <v>0</v>
      </c>
      <c r="H23" s="25">
        <f>INDEX(行銷計劃[],MATCH(INDEX(行銷差異[],ROW()-ROW(行銷差異[[#Headers],[6 月]]),1),INDEX(行銷計劃[],,1),0),MATCH(行銷差異[[#Headers],[6 月]],行銷計劃[#Headers],0))-INDEX(行銷實際數字[],MATCH(INDEX(行銷差異[],ROW()-ROW(行銷差異[[#Headers],[6 月]]),1),INDEX(行銷計劃[],,1),0),MATCH(行銷差異[[#Headers],[6 月]],行銷實際數字[#Headers],0))</f>
        <v>-500</v>
      </c>
      <c r="I23" s="25">
        <f>INDEX(行銷計劃[],MATCH(INDEX(行銷差異[],ROW()-ROW(行銷差異[[#Headers],[7 月]]),1),INDEX(行銷計劃[],,1),0),MATCH(行銷差異[[#Headers],[7 月]],行銷計劃[#Headers],0))-INDEX(行銷實際數字[],MATCH(INDEX(行銷差異[],ROW()-ROW(行銷差異[[#Headers],[7 月]]),1),INDEX(行銷計劃[],,1),0),MATCH(行銷差異[[#Headers],[7 月]],行銷實際數字[#Headers],0))</f>
        <v>200</v>
      </c>
      <c r="J23" s="25">
        <f>INDEX(行銷計劃[],MATCH(INDEX(行銷差異[],ROW()-ROW(行銷差異[[#Headers],[8 月]]),1),INDEX(行銷計劃[],,1),0),MATCH(行銷差異[[#Headers],[8 月]],行銷計劃[#Headers],0))-INDEX(行銷實際數字[],MATCH(INDEX(行銷差異[],ROW()-ROW(行銷差異[[#Headers],[8 月]]),1),INDEX(行銷計劃[],,1),0),MATCH(行銷差異[[#Headers],[8 月]],行銷實際數字[#Headers],0))</f>
        <v>200</v>
      </c>
      <c r="K23" s="25">
        <f>INDEX(行銷計劃[],MATCH(INDEX(行銷差異[],ROW()-ROW(行銷差異[[#Headers],[9 月]]),1),INDEX(行銷計劃[],,1),0),MATCH(行銷差異[[#Headers],[9 月]],行銷計劃[#Headers],0))-INDEX(行銷實際數字[],MATCH(INDEX(行銷差異[],ROW()-ROW(行銷差異[[#Headers],[9 月]]),1),INDEX(行銷計劃[],,1),0),MATCH(行銷差異[[#Headers],[9 月]],行銷實際數字[#Headers],0))</f>
        <v>200</v>
      </c>
      <c r="L23" s="25">
        <f>INDEX(行銷計劃[],MATCH(INDEX(行銷差異[],ROW()-ROW(行銷差異[[#Headers],[10 月]]),1),INDEX(行銷計劃[],,1),0),MATCH(行銷差異[[#Headers],[10 月]],行銷計劃[#Headers],0))-INDEX(行銷實際數字[],MATCH(INDEX(行銷差異[],ROW()-ROW(行銷差異[[#Headers],[10 月]]),1),INDEX(行銷計劃[],,1),0),MATCH(行銷差異[[#Headers],[10 月]],行銷實際數字[#Headers],0))</f>
        <v>200</v>
      </c>
      <c r="M23" s="25">
        <f>INDEX(行銷計劃[],MATCH(INDEX(行銷差異[],ROW()-ROW(行銷差異[[#Headers],[11 月]]),1),INDEX(行銷計劃[],,1),0),MATCH(行銷差異[[#Headers],[11 月]],行銷計劃[#Headers],0))-INDEX(行銷實際數字[],MATCH(INDEX(行銷差異[],ROW()-ROW(行銷差異[[#Headers],[11 月]]),1),INDEX(行銷計劃[],,1),0),MATCH(行銷差異[[#Headers],[11 月]],行銷實際數字[#Headers],0))</f>
        <v>200</v>
      </c>
      <c r="N23" s="25">
        <f>INDEX(行銷計劃[],MATCH(INDEX(行銷差異[],ROW()-ROW(行銷差異[[#Headers],[12 月]]),1),INDEX(行銷計劃[],,1),0),MATCH(行銷差異[[#Headers],[12 月]],行銷計劃[#Headers],0))-INDEX(行銷實際數字[],MATCH(INDEX(行銷差異[],ROW()-ROW(行銷差異[[#Headers],[12 月]]),1),INDEX(行銷計劃[],,1),0),MATCH(行銷差異[[#Headers],[12 月]],行銷實際數字[#Headers],0))</f>
        <v>1000</v>
      </c>
      <c r="O23" s="26">
        <f>SUM(行銷差異[[#This Row],[1 月]:[12 月]])</f>
        <v>1500</v>
      </c>
    </row>
    <row r="24" spans="1:15" ht="24.95" customHeight="1" thickBot="1" x14ac:dyDescent="0.35">
      <c r="A24" s="13"/>
      <c r="B24" s="37" t="s">
        <v>26</v>
      </c>
      <c r="C24" s="25">
        <f>INDEX(行銷計劃[],MATCH(INDEX(行銷差異[],ROW()-ROW(行銷差異[[#Headers],[1 月]]),1),INDEX(行銷計劃[],,1),0),MATCH(行銷差異[[#Headers],[1 月]],行銷計劃[#Headers],0))-INDEX(行銷實際數字[],MATCH(INDEX(行銷差異[],ROW()-ROW(行銷差異[[#Headers],[1 月]]),1),INDEX(行銷計劃[],,1),0),MATCH(行銷差異[[#Headers],[1 月]],行銷實際數字[#Headers],0))</f>
        <v>200</v>
      </c>
      <c r="D24" s="25">
        <f>INDEX(行銷計劃[],MATCH(INDEX(行銷差異[],ROW()-ROW(行銷差異[[#Headers],[2 月]]),1),INDEX(行銷計劃[],,1),0),MATCH(行銷差異[[#Headers],[2 月]],行銷計劃[#Headers],0))-INDEX(行銷實際數字[],MATCH(INDEX(行銷差異[],ROW()-ROW(行銷差異[[#Headers],[2 月]]),1),INDEX(行銷計劃[],,1),0),MATCH(行銷差異[[#Headers],[2 月]],行銷實際數字[#Headers],0))</f>
        <v>0</v>
      </c>
      <c r="E24" s="25">
        <f>INDEX(行銷計劃[],MATCH(INDEX(行銷差異[],ROW()-ROW(行銷差異[[#Headers],[3 月]]),1),INDEX(行銷計劃[],,1),0),MATCH(行銷差異[[#Headers],[3 月]],行銷計劃[#Headers],0))-INDEX(行銷實際數字[],MATCH(INDEX(行銷差異[],ROW()-ROW(行銷差異[[#Headers],[3 月]]),1),INDEX(行銷計劃[],,1),0),MATCH(行銷差異[[#Headers],[3 月]],行銷實際數字[#Headers],0))</f>
        <v>0</v>
      </c>
      <c r="F24" s="25">
        <f>INDEX(行銷計劃[],MATCH(INDEX(行銷差異[],ROW()-ROW(行銷差異[[#Headers],[4 月]]),1),INDEX(行銷計劃[],,1),0),MATCH(行銷差異[[#Headers],[4 月]],行銷計劃[#Headers],0))-INDEX(行銷實際數字[],MATCH(INDEX(行銷差異[],ROW()-ROW(行銷差異[[#Headers],[4 月]]),1),INDEX(行銷計劃[],,1),0),MATCH(行銷差異[[#Headers],[4 月]],行銷實際數字[#Headers],0))</f>
        <v>-500</v>
      </c>
      <c r="G24" s="25">
        <f>INDEX(行銷計劃[],MATCH(INDEX(行銷差異[],ROW()-ROW(行銷差異[[#Headers],[5 月]]),1),INDEX(行銷計劃[],,1),0),MATCH(行銷差異[[#Headers],[5 月]],行銷計劃[#Headers],0))-INDEX(行銷實際數字[],MATCH(INDEX(行銷差異[],ROW()-ROW(行銷差異[[#Headers],[5 月]]),1),INDEX(行銷計劃[],,1),0),MATCH(行銷差異[[#Headers],[5 月]],行銷實際數字[#Headers],0))</f>
        <v>0</v>
      </c>
      <c r="H24" s="25">
        <f>INDEX(行銷計劃[],MATCH(INDEX(行銷差異[],ROW()-ROW(行銷差異[[#Headers],[6 月]]),1),INDEX(行銷計劃[],,1),0),MATCH(行銷差異[[#Headers],[6 月]],行銷計劃[#Headers],0))-INDEX(行銷實際數字[],MATCH(INDEX(行銷差異[],ROW()-ROW(行銷差異[[#Headers],[6 月]]),1),INDEX(行銷計劃[],,1),0),MATCH(行銷差異[[#Headers],[6 月]],行銷實際數字[#Headers],0))</f>
        <v>0</v>
      </c>
      <c r="I24" s="25">
        <f>INDEX(行銷計劃[],MATCH(INDEX(行銷差異[],ROW()-ROW(行銷差異[[#Headers],[7 月]]),1),INDEX(行銷計劃[],,1),0),MATCH(行銷差異[[#Headers],[7 月]],行銷計劃[#Headers],0))-INDEX(行銷實際數字[],MATCH(INDEX(行銷差異[],ROW()-ROW(行銷差異[[#Headers],[7 月]]),1),INDEX(行銷計劃[],,1),0),MATCH(行銷差異[[#Headers],[7 月]],行銷實際數字[#Headers],0))</f>
        <v>5000</v>
      </c>
      <c r="J24" s="25">
        <f>INDEX(行銷計劃[],MATCH(INDEX(行銷差異[],ROW()-ROW(行銷差異[[#Headers],[8 月]]),1),INDEX(行銷計劃[],,1),0),MATCH(行銷差異[[#Headers],[8 月]],行銷計劃[#Headers],0))-INDEX(行銷實際數字[],MATCH(INDEX(行銷差異[],ROW()-ROW(行銷差異[[#Headers],[8 月]]),1),INDEX(行銷計劃[],,1),0),MATCH(行銷差異[[#Headers],[8 月]],行銷實際數字[#Headers],0))</f>
        <v>0</v>
      </c>
      <c r="K24" s="25">
        <f>INDEX(行銷計劃[],MATCH(INDEX(行銷差異[],ROW()-ROW(行銷差異[[#Headers],[9 月]]),1),INDEX(行銷計劃[],,1),0),MATCH(行銷差異[[#Headers],[9 月]],行銷計劃[#Headers],0))-INDEX(行銷實際數字[],MATCH(INDEX(行銷差異[],ROW()-ROW(行銷差異[[#Headers],[9 月]]),1),INDEX(行銷計劃[],,1),0),MATCH(行銷差異[[#Headers],[9 月]],行銷實際數字[#Headers],0))</f>
        <v>0</v>
      </c>
      <c r="L24" s="25">
        <f>INDEX(行銷計劃[],MATCH(INDEX(行銷差異[],ROW()-ROW(行銷差異[[#Headers],[10 月]]),1),INDEX(行銷計劃[],,1),0),MATCH(行銷差異[[#Headers],[10 月]],行銷計劃[#Headers],0))-INDEX(行銷實際數字[],MATCH(INDEX(行銷差異[],ROW()-ROW(行銷差異[[#Headers],[10 月]]),1),INDEX(行銷計劃[],,1),0),MATCH(行銷差異[[#Headers],[10 月]],行銷實際數字[#Headers],0))</f>
        <v>5000</v>
      </c>
      <c r="M24" s="25">
        <f>INDEX(行銷計劃[],MATCH(INDEX(行銷差異[],ROW()-ROW(行銷差異[[#Headers],[11 月]]),1),INDEX(行銷計劃[],,1),0),MATCH(行銷差異[[#Headers],[11 月]],行銷計劃[#Headers],0))-INDEX(行銷實際數字[],MATCH(INDEX(行銷差異[],ROW()-ROW(行銷差異[[#Headers],[11 月]]),1),INDEX(行銷計劃[],,1),0),MATCH(行銷差異[[#Headers],[11 月]],行銷實際數字[#Headers],0))</f>
        <v>0</v>
      </c>
      <c r="N24" s="25">
        <f>INDEX(行銷計劃[],MATCH(INDEX(行銷差異[],ROW()-ROW(行銷差異[[#Headers],[12 月]]),1),INDEX(行銷計劃[],,1),0),MATCH(行銷差異[[#Headers],[12 月]],行銷計劃[#Headers],0))-INDEX(行銷實際數字[],MATCH(INDEX(行銷差異[],ROW()-ROW(行銷差異[[#Headers],[12 月]]),1),INDEX(行銷計劃[],,1),0),MATCH(行銷差異[[#Headers],[12 月]],行銷實際數字[#Headers],0))</f>
        <v>0</v>
      </c>
      <c r="O24" s="26">
        <f>SUM(行銷差異[[#This Row],[1 月]:[12 月]])</f>
        <v>9700</v>
      </c>
    </row>
    <row r="25" spans="1:15" ht="24.95" customHeight="1" thickBot="1" x14ac:dyDescent="0.35">
      <c r="A25" s="13"/>
      <c r="B25" s="37" t="s">
        <v>27</v>
      </c>
      <c r="C25" s="25">
        <f>INDEX(行銷計劃[],MATCH(INDEX(行銷差異[],ROW()-ROW(行銷差異[[#Headers],[1 月]]),1),INDEX(行銷計劃[],,1),0),MATCH(行銷差異[[#Headers],[1 月]],行銷計劃[#Headers],0))-INDEX(行銷實際數字[],MATCH(INDEX(行銷差異[],ROW()-ROW(行銷差異[[#Headers],[1 月]]),1),INDEX(行銷計劃[],,1),0),MATCH(行銷差異[[#Headers],[1 月]],行銷實際數字[#Headers],0))</f>
        <v>100</v>
      </c>
      <c r="D25" s="25">
        <f>INDEX(行銷計劃[],MATCH(INDEX(行銷差異[],ROW()-ROW(行銷差異[[#Headers],[2 月]]),1),INDEX(行銷計劃[],,1),0),MATCH(行銷差異[[#Headers],[2 月]],行銷計劃[#Headers],0))-INDEX(行銷實際數字[],MATCH(INDEX(行銷差異[],ROW()-ROW(行銷差異[[#Headers],[2 月]]),1),INDEX(行銷計劃[],,1),0),MATCH(行銷差異[[#Headers],[2 月]],行銷實際數字[#Headers],0))</f>
        <v>-300</v>
      </c>
      <c r="E25" s="25">
        <f>INDEX(行銷計劃[],MATCH(INDEX(行銷差異[],ROW()-ROW(行銷差異[[#Headers],[3 月]]),1),INDEX(行銷計劃[],,1),0),MATCH(行銷差異[[#Headers],[3 月]],行銷計劃[#Headers],0))-INDEX(行銷實際數字[],MATCH(INDEX(行銷差異[],ROW()-ROW(行銷差異[[#Headers],[3 月]]),1),INDEX(行銷計劃[],,1),0),MATCH(行銷差異[[#Headers],[3 月]],行銷實際數字[#Headers],0))</f>
        <v>100</v>
      </c>
      <c r="F25" s="25">
        <f>INDEX(行銷計劃[],MATCH(INDEX(行銷差異[],ROW()-ROW(行銷差異[[#Headers],[4 月]]),1),INDEX(行銷計劃[],,1),0),MATCH(行銷差異[[#Headers],[4 月]],行銷計劃[#Headers],0))-INDEX(行銷實際數字[],MATCH(INDEX(行銷差異[],ROW()-ROW(行銷差異[[#Headers],[4 月]]),1),INDEX(行銷計劃[],,1),0),MATCH(行銷差異[[#Headers],[4 月]],行銷實際數字[#Headers],0))</f>
        <v>100</v>
      </c>
      <c r="G25" s="25">
        <f>INDEX(行銷計劃[],MATCH(INDEX(行銷差異[],ROW()-ROW(行銷差異[[#Headers],[5 月]]),1),INDEX(行銷計劃[],,1),0),MATCH(行銷差異[[#Headers],[5 月]],行銷計劃[#Headers],0))-INDEX(行銷實際數字[],MATCH(INDEX(行銷差異[],ROW()-ROW(行銷差異[[#Headers],[5 月]]),1),INDEX(行銷計劃[],,1),0),MATCH(行銷差異[[#Headers],[5 月]],行銷實際數字[#Headers],0))</f>
        <v>-400</v>
      </c>
      <c r="H25" s="25">
        <f>INDEX(行銷計劃[],MATCH(INDEX(行銷差異[],ROW()-ROW(行銷差異[[#Headers],[6 月]]),1),INDEX(行銷計劃[],,1),0),MATCH(行銷差異[[#Headers],[6 月]],行銷計劃[#Headers],0))-INDEX(行銷實際數字[],MATCH(INDEX(行銷差異[],ROW()-ROW(行銷差異[[#Headers],[6 月]]),1),INDEX(行銷計劃[],,1),0),MATCH(行銷差異[[#Headers],[6 月]],行銷實際數字[#Headers],0))</f>
        <v>20</v>
      </c>
      <c r="I25" s="25">
        <f>INDEX(行銷計劃[],MATCH(INDEX(行銷差異[],ROW()-ROW(行銷差異[[#Headers],[7 月]]),1),INDEX(行銷計劃[],,1),0),MATCH(行銷差異[[#Headers],[7 月]],行銷計劃[#Headers],0))-INDEX(行銷實際數字[],MATCH(INDEX(行銷差異[],ROW()-ROW(行銷差異[[#Headers],[7 月]]),1),INDEX(行銷計劃[],,1),0),MATCH(行銷差異[[#Headers],[7 月]],行銷實際數字[#Headers],0))</f>
        <v>200</v>
      </c>
      <c r="J25" s="25">
        <f>INDEX(行銷計劃[],MATCH(INDEX(行銷差異[],ROW()-ROW(行銷差異[[#Headers],[8 月]]),1),INDEX(行銷計劃[],,1),0),MATCH(行銷差異[[#Headers],[8 月]],行銷計劃[#Headers],0))-INDEX(行銷實際數字[],MATCH(INDEX(行銷差異[],ROW()-ROW(行銷差異[[#Headers],[8 月]]),1),INDEX(行銷計劃[],,1),0),MATCH(行銷差異[[#Headers],[8 月]],行銷實際數字[#Headers],0))</f>
        <v>200</v>
      </c>
      <c r="K25" s="25">
        <f>INDEX(行銷計劃[],MATCH(INDEX(行銷差異[],ROW()-ROW(行銷差異[[#Headers],[9 月]]),1),INDEX(行銷計劃[],,1),0),MATCH(行銷差異[[#Headers],[9 月]],行銷計劃[#Headers],0))-INDEX(行銷實際數字[],MATCH(INDEX(行銷差異[],ROW()-ROW(行銷差異[[#Headers],[9 月]]),1),INDEX(行銷計劃[],,1),0),MATCH(行銷差異[[#Headers],[9 月]],行銷實際數字[#Headers],0))</f>
        <v>200</v>
      </c>
      <c r="L25" s="25">
        <f>INDEX(行銷計劃[],MATCH(INDEX(行銷差異[],ROW()-ROW(行銷差異[[#Headers],[10 月]]),1),INDEX(行銷計劃[],,1),0),MATCH(行銷差異[[#Headers],[10 月]],行銷計劃[#Headers],0))-INDEX(行銷實際數字[],MATCH(INDEX(行銷差異[],ROW()-ROW(行銷差異[[#Headers],[10 月]]),1),INDEX(行銷計劃[],,1),0),MATCH(行銷差異[[#Headers],[10 月]],行銷實際數字[#Headers],0))</f>
        <v>200</v>
      </c>
      <c r="M25" s="25">
        <f>INDEX(行銷計劃[],MATCH(INDEX(行銷差異[],ROW()-ROW(行銷差異[[#Headers],[11 月]]),1),INDEX(行銷計劃[],,1),0),MATCH(行銷差異[[#Headers],[11 月]],行銷計劃[#Headers],0))-INDEX(行銷實際數字[],MATCH(INDEX(行銷差異[],ROW()-ROW(行銷差異[[#Headers],[11 月]]),1),INDEX(行銷計劃[],,1),0),MATCH(行銷差異[[#Headers],[11 月]],行銷實際數字[#Headers],0))</f>
        <v>200</v>
      </c>
      <c r="N25" s="25">
        <f>INDEX(行銷計劃[],MATCH(INDEX(行銷差異[],ROW()-ROW(行銷差異[[#Headers],[12 月]]),1),INDEX(行銷計劃[],,1),0),MATCH(行銷差異[[#Headers],[12 月]],行銷計劃[#Headers],0))-INDEX(行銷實際數字[],MATCH(INDEX(行銷差異[],ROW()-ROW(行銷差異[[#Headers],[12 月]]),1),INDEX(行銷計劃[],,1),0),MATCH(行銷差異[[#Headers],[12 月]],行銷實際數字[#Headers],0))</f>
        <v>200</v>
      </c>
      <c r="O25" s="26">
        <f>SUM(行銷差異[[#This Row],[1 月]:[12 月]])</f>
        <v>820</v>
      </c>
    </row>
    <row r="26" spans="1:15" ht="24.95" customHeight="1" thickBot="1" x14ac:dyDescent="0.35">
      <c r="A26" s="13"/>
      <c r="B26" s="37" t="s">
        <v>28</v>
      </c>
      <c r="C26" s="25">
        <f>INDEX(行銷計劃[],MATCH(INDEX(行銷差異[],ROW()-ROW(行銷差異[[#Headers],[1 月]]),1),INDEX(行銷計劃[],,1),0),MATCH(行銷差異[[#Headers],[1 月]],行銷計劃[#Headers],0))-INDEX(行銷實際數字[],MATCH(INDEX(行銷差異[],ROW()-ROW(行銷差異[[#Headers],[1 月]]),1),INDEX(行銷計劃[],,1),0),MATCH(行銷差異[[#Headers],[1 月]],行銷實際數字[#Headers],0))</f>
        <v>200</v>
      </c>
      <c r="D26" s="25">
        <f>INDEX(行銷計劃[],MATCH(INDEX(行銷差異[],ROW()-ROW(行銷差異[[#Headers],[2 月]]),1),INDEX(行銷計劃[],,1),0),MATCH(行銷差異[[#Headers],[2 月]],行銷計劃[#Headers],0))-INDEX(行銷實際數字[],MATCH(INDEX(行銷差異[],ROW()-ROW(行銷差異[[#Headers],[2 月]]),1),INDEX(行銷計劃[],,1),0),MATCH(行銷差異[[#Headers],[2 月]],行銷實際數字[#Headers],0))</f>
        <v>-200</v>
      </c>
      <c r="E26" s="25">
        <f>INDEX(行銷計劃[],MATCH(INDEX(行銷差異[],ROW()-ROW(行銷差異[[#Headers],[3 月]]),1),INDEX(行銷計劃[],,1),0),MATCH(行銷差異[[#Headers],[3 月]],行銷計劃[#Headers],0))-INDEX(行銷實際數字[],MATCH(INDEX(行銷差異[],ROW()-ROW(行銷差異[[#Headers],[3 月]]),1),INDEX(行銷計劃[],,1),0),MATCH(行銷差異[[#Headers],[3 月]],行銷實際數字[#Headers],0))</f>
        <v>-200</v>
      </c>
      <c r="F26" s="25">
        <f>INDEX(行銷計劃[],MATCH(INDEX(行銷差異[],ROW()-ROW(行銷差異[[#Headers],[4 月]]),1),INDEX(行銷計劃[],,1),0),MATCH(行銷差異[[#Headers],[4 月]],行銷計劃[#Headers],0))-INDEX(行銷實際數字[],MATCH(INDEX(行銷差異[],ROW()-ROW(行銷差異[[#Headers],[4 月]]),1),INDEX(行銷計劃[],,1),0),MATCH(行銷差異[[#Headers],[4 月]],行銷實際數字[#Headers],0))</f>
        <v>300</v>
      </c>
      <c r="G26" s="25">
        <f>INDEX(行銷計劃[],MATCH(INDEX(行銷差異[],ROW()-ROW(行銷差異[[#Headers],[5 月]]),1),INDEX(行銷計劃[],,1),0),MATCH(行銷差異[[#Headers],[5 月]],行銷計劃[#Headers],0))-INDEX(行銷實際數字[],MATCH(INDEX(行銷差異[],ROW()-ROW(行銷差異[[#Headers],[5 月]]),1),INDEX(行銷計劃[],,1),0),MATCH(行銷差異[[#Headers],[5 月]],行銷實際數字[#Headers],0))</f>
        <v>500</v>
      </c>
      <c r="H26" s="25">
        <f>INDEX(行銷計劃[],MATCH(INDEX(行銷差異[],ROW()-ROW(行銷差異[[#Headers],[6 月]]),1),INDEX(行銷計劃[],,1),0),MATCH(行銷差異[[#Headers],[6 月]],行銷計劃[#Headers],0))-INDEX(行銷實際數字[],MATCH(INDEX(行銷差異[],ROW()-ROW(行銷差異[[#Headers],[6 月]]),1),INDEX(行銷計劃[],,1),0),MATCH(行銷差異[[#Headers],[6 月]],行銷實際數字[#Headers],0))</f>
        <v>-300</v>
      </c>
      <c r="I26" s="25">
        <f>INDEX(行銷計劃[],MATCH(INDEX(行銷差異[],ROW()-ROW(行銷差異[[#Headers],[7 月]]),1),INDEX(行銷計劃[],,1),0),MATCH(行銷差異[[#Headers],[7 月]],行銷計劃[#Headers],0))-INDEX(行銷實際數字[],MATCH(INDEX(行銷差異[],ROW()-ROW(行銷差異[[#Headers],[7 月]]),1),INDEX(行銷計劃[],,1),0),MATCH(行銷差異[[#Headers],[7 月]],行銷實際數字[#Headers],0))</f>
        <v>2000</v>
      </c>
      <c r="J26" s="25">
        <f>INDEX(行銷計劃[],MATCH(INDEX(行銷差異[],ROW()-ROW(行銷差異[[#Headers],[8 月]]),1),INDEX(行銷計劃[],,1),0),MATCH(行銷差異[[#Headers],[8 月]],行銷計劃[#Headers],0))-INDEX(行銷實際數字[],MATCH(INDEX(行銷差異[],ROW()-ROW(行銷差異[[#Headers],[8 月]]),1),INDEX(行銷計劃[],,1),0),MATCH(行銷差異[[#Headers],[8 月]],行銷實際數字[#Headers],0))</f>
        <v>5000</v>
      </c>
      <c r="K26" s="25">
        <f>INDEX(行銷計劃[],MATCH(INDEX(行銷差異[],ROW()-ROW(行銷差異[[#Headers],[9 月]]),1),INDEX(行銷計劃[],,1),0),MATCH(行銷差異[[#Headers],[9 月]],行銷計劃[#Headers],0))-INDEX(行銷實際數字[],MATCH(INDEX(行銷差異[],ROW()-ROW(行銷差異[[#Headers],[9 月]]),1),INDEX(行銷計劃[],,1),0),MATCH(行銷差異[[#Headers],[9 月]],行銷實際數字[#Headers],0))</f>
        <v>2000</v>
      </c>
      <c r="L26" s="25">
        <f>INDEX(行銷計劃[],MATCH(INDEX(行銷差異[],ROW()-ROW(行銷差異[[#Headers],[10 月]]),1),INDEX(行銷計劃[],,1),0),MATCH(行銷差異[[#Headers],[10 月]],行銷計劃[#Headers],0))-INDEX(行銷實際數字[],MATCH(INDEX(行銷差異[],ROW()-ROW(行銷差異[[#Headers],[10 月]]),1),INDEX(行銷計劃[],,1),0),MATCH(行銷差異[[#Headers],[10 月]],行銷實際數字[#Headers],0))</f>
        <v>2000</v>
      </c>
      <c r="M26" s="25">
        <f>INDEX(行銷計劃[],MATCH(INDEX(行銷差異[],ROW()-ROW(行銷差異[[#Headers],[11 月]]),1),INDEX(行銷計劃[],,1),0),MATCH(行銷差異[[#Headers],[11 月]],行銷計劃[#Headers],0))-INDEX(行銷實際數字[],MATCH(INDEX(行銷差異[],ROW()-ROW(行銷差異[[#Headers],[11 月]]),1),INDEX(行銷計劃[],,1),0),MATCH(行銷差異[[#Headers],[11 月]],行銷實際數字[#Headers],0))</f>
        <v>2000</v>
      </c>
      <c r="N26" s="25">
        <f>INDEX(行銷計劃[],MATCH(INDEX(行銷差異[],ROW()-ROW(行銷差異[[#Headers],[12 月]]),1),INDEX(行銷計劃[],,1),0),MATCH(行銷差異[[#Headers],[12 月]],行銷計劃[#Headers],0))-INDEX(行銷實際數字[],MATCH(INDEX(行銷差異[],ROW()-ROW(行銷差異[[#Headers],[12 月]]),1),INDEX(行銷計劃[],,1),0),MATCH(行銷差異[[#Headers],[12 月]],行銷實際數字[#Headers],0))</f>
        <v>5000</v>
      </c>
      <c r="O26" s="26">
        <f>SUM(行銷差異[[#This Row],[1 月]:[12 月]])</f>
        <v>18300</v>
      </c>
    </row>
    <row r="27" spans="1:15" ht="24.95" customHeight="1" thickBot="1" x14ac:dyDescent="0.35">
      <c r="A27" s="13"/>
      <c r="B27" s="37" t="s">
        <v>29</v>
      </c>
      <c r="C27" s="25">
        <f>INDEX(行銷計劃[],MATCH(INDEX(行銷差異[],ROW()-ROW(行銷差異[[#Headers],[1 月]]),1),INDEX(行銷計劃[],,1),0),MATCH(行銷差異[[#Headers],[1 月]],行銷計劃[#Headers],0))-INDEX(行銷實際數字[],MATCH(INDEX(行銷差異[],ROW()-ROW(行銷差異[[#Headers],[1 月]]),1),INDEX(行銷計劃[],,1),0),MATCH(行銷差異[[#Headers],[1 月]],行銷實際數字[#Headers],0))</f>
        <v>55</v>
      </c>
      <c r="D27" s="25">
        <f>INDEX(行銷計劃[],MATCH(INDEX(行銷差異[],ROW()-ROW(行銷差異[[#Headers],[2 月]]),1),INDEX(行銷計劃[],,1),0),MATCH(行銷差異[[#Headers],[2 月]],行銷計劃[#Headers],0))-INDEX(行銷實際數字[],MATCH(INDEX(行銷差異[],ROW()-ROW(行銷差異[[#Headers],[2 月]]),1),INDEX(行銷計劃[],,1),0),MATCH(行銷差異[[#Headers],[2 月]],行銷實際數字[#Headers],0))</f>
        <v>44</v>
      </c>
      <c r="E27" s="25">
        <f>INDEX(行銷計劃[],MATCH(INDEX(行銷差異[],ROW()-ROW(行銷差異[[#Headers],[3 月]]),1),INDEX(行銷計劃[],,1),0),MATCH(行銷差異[[#Headers],[3 月]],行銷計劃[#Headers],0))-INDEX(行銷實際數字[],MATCH(INDEX(行銷差異[],ROW()-ROW(行銷差異[[#Headers],[3 月]]),1),INDEX(行銷計劃[],,1),0),MATCH(行銷差異[[#Headers],[3 月]],行銷實際數字[#Headers],0))</f>
        <v>77</v>
      </c>
      <c r="F27" s="25">
        <f>INDEX(行銷計劃[],MATCH(INDEX(行銷差異[],ROW()-ROW(行銷差異[[#Headers],[4 月]]),1),INDEX(行銷計劃[],,1),0),MATCH(行銷差異[[#Headers],[4 月]],行銷計劃[#Headers],0))-INDEX(行銷實際數字[],MATCH(INDEX(行銷差異[],ROW()-ROW(行銷差異[[#Headers],[4 月]]),1),INDEX(行銷計劃[],,1),0),MATCH(行銷差異[[#Headers],[4 月]],行銷實際數字[#Headers],0))</f>
        <v>-23</v>
      </c>
      <c r="G27" s="25">
        <f>INDEX(行銷計劃[],MATCH(INDEX(行銷差異[],ROW()-ROW(行銷差異[[#Headers],[5 月]]),1),INDEX(行銷計劃[],,1),0),MATCH(行銷差異[[#Headers],[5 月]],行銷計劃[#Headers],0))-INDEX(行銷實際數字[],MATCH(INDEX(行銷差異[],ROW()-ROW(行銷差異[[#Headers],[5 月]]),1),INDEX(行銷計劃[],,1),0),MATCH(行銷差異[[#Headers],[5 月]],行銷實際數字[#Headers],0))</f>
        <v>13</v>
      </c>
      <c r="H27" s="25">
        <f>INDEX(行銷計劃[],MATCH(INDEX(行銷差異[],ROW()-ROW(行銷差異[[#Headers],[6 月]]),1),INDEX(行銷計劃[],,1),0),MATCH(行銷差異[[#Headers],[6 月]],行銷計劃[#Headers],0))-INDEX(行銷實際數字[],MATCH(INDEX(行銷差異[],ROW()-ROW(行銷差異[[#Headers],[6 月]]),1),INDEX(行銷計劃[],,1),0),MATCH(行銷差異[[#Headers],[6 月]],行銷實際數字[#Headers],0))</f>
        <v>-45</v>
      </c>
      <c r="I27" s="25">
        <f>INDEX(行銷計劃[],MATCH(INDEX(行銷差異[],ROW()-ROW(行銷差異[[#Headers],[7 月]]),1),INDEX(行銷計劃[],,1),0),MATCH(行銷差異[[#Headers],[7 月]],行銷計劃[#Headers],0))-INDEX(行銷實際數字[],MATCH(INDEX(行銷差異[],ROW()-ROW(行銷差異[[#Headers],[7 月]]),1),INDEX(行銷計劃[],,1),0),MATCH(行銷差異[[#Headers],[7 月]],行銷實際數字[#Headers],0))</f>
        <v>200</v>
      </c>
      <c r="J27" s="25">
        <f>INDEX(行銷計劃[],MATCH(INDEX(行銷差異[],ROW()-ROW(行銷差異[[#Headers],[8 月]]),1),INDEX(行銷計劃[],,1),0),MATCH(行銷差異[[#Headers],[8 月]],行銷計劃[#Headers],0))-INDEX(行銷實際數字[],MATCH(INDEX(行銷差異[],ROW()-ROW(行銷差異[[#Headers],[8 月]]),1),INDEX(行銷計劃[],,1),0),MATCH(行銷差異[[#Headers],[8 月]],行銷實際數字[#Headers],0))</f>
        <v>200</v>
      </c>
      <c r="K27" s="25">
        <f>INDEX(行銷計劃[],MATCH(INDEX(行銷差異[],ROW()-ROW(行銷差異[[#Headers],[9 月]]),1),INDEX(行銷計劃[],,1),0),MATCH(行銷差異[[#Headers],[9 月]],行銷計劃[#Headers],0))-INDEX(行銷實際數字[],MATCH(INDEX(行銷差異[],ROW()-ROW(行銷差異[[#Headers],[9 月]]),1),INDEX(行銷計劃[],,1),0),MATCH(行銷差異[[#Headers],[9 月]],行銷實際數字[#Headers],0))</f>
        <v>200</v>
      </c>
      <c r="L27" s="25">
        <f>INDEX(行銷計劃[],MATCH(INDEX(行銷差異[],ROW()-ROW(行銷差異[[#Headers],[10 月]]),1),INDEX(行銷計劃[],,1),0),MATCH(行銷差異[[#Headers],[10 月]],行銷計劃[#Headers],0))-INDEX(行銷實際數字[],MATCH(INDEX(行銷差異[],ROW()-ROW(行銷差異[[#Headers],[10 月]]),1),INDEX(行銷計劃[],,1),0),MATCH(行銷差異[[#Headers],[10 月]],行銷實際數字[#Headers],0))</f>
        <v>200</v>
      </c>
      <c r="M27" s="25">
        <f>INDEX(行銷計劃[],MATCH(INDEX(行銷差異[],ROW()-ROW(行銷差異[[#Headers],[11 月]]),1),INDEX(行銷計劃[],,1),0),MATCH(行銷差異[[#Headers],[11 月]],行銷計劃[#Headers],0))-INDEX(行銷實際數字[],MATCH(INDEX(行銷差異[],ROW()-ROW(行銷差異[[#Headers],[11 月]]),1),INDEX(行銷計劃[],,1),0),MATCH(行銷差異[[#Headers],[11 月]],行銷實際數字[#Headers],0))</f>
        <v>200</v>
      </c>
      <c r="N27" s="25">
        <f>INDEX(行銷計劃[],MATCH(INDEX(行銷差異[],ROW()-ROW(行銷差異[[#Headers],[12 月]]),1),INDEX(行銷計劃[],,1),0),MATCH(行銷差異[[#Headers],[12 月]],行銷計劃[#Headers],0))-INDEX(行銷實際數字[],MATCH(INDEX(行銷差異[],ROW()-ROW(行銷差異[[#Headers],[12 月]]),1),INDEX(行銷計劃[],,1),0),MATCH(行銷差異[[#Headers],[12 月]],行銷實際數字[#Headers],0))</f>
        <v>200</v>
      </c>
      <c r="O27" s="26">
        <f>SUM(行銷差異[[#This Row],[1 月]:[12 月]])</f>
        <v>1321</v>
      </c>
    </row>
    <row r="28" spans="1:15" ht="24.95" customHeight="1" x14ac:dyDescent="0.3">
      <c r="A28" s="13"/>
      <c r="B28" s="43" t="s">
        <v>13</v>
      </c>
      <c r="C28" s="28">
        <f>SUBTOTAL(109,行銷差異[1 月])</f>
        <v>555</v>
      </c>
      <c r="D28" s="28">
        <f>SUBTOTAL(109,行銷差異[2 月])</f>
        <v>-456</v>
      </c>
      <c r="E28" s="28">
        <f>SUBTOTAL(109,行銷差異[3 月])</f>
        <v>-23</v>
      </c>
      <c r="F28" s="28">
        <f>SUBTOTAL(109,行銷差異[4 月])</f>
        <v>-123</v>
      </c>
      <c r="G28" s="28">
        <f>SUBTOTAL(109,行銷差異[5 月])</f>
        <v>113</v>
      </c>
      <c r="H28" s="28">
        <f>SUBTOTAL(109,行銷差異[6 月])</f>
        <v>-825</v>
      </c>
      <c r="I28" s="28">
        <f>SUBTOTAL(109,行銷差異[7 月])</f>
        <v>8100</v>
      </c>
      <c r="J28" s="28">
        <f>SUBTOTAL(109,行銷差異[8 月])</f>
        <v>6100</v>
      </c>
      <c r="K28" s="28">
        <f>SUBTOTAL(109,行銷差異[9 月])</f>
        <v>3100</v>
      </c>
      <c r="L28" s="28">
        <f>SUBTOTAL(109,行銷差異[10 月])</f>
        <v>8100</v>
      </c>
      <c r="M28" s="28">
        <f>SUBTOTAL(109,行銷差異[11 月])</f>
        <v>3100</v>
      </c>
      <c r="N28" s="28">
        <f>SUBTOTAL(109,行銷差異[12 月])</f>
        <v>6900</v>
      </c>
      <c r="O28" s="29">
        <f>SUBTOTAL(109,行銷差異[年度])</f>
        <v>34641</v>
      </c>
    </row>
    <row r="29" spans="1:15" ht="21" customHeight="1" x14ac:dyDescent="0.3">
      <c r="A29" s="13"/>
      <c r="B29" s="30"/>
      <c r="C29" s="30"/>
      <c r="D29" s="41"/>
      <c r="E29" s="41"/>
      <c r="F29" s="41"/>
      <c r="G29" s="41"/>
      <c r="H29" s="41"/>
      <c r="I29" s="41"/>
      <c r="J29" s="41"/>
      <c r="K29" s="41"/>
      <c r="L29" s="41"/>
      <c r="M29" s="41"/>
      <c r="N29" s="41"/>
      <c r="O29" s="32"/>
    </row>
    <row r="30" spans="1:15" ht="24.95" customHeight="1" thickBot="1" x14ac:dyDescent="0.35">
      <c r="A30" s="13"/>
      <c r="B30" s="18" t="s">
        <v>30</v>
      </c>
      <c r="C30" s="34" t="s">
        <v>36</v>
      </c>
      <c r="D30" s="34" t="s">
        <v>37</v>
      </c>
      <c r="E30" s="35" t="s">
        <v>38</v>
      </c>
      <c r="F30" s="34" t="s">
        <v>39</v>
      </c>
      <c r="G30" s="34" t="s">
        <v>40</v>
      </c>
      <c r="H30" s="34" t="s">
        <v>41</v>
      </c>
      <c r="I30" s="34" t="s">
        <v>42</v>
      </c>
      <c r="J30" s="34" t="s">
        <v>43</v>
      </c>
      <c r="K30" s="34" t="s">
        <v>46</v>
      </c>
      <c r="L30" s="34" t="s">
        <v>47</v>
      </c>
      <c r="M30" s="34" t="s">
        <v>48</v>
      </c>
      <c r="N30" s="34" t="s">
        <v>49</v>
      </c>
      <c r="O30" s="36" t="s">
        <v>50</v>
      </c>
    </row>
    <row r="31" spans="1:15" ht="24.95" customHeight="1" thickBot="1" x14ac:dyDescent="0.35">
      <c r="A31" s="13"/>
      <c r="B31" s="37" t="s">
        <v>31</v>
      </c>
      <c r="C31" s="25">
        <f>INDEX(教育訓練與差旅計劃[],MATCH(INDEX(教育訓練與差旅差異[],ROW()-ROW(教育訓練與差旅差異[[#Headers],[1 月]]),1),INDEX(教育訓練與差旅計劃[],,1),0),MATCH(教育訓練與差旅差異[[#Headers],[1 月]],教育訓練與差旅計劃[#Headers],0))-INDEX(教育訓練與差旅實際數字[],MATCH(INDEX(教育訓練與差旅差異[],ROW()-ROW(教育訓練與差旅差異[[#Headers],[1 月]]),1),INDEX(教育訓練與差旅計劃[],,1),0),MATCH(教育訓練與差旅差異[[#Headers],[1 月]],教育訓練與差旅實際數字[#Headers],0))</f>
        <v>400</v>
      </c>
      <c r="D31" s="25">
        <f>INDEX(教育訓練與差旅計劃[],MATCH(INDEX(教育訓練與差旅差異[],ROW()-ROW(教育訓練與差旅差異[[#Headers],[2 月]]),1),INDEX(教育訓練與差旅計劃[],,1),0),MATCH(教育訓練與差旅差異[[#Headers],[2 月]],教育訓練與差旅計劃[#Headers],0))-INDEX(教育訓練與差旅實際數字[],MATCH(INDEX(教育訓練與差旅差異[],ROW()-ROW(教育訓練與差旅差異[[#Headers],[2 月]]),1),INDEX(教育訓練與差旅計劃[],,1),0),MATCH(教育訓練與差旅差異[[#Headers],[2 月]],教育訓練與差旅實際數字[#Headers],0))</f>
        <v>-400</v>
      </c>
      <c r="E31" s="25">
        <f>INDEX(教育訓練與差旅計劃[],MATCH(INDEX(教育訓練與差旅差異[],ROW()-ROW(教育訓練與差旅差異[[#Headers],[3 月]]),1),INDEX(教育訓練與差旅計劃[],,1),0),MATCH(教育訓練與差旅差異[[#Headers],[3 月]],教育訓練與差旅計劃[#Headers],0))-INDEX(教育訓練與差旅實際數字[],MATCH(INDEX(教育訓練與差旅差異[],ROW()-ROW(教育訓練與差旅差異[[#Headers],[3 月]]),1),INDEX(教育訓練與差旅計劃[],,1),0),MATCH(教育訓練與差旅差異[[#Headers],[3 月]],教育訓練與差旅實際數字[#Headers],0))</f>
        <v>600</v>
      </c>
      <c r="F31" s="25">
        <f>INDEX(教育訓練與差旅計劃[],MATCH(INDEX(教育訓練與差旅差異[],ROW()-ROW(教育訓練與差旅差異[[#Headers],[4 月]]),1),INDEX(教育訓練與差旅計劃[],,1),0),MATCH(教育訓練與差旅差異[[#Headers],[4 月]],教育訓練與差旅計劃[#Headers],0))-INDEX(教育訓練與差旅實際數字[],MATCH(INDEX(教育訓練與差旅差異[],ROW()-ROW(教育訓練與差旅差異[[#Headers],[4 月]]),1),INDEX(教育訓練與差旅計劃[],,1),0),MATCH(教育訓練與差旅差異[[#Headers],[4 月]],教育訓練與差旅實際數字[#Headers],0))</f>
        <v>400</v>
      </c>
      <c r="G31" s="25">
        <f>INDEX(教育訓練與差旅計劃[],MATCH(INDEX(教育訓練與差旅差異[],ROW()-ROW(教育訓練與差旅差異[[#Headers],[5 月]]),1),INDEX(教育訓練與差旅計劃[],,1),0),MATCH(教育訓練與差旅差異[[#Headers],[5 月]],教育訓練與差旅計劃[#Headers],0))-INDEX(教育訓練與差旅實際數字[],MATCH(INDEX(教育訓練與差旅差異[],ROW()-ROW(教育訓練與差旅差異[[#Headers],[5 月]]),1),INDEX(教育訓練與差旅計劃[],,1),0),MATCH(教育訓練與差旅差異[[#Headers],[5 月]],教育訓練與差旅實際數字[#Headers],0))</f>
        <v>800</v>
      </c>
      <c r="H31" s="25">
        <f>INDEX(教育訓練與差旅計劃[],MATCH(INDEX(教育訓練與差旅差異[],ROW()-ROW(教育訓練與差旅差異[[#Headers],[6 月]]),1),INDEX(教育訓練與差旅計劃[],,1),0),MATCH(教育訓練與差旅差異[[#Headers],[6 月]],教育訓練與差旅計劃[#Headers],0))-INDEX(教育訓練與差旅實際數字[],MATCH(INDEX(教育訓練與差旅差異[],ROW()-ROW(教育訓練與差旅差異[[#Headers],[6 月]]),1),INDEX(教育訓練與差旅計劃[],,1),0),MATCH(教育訓練與差旅差異[[#Headers],[6 月]],教育訓練與差旅實際數字[#Headers],0))</f>
        <v>-800</v>
      </c>
      <c r="I31" s="25">
        <f>INDEX(教育訓練與差旅計劃[],MATCH(INDEX(教育訓練與差旅差異[],ROW()-ROW(教育訓練與差旅差異[[#Headers],[7 月]]),1),INDEX(教育訓練與差旅計劃[],,1),0),MATCH(教育訓練與差旅差異[[#Headers],[7 月]],教育訓練與差旅計劃[#Headers],0))-INDEX(教育訓練與差旅實際數字[],MATCH(INDEX(教育訓練與差旅差異[],ROW()-ROW(教育訓練與差旅差異[[#Headers],[7 月]]),1),INDEX(教育訓練與差旅計劃[],,1),0),MATCH(教育訓練與差旅差異[[#Headers],[7 月]],教育訓練與差旅實際數字[#Headers],0))</f>
        <v>2000</v>
      </c>
      <c r="J31" s="25">
        <f>INDEX(教育訓練與差旅計劃[],MATCH(INDEX(教育訓練與差旅差異[],ROW()-ROW(教育訓練與差旅差異[[#Headers],[8 月]]),1),INDEX(教育訓練與差旅計劃[],,1),0),MATCH(教育訓練與差旅差異[[#Headers],[8 月]],教育訓練與差旅計劃[#Headers],0))-INDEX(教育訓練與差旅實際數字[],MATCH(INDEX(教育訓練與差旅差異[],ROW()-ROW(教育訓練與差旅差異[[#Headers],[8 月]]),1),INDEX(教育訓練與差旅計劃[],,1),0),MATCH(教育訓練與差旅差異[[#Headers],[8 月]],教育訓練與差旅實際數字[#Headers],0))</f>
        <v>2000</v>
      </c>
      <c r="K31" s="25">
        <f>INDEX(教育訓練與差旅計劃[],MATCH(INDEX(教育訓練與差旅差異[],ROW()-ROW(教育訓練與差旅差異[[#Headers],[9 月]]),1),INDEX(教育訓練與差旅計劃[],,1),0),MATCH(教育訓練與差旅差異[[#Headers],[9 月]],教育訓練與差旅計劃[#Headers],0))-INDEX(教育訓練與差旅實際數字[],MATCH(INDEX(教育訓練與差旅差異[],ROW()-ROW(教育訓練與差旅差異[[#Headers],[9 月]]),1),INDEX(教育訓練與差旅計劃[],,1),0),MATCH(教育訓練與差旅差異[[#Headers],[9 月]],教育訓練與差旅實際數字[#Headers],0))</f>
        <v>2000</v>
      </c>
      <c r="L31" s="25">
        <f>INDEX(教育訓練與差旅計劃[],MATCH(INDEX(教育訓練與差旅差異[],ROW()-ROW(教育訓練與差旅差異[[#Headers],[10 月]]),1),INDEX(教育訓練與差旅計劃[],,1),0),MATCH(教育訓練與差旅差異[[#Headers],[10 月]],教育訓練與差旅計劃[#Headers],0))-INDEX(教育訓練與差旅實際數字[],MATCH(INDEX(教育訓練與差旅差異[],ROW()-ROW(教育訓練與差旅差異[[#Headers],[10 月]]),1),INDEX(教育訓練與差旅計劃[],,1),0),MATCH(教育訓練與差旅差異[[#Headers],[10 月]],教育訓練與差旅實際數字[#Headers],0))</f>
        <v>2000</v>
      </c>
      <c r="M31" s="25">
        <f>INDEX(教育訓練與差旅計劃[],MATCH(INDEX(教育訓練與差旅差異[],ROW()-ROW(教育訓練與差旅差異[[#Headers],[11 月]]),1),INDEX(教育訓練與差旅計劃[],,1),0),MATCH(教育訓練與差旅差異[[#Headers],[11 月]],教育訓練與差旅計劃[#Headers],0))-INDEX(教育訓練與差旅實際數字[],MATCH(INDEX(教育訓練與差旅差異[],ROW()-ROW(教育訓練與差旅差異[[#Headers],[11 月]]),1),INDEX(教育訓練與差旅計劃[],,1),0),MATCH(教育訓練與差旅差異[[#Headers],[11 月]],教育訓練與差旅實際數字[#Headers],0))</f>
        <v>2000</v>
      </c>
      <c r="N31" s="25">
        <f>INDEX(教育訓練與差旅計劃[],MATCH(INDEX(教育訓練與差旅差異[],ROW()-ROW(教育訓練與差旅差異[[#Headers],[12 月]]),1),INDEX(教育訓練與差旅計劃[],,1),0),MATCH(教育訓練與差旅差異[[#Headers],[12 月]],教育訓練與差旅計劃[#Headers],0))-INDEX(教育訓練與差旅實際數字[],MATCH(INDEX(教育訓練與差旅差異[],ROW()-ROW(教育訓練與差旅差異[[#Headers],[12 月]]),1),INDEX(教育訓練與差旅計劃[],,1),0),MATCH(教育訓練與差旅差異[[#Headers],[12 月]],教育訓練與差旅實際數字[#Headers],0))</f>
        <v>2000</v>
      </c>
      <c r="O31" s="26">
        <f>SUM(教育訓練與差旅差異[[#This Row],[1 月]:[12 月]])</f>
        <v>13000</v>
      </c>
    </row>
    <row r="32" spans="1:15" ht="24.95" customHeight="1" thickBot="1" x14ac:dyDescent="0.35">
      <c r="A32" s="13"/>
      <c r="B32" s="37" t="s">
        <v>32</v>
      </c>
      <c r="C32" s="25">
        <f>INDEX(教育訓練與差旅計劃[],MATCH(INDEX(教育訓練與差旅差異[],ROW()-ROW(教育訓練與差旅差異[[#Headers],[1 月]]),1),INDEX(教育訓練與差旅計劃[],,1),0),MATCH(教育訓練與差旅差異[[#Headers],[1 月]],教育訓練與差旅計劃[#Headers],0))-INDEX(教育訓練與差旅實際數字[],MATCH(INDEX(教育訓練與差旅差異[],ROW()-ROW(教育訓練與差旅差異[[#Headers],[1 月]]),1),INDEX(教育訓練與差旅計劃[],,1),0),MATCH(教育訓練與差旅差異[[#Headers],[1 月]],教育訓練與差旅實際數字[#Headers],0))</f>
        <v>800</v>
      </c>
      <c r="D32" s="25">
        <f>INDEX(教育訓練與差旅計劃[],MATCH(INDEX(教育訓練與差旅差異[],ROW()-ROW(教育訓練與差旅差異[[#Headers],[2 月]]),1),INDEX(教育訓練與差旅計劃[],,1),0),MATCH(教育訓練與差旅差異[[#Headers],[2 月]],教育訓練與差旅計劃[#Headers],0))-INDEX(教育訓練與差旅實際數字[],MATCH(INDEX(教育訓練與差旅差異[],ROW()-ROW(教育訓練與差旅差異[[#Headers],[2 月]]),1),INDEX(教育訓練與差旅計劃[],,1),0),MATCH(教育訓練與差旅差異[[#Headers],[2 月]],教育訓練與差旅實際數字[#Headers],0))</f>
        <v>-200</v>
      </c>
      <c r="E32" s="25">
        <f>INDEX(教育訓練與差旅計劃[],MATCH(INDEX(教育訓練與差旅差異[],ROW()-ROW(教育訓練與差旅差異[[#Headers],[3 月]]),1),INDEX(教育訓練與差旅計劃[],,1),0),MATCH(教育訓練與差旅差異[[#Headers],[3 月]],教育訓練與差旅計劃[#Headers],0))-INDEX(教育訓練與差旅實際數字[],MATCH(INDEX(教育訓練與差旅差異[],ROW()-ROW(教育訓練與差旅差異[[#Headers],[3 月]]),1),INDEX(教育訓練與差旅計劃[],,1),0),MATCH(教育訓練與差旅差異[[#Headers],[3 月]],教育訓練與差旅實際數字[#Headers],0))</f>
        <v>600</v>
      </c>
      <c r="F32" s="25">
        <f>INDEX(教育訓練與差旅計劃[],MATCH(INDEX(教育訓練與差旅差異[],ROW()-ROW(教育訓練與差旅差異[[#Headers],[4 月]]),1),INDEX(教育訓練與差旅計劃[],,1),0),MATCH(教育訓練與差旅差異[[#Headers],[4 月]],教育訓練與差旅計劃[#Headers],0))-INDEX(教育訓練與差旅實際數字[],MATCH(INDEX(教育訓練與差旅差異[],ROW()-ROW(教育訓練與差旅差異[[#Headers],[4 月]]),1),INDEX(教育訓練與差旅計劃[],,1),0),MATCH(教育訓練與差旅差異[[#Headers],[4 月]],教育訓練與差旅實際數字[#Headers],0))</f>
        <v>800</v>
      </c>
      <c r="G32" s="25">
        <f>INDEX(教育訓練與差旅計劃[],MATCH(INDEX(教育訓練與差旅差異[],ROW()-ROW(教育訓練與差旅差異[[#Headers],[5 月]]),1),INDEX(教育訓練與差旅計劃[],,1),0),MATCH(教育訓練與差旅差異[[#Headers],[5 月]],教育訓練與差旅計劃[#Headers],0))-INDEX(教育訓練與差旅實際數字[],MATCH(INDEX(教育訓練與差旅差異[],ROW()-ROW(教育訓練與差旅差異[[#Headers],[5 月]]),1),INDEX(教育訓練與差旅計劃[],,1),0),MATCH(教育訓練與差旅差異[[#Headers],[5 月]],教育訓練與差旅實際數字[#Headers],0))</f>
        <v>1200</v>
      </c>
      <c r="H32" s="25">
        <f>INDEX(教育訓練與差旅計劃[],MATCH(INDEX(教育訓練與差旅差異[],ROW()-ROW(教育訓練與差旅差異[[#Headers],[6 月]]),1),INDEX(教育訓練與差旅計劃[],,1),0),MATCH(教育訓練與差旅差異[[#Headers],[6 月]],教育訓練與差旅計劃[#Headers],0))-INDEX(教育訓練與差旅實際數字[],MATCH(INDEX(教育訓練與差旅差異[],ROW()-ROW(教育訓練與差旅差異[[#Headers],[6 月]]),1),INDEX(教育訓練與差旅計劃[],,1),0),MATCH(教育訓練與差旅差異[[#Headers],[6 月]],教育訓練與差旅實際數字[#Headers],0))</f>
        <v>-1500</v>
      </c>
      <c r="I32" s="25">
        <f>INDEX(教育訓練與差旅計劃[],MATCH(INDEX(教育訓練與差旅差異[],ROW()-ROW(教育訓練與差旅差異[[#Headers],[7 月]]),1),INDEX(教育訓練與差旅計劃[],,1),0),MATCH(教育訓練與差旅差異[[#Headers],[7 月]],教育訓練與差旅計劃[#Headers],0))-INDEX(教育訓練與差旅實際數字[],MATCH(INDEX(教育訓練與差旅差異[],ROW()-ROW(教育訓練與差旅差異[[#Headers],[7 月]]),1),INDEX(教育訓練與差旅計劃[],,1),0),MATCH(教育訓練與差旅差異[[#Headers],[7 月]],教育訓練與差旅實際數字[#Headers],0))</f>
        <v>2000</v>
      </c>
      <c r="J32" s="25">
        <f>INDEX(教育訓練與差旅計劃[],MATCH(INDEX(教育訓練與差旅差異[],ROW()-ROW(教育訓練與差旅差異[[#Headers],[8 月]]),1),INDEX(教育訓練與差旅計劃[],,1),0),MATCH(教育訓練與差旅差異[[#Headers],[8 月]],教育訓練與差旅計劃[#Headers],0))-INDEX(教育訓練與差旅實際數字[],MATCH(INDEX(教育訓練與差旅差異[],ROW()-ROW(教育訓練與差旅差異[[#Headers],[8 月]]),1),INDEX(教育訓練與差旅計劃[],,1),0),MATCH(教育訓練與差旅差異[[#Headers],[8 月]],教育訓練與差旅實際數字[#Headers],0))</f>
        <v>2000</v>
      </c>
      <c r="K32" s="25">
        <f>INDEX(教育訓練與差旅計劃[],MATCH(INDEX(教育訓練與差旅差異[],ROW()-ROW(教育訓練與差旅差異[[#Headers],[9 月]]),1),INDEX(教育訓練與差旅計劃[],,1),0),MATCH(教育訓練與差旅差異[[#Headers],[9 月]],教育訓練與差旅計劃[#Headers],0))-INDEX(教育訓練與差旅實際數字[],MATCH(INDEX(教育訓練與差旅差異[],ROW()-ROW(教育訓練與差旅差異[[#Headers],[9 月]]),1),INDEX(教育訓練與差旅計劃[],,1),0),MATCH(教育訓練與差旅差異[[#Headers],[9 月]],教育訓練與差旅實際數字[#Headers],0))</f>
        <v>2000</v>
      </c>
      <c r="L32" s="25">
        <f>INDEX(教育訓練與差旅計劃[],MATCH(INDEX(教育訓練與差旅差異[],ROW()-ROW(教育訓練與差旅差異[[#Headers],[10 月]]),1),INDEX(教育訓練與差旅計劃[],,1),0),MATCH(教育訓練與差旅差異[[#Headers],[10 月]],教育訓練與差旅計劃[#Headers],0))-INDEX(教育訓練與差旅實際數字[],MATCH(INDEX(教育訓練與差旅差異[],ROW()-ROW(教育訓練與差旅差異[[#Headers],[10 月]]),1),INDEX(教育訓練與差旅計劃[],,1),0),MATCH(教育訓練與差旅差異[[#Headers],[10 月]],教育訓練與差旅實際數字[#Headers],0))</f>
        <v>2000</v>
      </c>
      <c r="M32" s="25">
        <f>INDEX(教育訓練與差旅計劃[],MATCH(INDEX(教育訓練與差旅差異[],ROW()-ROW(教育訓練與差旅差異[[#Headers],[11 月]]),1),INDEX(教育訓練與差旅計劃[],,1),0),MATCH(教育訓練與差旅差異[[#Headers],[11 月]],教育訓練與差旅計劃[#Headers],0))-INDEX(教育訓練與差旅實際數字[],MATCH(INDEX(教育訓練與差旅差異[],ROW()-ROW(教育訓練與差旅差異[[#Headers],[11 月]]),1),INDEX(教育訓練與差旅計劃[],,1),0),MATCH(教育訓練與差旅差異[[#Headers],[11 月]],教育訓練與差旅實際數字[#Headers],0))</f>
        <v>2000</v>
      </c>
      <c r="N32" s="25">
        <f>INDEX(教育訓練與差旅計劃[],MATCH(INDEX(教育訓練與差旅差異[],ROW()-ROW(教育訓練與差旅差異[[#Headers],[12 月]]),1),INDEX(教育訓練與差旅計劃[],,1),0),MATCH(教育訓練與差旅差異[[#Headers],[12 月]],教育訓練與差旅計劃[#Headers],0))-INDEX(教育訓練與差旅實際數字[],MATCH(INDEX(教育訓練與差旅差異[],ROW()-ROW(教育訓練與差旅差異[[#Headers],[12 月]]),1),INDEX(教育訓練與差旅計劃[],,1),0),MATCH(教育訓練與差旅差異[[#Headers],[12 月]],教育訓練與差旅實際數字[#Headers],0))</f>
        <v>2000</v>
      </c>
      <c r="O32" s="26">
        <f>SUM(教育訓練與差旅差異[[#This Row],[1 月]:[12 月]])</f>
        <v>13700</v>
      </c>
    </row>
    <row r="33" spans="1:15" ht="24.95" customHeight="1" x14ac:dyDescent="0.3">
      <c r="A33" s="13"/>
      <c r="B33" s="44" t="s">
        <v>13</v>
      </c>
      <c r="C33" s="28">
        <f>SUBTOTAL(109,教育訓練與差旅差異[1 月])</f>
        <v>1200</v>
      </c>
      <c r="D33" s="28">
        <f>SUBTOTAL(109,教育訓練與差旅差異[2 月])</f>
        <v>-600</v>
      </c>
      <c r="E33" s="28">
        <f>SUBTOTAL(109,教育訓練與差旅差異[3 月])</f>
        <v>1200</v>
      </c>
      <c r="F33" s="28">
        <f>SUBTOTAL(109,教育訓練與差旅差異[4 月])</f>
        <v>1200</v>
      </c>
      <c r="G33" s="28">
        <f>SUBTOTAL(109,教育訓練與差旅差異[5 月])</f>
        <v>2000</v>
      </c>
      <c r="H33" s="28">
        <f>SUBTOTAL(109,教育訓練與差旅差異[6 月])</f>
        <v>-2300</v>
      </c>
      <c r="I33" s="28">
        <f>SUBTOTAL(109,教育訓練與差旅差異[7 月])</f>
        <v>4000</v>
      </c>
      <c r="J33" s="28">
        <f>SUBTOTAL(109,教育訓練與差旅差異[8 月])</f>
        <v>4000</v>
      </c>
      <c r="K33" s="28">
        <f>SUBTOTAL(109,教育訓練與差旅差異[9 月])</f>
        <v>4000</v>
      </c>
      <c r="L33" s="28">
        <f>SUBTOTAL(109,教育訓練與差旅差異[10 月])</f>
        <v>4000</v>
      </c>
      <c r="M33" s="28">
        <f>SUBTOTAL(109,教育訓練與差旅差異[11 月])</f>
        <v>4000</v>
      </c>
      <c r="N33" s="28">
        <f>SUBTOTAL(109,教育訓練與差旅差異[12 月])</f>
        <v>4000</v>
      </c>
      <c r="O33" s="29">
        <f>SUBTOTAL(109,教育訓練與差旅差異[年度])</f>
        <v>26700</v>
      </c>
    </row>
    <row r="34" spans="1:15" ht="21" customHeight="1" x14ac:dyDescent="0.3">
      <c r="A34" s="13"/>
      <c r="B34" s="30"/>
      <c r="C34" s="30"/>
      <c r="D34" s="32"/>
      <c r="E34" s="32"/>
      <c r="F34" s="32"/>
      <c r="G34" s="32"/>
      <c r="H34" s="32"/>
      <c r="I34" s="32"/>
      <c r="J34" s="32"/>
      <c r="K34" s="32"/>
      <c r="L34" s="32"/>
      <c r="M34" s="32"/>
      <c r="N34" s="32"/>
      <c r="O34" s="32"/>
    </row>
    <row r="35" spans="1:15" ht="24.95" customHeight="1" thickBot="1" x14ac:dyDescent="0.35">
      <c r="A35" s="45"/>
      <c r="B35" s="46" t="s">
        <v>33</v>
      </c>
      <c r="C35" s="47" t="s">
        <v>36</v>
      </c>
      <c r="D35" s="47" t="s">
        <v>37</v>
      </c>
      <c r="E35" s="47" t="s">
        <v>38</v>
      </c>
      <c r="F35" s="47" t="s">
        <v>39</v>
      </c>
      <c r="G35" s="47" t="s">
        <v>40</v>
      </c>
      <c r="H35" s="47" t="s">
        <v>41</v>
      </c>
      <c r="I35" s="47" t="s">
        <v>42</v>
      </c>
      <c r="J35" s="47" t="s">
        <v>43</v>
      </c>
      <c r="K35" s="47" t="s">
        <v>46</v>
      </c>
      <c r="L35" s="47" t="s">
        <v>47</v>
      </c>
      <c r="M35" s="47" t="s">
        <v>48</v>
      </c>
      <c r="N35" s="47" t="s">
        <v>49</v>
      </c>
      <c r="O35" s="47" t="s">
        <v>50</v>
      </c>
    </row>
    <row r="36" spans="1:15" ht="24.95" customHeight="1" thickBot="1" x14ac:dyDescent="0.35">
      <c r="A36" s="13"/>
      <c r="B36" s="48" t="s">
        <v>52</v>
      </c>
      <c r="C36" s="49">
        <f>教育訓練與差旅差異[[#Totals],[1 月]]+行銷差異[[#Totals],[1 月]]+辦公室差異[[#Totals],[1 月]]+員工差異[[#Totals],[1 月]]</f>
        <v>1738</v>
      </c>
      <c r="D36" s="49">
        <f>教育訓練與差旅差異[[#Totals],[2 月]]+行銷差異[[#Totals],[2 月]]+辦公室差異[[#Totals],[2 月]]+員工差異[[#Totals],[2 月]]</f>
        <v>-984</v>
      </c>
      <c r="E36" s="49">
        <f>教育訓練與差旅差異[[#Totals],[3 月]]+行銷差異[[#Totals],[3 月]]+辦公室差異[[#Totals],[3 月]]+員工差異[[#Totals],[3 月]]</f>
        <v>1255</v>
      </c>
      <c r="F36" s="49">
        <f>教育訓練與差旅差異[[#Totals],[4 月]]+行銷差異[[#Totals],[4 月]]+辦公室差異[[#Totals],[4 月]]+員工差異[[#Totals],[4 月]]</f>
        <v>301</v>
      </c>
      <c r="G36" s="49">
        <f>教育訓練與差旅差異[[#Totals],[5 月]]+行銷差異[[#Totals],[5 月]]+辦公室差異[[#Totals],[5 月]]+員工差異[[#Totals],[5 月]]</f>
        <v>1440</v>
      </c>
      <c r="H36" s="49">
        <f>教育訓練與差旅差異[[#Totals],[6 月]]+行銷差異[[#Totals],[6 月]]+辦公室差異[[#Totals],[6 月]]+員工差異[[#Totals],[6 月]]</f>
        <v>-3744</v>
      </c>
      <c r="I36" s="49">
        <f>教育訓練與差旅差異[[#Totals],[7 月]]+行銷差異[[#Totals],[7 月]]+辦公室差異[[#Totals],[7 月]]+員工差異[[#Totals],[7 月]]</f>
        <v>134695</v>
      </c>
      <c r="J36" s="49">
        <f>教育訓練與差旅差異[[#Totals],[8 月]]+行銷差異[[#Totals],[8 月]]+辦公室差異[[#Totals],[8 月]]+員工差異[[#Totals],[8 月]]</f>
        <v>138918</v>
      </c>
      <c r="K36" s="49">
        <f>教育訓練與差旅差異[[#Totals],[9 月]]+行銷差異[[#Totals],[9 月]]+辦公室差異[[#Totals],[9 月]]+員工差異[[#Totals],[9 月]]</f>
        <v>135918</v>
      </c>
      <c r="L36" s="49">
        <f>教育訓練與差旅差異[[#Totals],[10 月]]+行銷差異[[#Totals],[10 月]]+辦公室差異[[#Totals],[10 月]]+員工差異[[#Totals],[10 月]]</f>
        <v>140918</v>
      </c>
      <c r="M36" s="49">
        <f>教育訓練與差旅差異[[#Totals],[11 月]]+行銷差異[[#Totals],[11 月]]+辦公室差異[[#Totals],[11 月]]+員工差異[[#Totals],[11 月]]</f>
        <v>136218</v>
      </c>
      <c r="N36" s="49">
        <f>教育訓練與差旅差異[[#Totals],[12 月]]+行銷差異[[#Totals],[12 月]]+辦公室差異[[#Totals],[12 月]]+員工差異[[#Totals],[12 月]]</f>
        <v>140018</v>
      </c>
      <c r="O36" s="49">
        <f>教育訓練與差旅差異[[#Totals],[年度]]+行銷差異[[#Totals],[年度]]+辦公室差異[[#Totals],[年度]]+員工差異[[#Totals],[年度]]</f>
        <v>826691</v>
      </c>
    </row>
    <row r="37" spans="1:15" ht="24.95" customHeight="1" thickBot="1" x14ac:dyDescent="0.35">
      <c r="A37" s="13"/>
      <c r="B37" s="48" t="s">
        <v>53</v>
      </c>
      <c r="C37" s="50">
        <f>SUM($C$36:C36)</f>
        <v>1738</v>
      </c>
      <c r="D37" s="50">
        <f>SUM($C$36:D36)</f>
        <v>754</v>
      </c>
      <c r="E37" s="50">
        <f>SUM($C$36:E36)</f>
        <v>2009</v>
      </c>
      <c r="F37" s="50">
        <f>SUM($C$36:F36)</f>
        <v>2310</v>
      </c>
      <c r="G37" s="50">
        <f>SUM($C$36:G36)</f>
        <v>3750</v>
      </c>
      <c r="H37" s="50">
        <f>SUM($C$36:H36)</f>
        <v>6</v>
      </c>
      <c r="I37" s="50">
        <f>SUM($C$36:I36)</f>
        <v>134701</v>
      </c>
      <c r="J37" s="50">
        <f>SUM($C$36:J36)</f>
        <v>273619</v>
      </c>
      <c r="K37" s="50">
        <f>SUM($C$36:K36)</f>
        <v>409537</v>
      </c>
      <c r="L37" s="50">
        <f>SUM($C$36:L36)</f>
        <v>550455</v>
      </c>
      <c r="M37" s="50">
        <f>SUM($C$36:M36)</f>
        <v>686673</v>
      </c>
      <c r="N37" s="50">
        <f>SUM($C$36:N36)</f>
        <v>826691</v>
      </c>
      <c r="O37" s="50"/>
    </row>
    <row r="38" spans="1:15" ht="21" customHeight="1" x14ac:dyDescent="0.3">
      <c r="A38" s="13"/>
      <c r="D38" s="51"/>
    </row>
  </sheetData>
  <mergeCells count="2">
    <mergeCell ref="K2:M2"/>
    <mergeCell ref="K3:M3"/>
  </mergeCells>
  <phoneticPr fontId="1" type="noConversion"/>
  <conditionalFormatting sqref="C6:O8">
    <cfRule type="cellIs" dxfId="165" priority="5" operator="lessThan">
      <formula>0</formula>
    </cfRule>
  </conditionalFormatting>
  <conditionalFormatting sqref="C11:O19">
    <cfRule type="cellIs" dxfId="164" priority="4" operator="lessThan">
      <formula>0</formula>
    </cfRule>
  </conditionalFormatting>
  <conditionalFormatting sqref="C22:O28">
    <cfRule type="cellIs" dxfId="163" priority="3" operator="lessThan">
      <formula>0</formula>
    </cfRule>
  </conditionalFormatting>
  <conditionalFormatting sqref="C31:O33">
    <cfRule type="cellIs" dxfId="162" priority="2" operator="lessThan">
      <formula>0</formula>
    </cfRule>
  </conditionalFormatting>
  <conditionalFormatting sqref="C36:O37">
    <cfRule type="cellIs" dxfId="161" priority="1" operator="lessThan">
      <formula>0</formula>
    </cfRule>
  </conditionalFormatting>
  <dataValidations count="10">
    <dataValidation allowBlank="1" showInputMessage="1" showErrorMessage="1" prompt="標誌預留位置在此儲存格中。" sqref="N2" xr:uid="{37781601-5DCB-461E-AE37-039617AC3765}"/>
    <dataValidation allowBlank="1" showInputMessage="1" showErrorMessage="1" prompt="[費用差異] 標籤位於右側儲存格，儲存格 C4 到 N4 為月份，[年度] 標籤則位於 O4。" sqref="A4" xr:uid="{30EF6476-989C-4E19-8BDE-66AFC1B5F398}"/>
    <dataValidation allowBlank="1" showInputMessage="1" showErrorMessage="1" prompt="在右側儲存格開始的員工差異表格中會自動計算員工費用的差異。下一個指示位於儲存格 A10。" sqref="A5" xr:uid="{839F8F2D-41ED-4FCE-836B-A98A823A57CC}"/>
    <dataValidation allowBlank="1" showInputMessage="1" showErrorMessage="1" prompt="在右側儲存格開始的辦公室差異表格中會自動計算辦公室成本的差異。下一個指示位於儲存格 A21。" sqref="A10" xr:uid="{27073073-4E55-44AA-82CF-0E84E7DE56D1}"/>
    <dataValidation allowBlank="1" showInputMessage="1" showErrorMessage="1" prompt="在右側儲存格開始的行銷差異表格中會自動計算行銷費用的差異。下一個指示位於儲存格 A30。" sqref="A21" xr:uid="{DE322E29-78F0-4CAC-A794-538FBE82A952}"/>
    <dataValidation allowBlank="1" showInputMessage="1" showErrorMessage="1" prompt="在右側儲存格開始的教育訓練與差旅差異表格中會自動計算教育訓練或差旅費用的差異。下一個指示位於儲存格 A35。" sqref="A30" xr:uid="{E7DC2698-49F1-46FA-BC02-81CE67BF794B}"/>
    <dataValidation allowBlank="1" showInputMessage="1" showErrorMessage="1" prompt="在右側儲存格開始的總計差異表格中會自動計算費用差異。" sqref="A35" xr:uid="{96167FAC-0878-4372-B9C2-FE529C7ABF6D}"/>
    <dataValidation allowBlank="1" showInputMessage="1" showErrorMessage="1" prompt="在本工作表的個別表格中輸入計劃員工成本、辦公室成本、行銷成本和教育訓練或差旅費用。系統會自動計算總計。如何使用本工作表的指示位於此欄的儲存格中。按向下箭號以開始。" sqref="A1" xr:uid="{C935014E-97FD-4DC5-8990-FFCC7A693081}"/>
    <dataValidation allowBlank="1" showInputMessage="1" showErrorMessage="1" prompt="公司名稱會在右側儲存格中自動更新。本工作表的標題位於儲存格 K2。在儲存格 N2 中輸入標誌。" sqref="A2" xr:uid="{ACC2090E-7A1F-4581-8E9B-5F88818E0C50}"/>
    <dataValidation allowBlank="1" showInputMessage="1" showErrorMessage="1" prompt="祕訣位於儲存格 K3。" sqref="A3" xr:uid="{6033F748-E9D5-4DE6-B824-555D5C6CA4CF}"/>
  </dataValidations>
  <pageMargins left="0.7" right="0.7" top="0.75" bottom="0.75" header="0.3" footer="0.3"/>
  <pageSetup paperSize="9" fitToHeight="0" orientation="portrait" r:id="rId1"/>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sheetPr>
  <dimension ref="A1:P39"/>
  <sheetViews>
    <sheetView showGridLines="0" zoomScaleNormal="100" workbookViewId="0"/>
  </sheetViews>
  <sheetFormatPr defaultColWidth="9.140625" defaultRowHeight="18.75" x14ac:dyDescent="0.3"/>
  <cols>
    <col min="1" max="1" width="4.7109375" style="136" customWidth="1"/>
    <col min="2" max="2" width="26.28515625" style="22" customWidth="1"/>
    <col min="3" max="3" width="23.28515625" style="22" customWidth="1"/>
    <col min="4" max="4" width="24.28515625" style="22" customWidth="1"/>
    <col min="5" max="5" width="23" style="22" customWidth="1"/>
    <col min="6" max="6" width="24.5703125" style="22" customWidth="1"/>
    <col min="7" max="7" width="4.7109375" style="5" customWidth="1"/>
    <col min="8" max="8" width="9" style="113" customWidth="1"/>
    <col min="9" max="16384" width="9.140625" style="22"/>
  </cols>
  <sheetData>
    <row r="1" spans="1:16" s="5" customFormat="1" ht="24" customHeight="1" x14ac:dyDescent="0.3">
      <c r="A1" s="112"/>
      <c r="B1" s="2"/>
      <c r="C1" s="2"/>
      <c r="D1" s="2"/>
      <c r="E1" s="3"/>
      <c r="F1" s="3"/>
      <c r="G1" s="4" t="s">
        <v>51</v>
      </c>
      <c r="I1" s="113"/>
      <c r="J1" s="113"/>
      <c r="K1" s="113"/>
      <c r="L1" s="113"/>
      <c r="M1" s="113"/>
      <c r="N1" s="113"/>
      <c r="O1" s="113"/>
      <c r="P1" s="113" t="s">
        <v>51</v>
      </c>
    </row>
    <row r="2" spans="1:16" s="5" customFormat="1" ht="45" customHeight="1" x14ac:dyDescent="0.3">
      <c r="A2" s="112"/>
      <c r="B2" s="7" t="str">
        <f>計劃費用!B2:D3</f>
        <v>公司名稱</v>
      </c>
      <c r="C2" s="7"/>
      <c r="D2" s="7"/>
      <c r="E2" s="114"/>
      <c r="F2" s="115"/>
      <c r="G2" s="115"/>
      <c r="I2" s="113"/>
      <c r="J2" s="113"/>
      <c r="K2" s="113"/>
      <c r="L2" s="113"/>
      <c r="M2" s="113"/>
      <c r="N2" s="113"/>
      <c r="O2" s="113"/>
      <c r="P2" s="113"/>
    </row>
    <row r="3" spans="1:16" s="5" customFormat="1" ht="30" customHeight="1" x14ac:dyDescent="0.3">
      <c r="A3" s="112"/>
      <c r="B3" s="7"/>
      <c r="C3" s="7"/>
      <c r="D3" s="7"/>
      <c r="E3" s="116" t="str">
        <f>工作表_標題</f>
        <v>預估費用明細</v>
      </c>
      <c r="F3" s="116"/>
      <c r="G3" s="116"/>
      <c r="I3" s="113"/>
      <c r="J3" s="113"/>
      <c r="K3" s="113"/>
      <c r="L3" s="113"/>
      <c r="M3" s="113"/>
      <c r="N3" s="113"/>
      <c r="O3" s="113"/>
      <c r="P3" s="113"/>
    </row>
    <row r="4" spans="1:16" s="113" customFormat="1" ht="18.75" customHeight="1" x14ac:dyDescent="0.2">
      <c r="A4" s="106"/>
    </row>
    <row r="5" spans="1:16" ht="24.95" customHeight="1" thickBot="1" x14ac:dyDescent="0.35">
      <c r="A5" s="117"/>
      <c r="B5" s="118" t="s">
        <v>54</v>
      </c>
      <c r="C5" s="119" t="s">
        <v>58</v>
      </c>
      <c r="D5" s="120" t="s">
        <v>56</v>
      </c>
      <c r="E5" s="118" t="s">
        <v>57</v>
      </c>
      <c r="F5" s="121" t="s">
        <v>55</v>
      </c>
      <c r="G5" s="17"/>
      <c r="I5" s="113"/>
      <c r="J5" s="113"/>
      <c r="K5" s="113"/>
      <c r="L5" s="113"/>
      <c r="M5" s="113"/>
      <c r="N5" s="113"/>
      <c r="O5" s="113"/>
      <c r="P5" s="113"/>
    </row>
    <row r="6" spans="1:16" ht="24.95" customHeight="1" thickBot="1" x14ac:dyDescent="0.35">
      <c r="A6" s="122"/>
      <c r="B6" s="123" t="s">
        <v>10</v>
      </c>
      <c r="C6" s="124">
        <f>員工計劃[[#Totals],[年度]]</f>
        <v>1355090</v>
      </c>
      <c r="D6" s="124">
        <f>員工實際數字[[#Totals],[年度]]</f>
        <v>659130</v>
      </c>
      <c r="E6" s="124">
        <f>C6-D6</f>
        <v>695960</v>
      </c>
      <c r="F6" s="125">
        <f>E6/C6</f>
        <v>0.5135895032802249</v>
      </c>
    </row>
    <row r="7" spans="1:16" ht="24.95" customHeight="1" thickBot="1" x14ac:dyDescent="0.35">
      <c r="A7" s="117"/>
      <c r="B7" s="123" t="str">
        <f>計劃費用!B10</f>
        <v>辦公室成本</v>
      </c>
      <c r="C7" s="124">
        <f>辦公室計劃[[#Totals],[年度]]</f>
        <v>138740</v>
      </c>
      <c r="D7" s="124">
        <f>辦公室實際數字[[#Totals],[年度]]</f>
        <v>69350</v>
      </c>
      <c r="E7" s="124">
        <f>C7-D7</f>
        <v>69390</v>
      </c>
      <c r="F7" s="125">
        <f>E7/C7</f>
        <v>0.50014415453366012</v>
      </c>
    </row>
    <row r="8" spans="1:16" ht="24.95" customHeight="1" thickBot="1" x14ac:dyDescent="0.35">
      <c r="A8" s="117"/>
      <c r="B8" s="126" t="str">
        <f>計劃費用!B21</f>
        <v>行銷成本</v>
      </c>
      <c r="C8" s="124">
        <f>行銷計劃[[#Totals],[年度]]</f>
        <v>67800</v>
      </c>
      <c r="D8" s="124">
        <f>行銷實際數字[[#Totals],[年度]]</f>
        <v>33159</v>
      </c>
      <c r="E8" s="124">
        <f>C8-D8</f>
        <v>34641</v>
      </c>
      <c r="F8" s="125">
        <f>E8/C8</f>
        <v>0.51092920353982296</v>
      </c>
    </row>
    <row r="9" spans="1:16" ht="24.95" customHeight="1" thickBot="1" x14ac:dyDescent="0.35">
      <c r="A9" s="117"/>
      <c r="B9" s="126" t="str">
        <f>計劃費用!B30</f>
        <v>教育訓練/差旅</v>
      </c>
      <c r="C9" s="124">
        <f>教育訓練與差旅計劃[[#Totals],[年度]]</f>
        <v>48000</v>
      </c>
      <c r="D9" s="124">
        <f>教育訓練與差旅實際數字[[#Totals],[年度]]</f>
        <v>21300</v>
      </c>
      <c r="E9" s="124">
        <f>C9-D9</f>
        <v>26700</v>
      </c>
      <c r="F9" s="125">
        <f>E9/C9</f>
        <v>0.55625000000000002</v>
      </c>
    </row>
    <row r="10" spans="1:16" ht="24.95" customHeight="1" x14ac:dyDescent="0.3">
      <c r="A10" s="117"/>
      <c r="B10" s="127" t="str">
        <f>計劃費用!B35</f>
        <v>總計</v>
      </c>
      <c r="C10" s="128">
        <f>計劃費用!O36</f>
        <v>1609630</v>
      </c>
      <c r="D10" s="128">
        <f>實際費用!O36</f>
        <v>782939</v>
      </c>
      <c r="E10" s="128">
        <f>C10-D10</f>
        <v>826691</v>
      </c>
      <c r="F10" s="129">
        <f>E10/C10</f>
        <v>0.51359070096854553</v>
      </c>
    </row>
    <row r="11" spans="1:16" x14ac:dyDescent="0.3">
      <c r="A11" s="117"/>
      <c r="B11" s="130"/>
      <c r="C11" s="131"/>
      <c r="D11" s="131"/>
      <c r="E11" s="131"/>
      <c r="F11" s="132"/>
    </row>
    <row r="12" spans="1:16" ht="300" customHeight="1" x14ac:dyDescent="0.3">
      <c r="A12" s="117"/>
      <c r="B12" s="133"/>
      <c r="C12" s="133"/>
      <c r="D12" s="133"/>
      <c r="E12" s="133"/>
      <c r="F12" s="133"/>
      <c r="G12" s="113"/>
    </row>
    <row r="13" spans="1:16" ht="18.75" customHeight="1" x14ac:dyDescent="0.3">
      <c r="A13" s="117"/>
      <c r="B13" s="134"/>
    </row>
    <row r="14" spans="1:16" x14ac:dyDescent="0.3">
      <c r="A14" s="117"/>
      <c r="B14" s="134"/>
      <c r="C14" s="40"/>
      <c r="D14" s="40"/>
      <c r="E14" s="40"/>
      <c r="F14" s="40"/>
    </row>
    <row r="15" spans="1:16" x14ac:dyDescent="0.3">
      <c r="A15" s="117"/>
      <c r="B15" s="134"/>
      <c r="C15" s="40"/>
      <c r="D15" s="40"/>
      <c r="E15" s="40"/>
      <c r="F15" s="40"/>
    </row>
    <row r="16" spans="1:16" x14ac:dyDescent="0.3">
      <c r="A16" s="117"/>
      <c r="B16" s="134"/>
      <c r="C16" s="40"/>
      <c r="D16" s="40"/>
      <c r="E16" s="40"/>
      <c r="F16" s="40"/>
    </row>
    <row r="17" spans="1:6" x14ac:dyDescent="0.3">
      <c r="A17" s="117"/>
      <c r="B17" s="134"/>
      <c r="C17" s="40"/>
      <c r="D17" s="40"/>
      <c r="E17" s="40"/>
      <c r="F17" s="40"/>
    </row>
    <row r="18" spans="1:6" x14ac:dyDescent="0.3">
      <c r="A18" s="117"/>
      <c r="B18" s="134"/>
      <c r="C18" s="40"/>
      <c r="D18" s="40"/>
      <c r="E18" s="40"/>
      <c r="F18" s="40"/>
    </row>
    <row r="19" spans="1:6" x14ac:dyDescent="0.3">
      <c r="A19" s="117"/>
      <c r="B19" s="40"/>
      <c r="C19" s="40"/>
      <c r="D19" s="40"/>
      <c r="E19" s="40"/>
      <c r="F19" s="40"/>
    </row>
    <row r="20" spans="1:6" x14ac:dyDescent="0.3">
      <c r="A20" s="117"/>
      <c r="B20" s="40"/>
      <c r="C20" s="40"/>
      <c r="D20" s="40"/>
      <c r="E20" s="40"/>
      <c r="F20" s="40"/>
    </row>
    <row r="21" spans="1:6" x14ac:dyDescent="0.3">
      <c r="A21" s="117"/>
      <c r="B21" s="40"/>
      <c r="C21" s="40"/>
      <c r="D21" s="40"/>
      <c r="E21" s="40"/>
      <c r="F21" s="40"/>
    </row>
    <row r="22" spans="1:6" x14ac:dyDescent="0.3">
      <c r="A22" s="117"/>
      <c r="B22" s="134"/>
      <c r="C22" s="40"/>
      <c r="D22" s="40"/>
      <c r="E22" s="40"/>
      <c r="F22" s="40"/>
    </row>
    <row r="23" spans="1:6" x14ac:dyDescent="0.3">
      <c r="A23" s="117"/>
      <c r="B23" s="134"/>
      <c r="C23" s="40"/>
      <c r="D23" s="40"/>
      <c r="E23" s="40"/>
      <c r="F23" s="40"/>
    </row>
    <row r="24" spans="1:6" x14ac:dyDescent="0.3">
      <c r="A24" s="117"/>
      <c r="B24" s="134"/>
      <c r="C24" s="40"/>
      <c r="D24" s="40"/>
      <c r="E24" s="40"/>
      <c r="F24" s="40"/>
    </row>
    <row r="25" spans="1:6" x14ac:dyDescent="0.3">
      <c r="A25" s="117"/>
      <c r="B25" s="134"/>
      <c r="C25" s="40"/>
      <c r="D25" s="40"/>
      <c r="E25" s="40"/>
      <c r="F25" s="40"/>
    </row>
    <row r="26" spans="1:6" x14ac:dyDescent="0.3">
      <c r="A26" s="117"/>
      <c r="B26" s="134"/>
      <c r="C26" s="40"/>
      <c r="D26" s="40"/>
      <c r="E26" s="40"/>
      <c r="F26" s="40"/>
    </row>
    <row r="27" spans="1:6" x14ac:dyDescent="0.3">
      <c r="A27" s="117"/>
      <c r="B27" s="134"/>
      <c r="C27" s="40"/>
      <c r="D27" s="40"/>
      <c r="E27" s="40"/>
      <c r="F27" s="40"/>
    </row>
    <row r="28" spans="1:6" x14ac:dyDescent="0.3">
      <c r="A28" s="117"/>
      <c r="B28" s="40"/>
      <c r="C28" s="40"/>
      <c r="D28" s="40"/>
      <c r="E28" s="40"/>
      <c r="F28" s="40"/>
    </row>
    <row r="29" spans="1:6" x14ac:dyDescent="0.3">
      <c r="A29" s="117"/>
      <c r="B29" s="40"/>
      <c r="C29" s="40"/>
      <c r="D29" s="40"/>
      <c r="E29" s="40"/>
      <c r="F29" s="40"/>
    </row>
    <row r="30" spans="1:6" x14ac:dyDescent="0.3">
      <c r="A30" s="117"/>
      <c r="B30" s="40"/>
      <c r="C30" s="40"/>
      <c r="D30" s="40"/>
      <c r="E30" s="40"/>
      <c r="F30" s="40"/>
    </row>
    <row r="31" spans="1:6" x14ac:dyDescent="0.3">
      <c r="A31" s="117"/>
      <c r="B31" s="134"/>
      <c r="C31" s="40"/>
      <c r="D31" s="40"/>
      <c r="E31" s="40"/>
      <c r="F31" s="40"/>
    </row>
    <row r="32" spans="1:6" x14ac:dyDescent="0.3">
      <c r="A32" s="117"/>
      <c r="B32" s="134"/>
      <c r="C32" s="40"/>
      <c r="D32" s="40"/>
      <c r="E32" s="40"/>
      <c r="F32" s="40"/>
    </row>
    <row r="33" spans="1:6" x14ac:dyDescent="0.3">
      <c r="A33" s="117"/>
      <c r="B33" s="40"/>
      <c r="C33" s="40"/>
      <c r="D33" s="40"/>
      <c r="E33" s="40"/>
      <c r="F33" s="40"/>
    </row>
    <row r="34" spans="1:6" x14ac:dyDescent="0.3">
      <c r="A34" s="117"/>
      <c r="B34" s="40"/>
      <c r="C34" s="40"/>
      <c r="D34" s="40"/>
      <c r="E34" s="40"/>
      <c r="F34" s="40"/>
    </row>
    <row r="35" spans="1:6" x14ac:dyDescent="0.3">
      <c r="A35" s="117"/>
      <c r="B35" s="40"/>
      <c r="C35" s="40"/>
      <c r="D35" s="40"/>
      <c r="E35" s="40"/>
      <c r="F35" s="40"/>
    </row>
    <row r="36" spans="1:6" x14ac:dyDescent="0.3">
      <c r="A36" s="117"/>
      <c r="B36" s="135"/>
      <c r="C36" s="40"/>
      <c r="D36" s="40"/>
      <c r="E36" s="40"/>
      <c r="F36" s="40"/>
    </row>
    <row r="37" spans="1:6" x14ac:dyDescent="0.3">
      <c r="A37" s="117"/>
      <c r="B37" s="135"/>
      <c r="C37" s="40"/>
      <c r="D37" s="40"/>
      <c r="E37" s="40"/>
      <c r="F37" s="40"/>
    </row>
    <row r="38" spans="1:6" x14ac:dyDescent="0.3">
      <c r="A38" s="117"/>
    </row>
    <row r="39" spans="1:6" x14ac:dyDescent="0.3">
      <c r="A39" s="117"/>
    </row>
  </sheetData>
  <mergeCells count="2">
    <mergeCell ref="E3:G3"/>
    <mergeCell ref="B12:F12"/>
  </mergeCells>
  <phoneticPr fontId="1" type="noConversion"/>
  <dataValidations count="8">
    <dataValidation allowBlank="1" showInputMessage="1" showErrorMessage="1" prompt="本儲存格中顯示各種類別計劃費用的圓形圖。" sqref="B12:F12" xr:uid="{B2131E0D-FC0E-41E0-A823-1146E5092945}"/>
    <dataValidation allowBlank="1" showInputMessage="1" showErrorMessage="1" prompt="本工作表中每一個費用類別的年度計劃與實際費用、費用差異以及差異百分比會自動更新。如何使用本工作表的實用指示位於此欄的儲存格。按向下箭號以開始。" sqref="A1" xr:uid="{2B6B986C-CF09-4535-B287-5D9961D543F9}"/>
    <dataValidation allowBlank="1" showInputMessage="1" showErrorMessage="1" prompt="公司名稱會在右側儲存格中自動更新。在儲存格 F2 中輸入標誌。" sqref="A2" xr:uid="{54F690A8-E3B2-49FE-B037-4CB57E2B08A1}"/>
    <dataValidation allowBlank="1" showInputMessage="1" showErrorMessage="1" prompt="本工作表的標題位於儲存格 E3。下一個指示位於儲存格 A5。" sqref="A3" xr:uid="{FED07153-5704-491F-BD0F-28D4A0F15619}"/>
    <dataValidation allowBlank="1" showInputMessage="1" showErrorMessage="1" prompt="從右側儲存格開始的分析表格中會自動計算計劃費用、實際費用、費用差異與差異百分比。下一個指示位於儲存格 A12。" sqref="A5" xr:uid="{17A4F301-0551-4056-B357-1FCC3532C5BE}"/>
    <dataValidation allowBlank="1" showInputMessage="1" showErrorMessage="1" prompt="計劃費用圓形圖位於右側儲存格，而實際費用圓形圖位於儲存格 D12。下一個指示位於儲存格 A14。" sqref="A12" xr:uid="{FE13E92D-A1BA-4BB9-9C16-0CDEB5285C6E}"/>
    <dataValidation allowBlank="1" showInputMessage="1" showErrorMessage="1" prompt="顯示每月費用中計劃、實際與差異的圖表位於右側儲存格。" sqref="A14" xr:uid="{A5F374DB-643C-44A4-B534-F79A39786B80}"/>
    <dataValidation allowBlank="1" showInputMessage="1" showErrorMessage="1" prompt="標誌預留位置在此儲存格中。" sqref="F2:G2" xr:uid="{831A4984-168B-4337-BAEA-80B7246F2962}"/>
  </dataValidations>
  <pageMargins left="0.7" right="0.7" top="0.75" bottom="0.75" header="0.3" footer="0.3"/>
  <pageSetup paperSize="9" orientation="portrait" r:id="rId1"/>
  <ignoredErrors>
    <ignoredError sqref="B2" emptyCellReference="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7C5DBCFF-B01D-443B-958D-5BBBD3E2E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153F0F1A-F818-48F9-BE67-B9DBEFF91A6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69CB1A22-CE44-4532-A0DB-84194B783BC7}">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TM04035489</ap:Template>
  <ap:DocSecurity>0</ap:DocSecurity>
  <ap:ScaleCrop>false</ap:ScaleCrop>
  <ap:HeadingPairs>
    <vt:vector baseType="variant" size="4">
      <vt:variant>
        <vt:lpstr>工作表</vt:lpstr>
      </vt:variant>
      <vt:variant>
        <vt:i4>5</vt:i4>
      </vt:variant>
      <vt:variant>
        <vt:lpstr>具名範圍</vt:lpstr>
      </vt:variant>
      <vt:variant>
        <vt:i4>1</vt:i4>
      </vt:variant>
    </vt:vector>
  </ap:HeadingPairs>
  <ap:TitlesOfParts>
    <vt:vector baseType="lpstr" size="6">
      <vt:lpstr>開始</vt:lpstr>
      <vt:lpstr>計劃費用</vt:lpstr>
      <vt:lpstr>實際費用</vt:lpstr>
      <vt:lpstr>費用差異</vt:lpstr>
      <vt:lpstr>費用分析</vt:lpstr>
      <vt:lpstr>工作表_標題</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2022-02-14T06:36:37Z</dcterms:created>
  <dcterms:modified xsi:type="dcterms:W3CDTF">2022-05-30T06:37:03Z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