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 autoCompressPictures="0"/>
  <xr:revisionPtr revIDLastSave="0" documentId="10_ncr:100000_{497F8BB5-1427-4051-8C22-45776909BE3C}" xr6:coauthVersionLast="31" xr6:coauthVersionMax="31" xr10:uidLastSave="{00000000-0000-0000-0000-000000000000}"/>
  <bookViews>
    <workbookView xWindow="0" yWindow="600" windowWidth="20490" windowHeight="7515" tabRatio="741" xr2:uid="{00000000-000D-0000-FFFF-FFFF00000000}"/>
  </bookViews>
  <sheets>
    <sheet name="一月" sheetId="1" r:id="rId1"/>
    <sheet name="二月" sheetId="6" r:id="rId2"/>
    <sheet name="三月" sheetId="7" r:id="rId3"/>
    <sheet name="四月" sheetId="8" r:id="rId4"/>
    <sheet name="五月" sheetId="9" r:id="rId5"/>
    <sheet name="六月" sheetId="10" r:id="rId6"/>
    <sheet name="七月" sheetId="11" r:id="rId7"/>
    <sheet name="八月" sheetId="12" r:id="rId8"/>
    <sheet name="九月" sheetId="13" r:id="rId9"/>
    <sheet name="十月" sheetId="14" r:id="rId10"/>
    <sheet name="十一月" sheetId="15" r:id="rId11"/>
    <sheet name="十二月" sheetId="16" r:id="rId12"/>
  </sheets>
  <definedNames>
    <definedName name="AprSun1">DATE(CalendarYear,4,1)-WEEKDAY(DATE(CalendarYear,4,1))</definedName>
    <definedName name="AssignmentDays" localSheetId="6">七月!$L$4:$L$33</definedName>
    <definedName name="AssignmentDays" localSheetId="2">三月!$L$4:$L$33</definedName>
    <definedName name="AssignmentDays" localSheetId="8">九月!$L$4:$L$33</definedName>
    <definedName name="AssignmentDays" localSheetId="1">二月!$L$4:$L$33</definedName>
    <definedName name="AssignmentDays" localSheetId="4">五月!$L$4:$L$33</definedName>
    <definedName name="AssignmentDays" localSheetId="7">八月!$L$4:$L$33</definedName>
    <definedName name="AssignmentDays" localSheetId="5">六月!$L$4:$L$33</definedName>
    <definedName name="AssignmentDays" localSheetId="10">十一月!$L$4:$L$33</definedName>
    <definedName name="AssignmentDays" localSheetId="11">十二月!$L$4:$L$33</definedName>
    <definedName name="AssignmentDays" localSheetId="9">十月!$L$4:$L$33</definedName>
    <definedName name="AssignmentDays" localSheetId="3">四月!$L$4:$L$33</definedName>
    <definedName name="AssignmentDays">一月!$L$4:$L$33</definedName>
    <definedName name="AugSun1">DATE(CalendarYear,8,1)-WEEKDAY(DATE(CalendarYear,8,1))</definedName>
    <definedName name="CalendarYear">一月!$N$2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6">七月!$L$4:$M$8</definedName>
    <definedName name="ImportantDatesTable" localSheetId="2">三月!$L$4:$M$8</definedName>
    <definedName name="ImportantDatesTable" localSheetId="8">九月!$L$4:$M$8</definedName>
    <definedName name="ImportantDatesTable" localSheetId="1">二月!$L$4:$M$8</definedName>
    <definedName name="ImportantDatesTable" localSheetId="4">五月!$L$4:$M$8</definedName>
    <definedName name="ImportantDatesTable" localSheetId="7">八月!$L$4:$M$8</definedName>
    <definedName name="ImportantDatesTable" localSheetId="5">六月!$L$4:$M$8</definedName>
    <definedName name="ImportantDatesTable" localSheetId="10">十一月!$L$4:$M$8</definedName>
    <definedName name="ImportantDatesTable" localSheetId="11">十二月!$L$4:$M$8</definedName>
    <definedName name="ImportantDatesTable" localSheetId="9">十月!$L$4:$M$8</definedName>
    <definedName name="ImportantDatesTable" localSheetId="3">四月!$L$4:$M$8</definedName>
    <definedName name="ImportantDatesTable">一月!$L$4:$M$8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一月!$A$1:$N$33</definedName>
    <definedName name="_xlnm.Print_Area" localSheetId="6">七月!$A$1:$N$33</definedName>
    <definedName name="_xlnm.Print_Area" localSheetId="2">三月!$A$1:$N$33</definedName>
    <definedName name="_xlnm.Print_Area" localSheetId="8">九月!$A$1:$N$33</definedName>
    <definedName name="_xlnm.Print_Area" localSheetId="1">二月!$A$1:$N$33</definedName>
    <definedName name="_xlnm.Print_Area" localSheetId="4">五月!$A$1:$N$33</definedName>
    <definedName name="_xlnm.Print_Area" localSheetId="7">八月!$A$1:$N$33</definedName>
    <definedName name="_xlnm.Print_Area" localSheetId="5">六月!$A$1:$N$33</definedName>
    <definedName name="_xlnm.Print_Area" localSheetId="10">十一月!$A$1:$N$33</definedName>
    <definedName name="_xlnm.Print_Area" localSheetId="11">十二月!$A$1:$N$33</definedName>
    <definedName name="_xlnm.Print_Area" localSheetId="9">十月!$A$1:$N$33</definedName>
    <definedName name="_xlnm.Print_Area" localSheetId="3">四月!$A$1:$N$33</definedName>
    <definedName name="SepSun1">DATE(CalendarYear,9,1)-WEEKDAY(DATE(CalendarYear,9,1))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1" l="1"/>
  <c r="C4" i="1" l="1"/>
  <c r="D4" i="1"/>
  <c r="E4" i="1"/>
  <c r="F4" i="1"/>
  <c r="G4" i="1"/>
  <c r="H4" i="1"/>
  <c r="I4" i="1"/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<sst xmlns="http://schemas.openxmlformats.org/spreadsheetml/2006/main" count="520" uniqueCount="58">
  <si>
    <t>8:00</t>
  </si>
  <si>
    <t>9:00</t>
  </si>
  <si>
    <t>10:00</t>
  </si>
  <si>
    <t>六</t>
  </si>
  <si>
    <t>一</t>
  </si>
  <si>
    <t>四</t>
  </si>
  <si>
    <t>三</t>
  </si>
  <si>
    <t>五</t>
  </si>
  <si>
    <t>二</t>
  </si>
  <si>
    <t>作业</t>
    <phoneticPr fontId="1" type="noConversion"/>
  </si>
  <si>
    <t>作业</t>
    <phoneticPr fontId="2" type="noConversion"/>
  </si>
  <si>
    <t>作业</t>
    <phoneticPr fontId="2" type="noConversion"/>
  </si>
  <si>
    <t>作业</t>
    <phoneticPr fontId="2" type="noConversion"/>
  </si>
  <si>
    <t>作业</t>
    <phoneticPr fontId="2" type="noConversion"/>
  </si>
  <si>
    <t>作业</t>
    <phoneticPr fontId="2" type="noConversion"/>
  </si>
  <si>
    <t>每周日程安排</t>
  </si>
  <si>
    <t>每周日程安排</t>
    <phoneticPr fontId="2" type="noConversion"/>
  </si>
  <si>
    <t>每周日程安排</t>
    <phoneticPr fontId="2" type="noConversion"/>
  </si>
  <si>
    <t>每周日程安排</t>
    <phoneticPr fontId="2" type="noConversion"/>
  </si>
  <si>
    <t>每周日程安排</t>
    <phoneticPr fontId="2" type="noConversion"/>
  </si>
  <si>
    <t>每周日程安排</t>
    <phoneticPr fontId="2" type="noConversion"/>
  </si>
  <si>
    <t>每周日程安排</t>
    <phoneticPr fontId="2" type="noConversion"/>
  </si>
  <si>
    <t>每周日程安排</t>
    <phoneticPr fontId="2" type="noConversion"/>
  </si>
  <si>
    <t>每周日程安排</t>
    <phoneticPr fontId="2" type="noConversion"/>
  </si>
  <si>
    <t>2 月</t>
    <phoneticPr fontId="2" type="noConversion"/>
  </si>
  <si>
    <t>3 月</t>
    <phoneticPr fontId="2" type="noConversion"/>
  </si>
  <si>
    <t>4 月</t>
    <phoneticPr fontId="2" type="noConversion"/>
  </si>
  <si>
    <t>5 月</t>
    <phoneticPr fontId="2" type="noConversion"/>
  </si>
  <si>
    <t>6 月</t>
    <phoneticPr fontId="2" type="noConversion"/>
  </si>
  <si>
    <t>7 月</t>
    <phoneticPr fontId="2" type="noConversion"/>
  </si>
  <si>
    <t>8 月</t>
    <phoneticPr fontId="2" type="noConversion"/>
  </si>
  <si>
    <t>9 月</t>
    <phoneticPr fontId="2" type="noConversion"/>
  </si>
  <si>
    <t>10 月</t>
    <phoneticPr fontId="2" type="noConversion"/>
  </si>
  <si>
    <t>11 月</t>
    <phoneticPr fontId="2" type="noConversion"/>
  </si>
  <si>
    <t>12 月</t>
    <phoneticPr fontId="2" type="noConversion"/>
  </si>
  <si>
    <t>&lt; 在 N2 中输入日历年。</t>
  </si>
  <si>
    <t>周一</t>
  </si>
  <si>
    <t>周二</t>
  </si>
  <si>
    <t>周三</t>
  </si>
  <si>
    <t>周四</t>
  </si>
  <si>
    <t>周五</t>
  </si>
  <si>
    <t>法语</t>
  </si>
  <si>
    <t xml:space="preserve">艺术史 </t>
  </si>
  <si>
    <t>数学</t>
  </si>
  <si>
    <t>英文</t>
  </si>
  <si>
    <t xml:space="preserve">编程 </t>
  </si>
  <si>
    <t>法语: 提交论文初稿</t>
    <phoneticPr fontId="1" type="noConversion"/>
  </si>
  <si>
    <t>周一</t>
    <phoneticPr fontId="1" type="noConversion"/>
  </si>
  <si>
    <t>周二</t>
    <phoneticPr fontId="1" type="noConversion"/>
  </si>
  <si>
    <t>8:00</t>
    <phoneticPr fontId="2" type="noConversion"/>
  </si>
  <si>
    <t>日</t>
  </si>
  <si>
    <t>1 月</t>
    <phoneticPr fontId="2" type="noConversion"/>
  </si>
  <si>
    <t xml:space="preserve">艺术史 </t>
    <phoneticPr fontId="1" type="noConversion"/>
  </si>
  <si>
    <t>艺术史: 测试</t>
    <phoneticPr fontId="1" type="noConversion"/>
  </si>
  <si>
    <t>14:00</t>
    <phoneticPr fontId="1" type="noConversion"/>
  </si>
  <si>
    <t>14:00</t>
    <phoneticPr fontId="1" type="noConversion"/>
  </si>
  <si>
    <t>16:00</t>
    <phoneticPr fontId="1" type="noConversion"/>
  </si>
  <si>
    <t>16:00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</si>
</sst>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"/>
    <numFmt numFmtId="165" formatCode="0\ &quot;年&quot;"/>
  </numFmts>
  <fonts count="30">
    <font>
      <sz val="10"/>
      <color theme="1"/>
      <name val="Microsoft YaHei UI"/>
      <family val="2"/>
      <charset val="134"/>
    </font>
    <font>
      <sz val="8"/>
      <name val="Arial"/>
      <family val="2"/>
      <scheme val="minor"/>
    </font>
    <font>
      <sz val="9"/>
      <name val="Arial"/>
      <family val="3"/>
      <charset val="134"/>
      <scheme val="minor"/>
    </font>
    <font>
      <sz val="10"/>
      <color theme="1"/>
      <name val="Microsoft YaHei UI"/>
      <family val="2"/>
      <charset val="134"/>
    </font>
    <font>
      <b/>
      <sz val="17"/>
      <color theme="4"/>
      <name val="Microsoft YaHei UI"/>
      <family val="2"/>
      <charset val="134"/>
    </font>
    <font>
      <b/>
      <sz val="10"/>
      <color rgb="FF39B5D4"/>
      <name val="Microsoft YaHei UI"/>
      <family val="2"/>
      <charset val="134"/>
    </font>
    <font>
      <b/>
      <sz val="24"/>
      <color theme="4"/>
      <name val="Microsoft YaHei UI"/>
      <family val="2"/>
      <charset val="134"/>
    </font>
    <font>
      <sz val="10.5"/>
      <color theme="1" tint="0.249977111117893"/>
      <name val="Microsoft YaHei UI"/>
      <family val="2"/>
      <charset val="134"/>
    </font>
    <font>
      <b/>
      <sz val="12"/>
      <color theme="4"/>
      <name val="Microsoft YaHei UI"/>
      <family val="2"/>
      <charset val="134"/>
    </font>
    <font>
      <b/>
      <sz val="10"/>
      <color theme="1"/>
      <name val="Microsoft YaHei UI"/>
      <family val="2"/>
      <charset val="134"/>
    </font>
    <font>
      <sz val="10"/>
      <color theme="1" tint="0.249977111117893"/>
      <name val="Microsoft YaHei UI"/>
      <family val="2"/>
      <charset val="134"/>
    </font>
    <font>
      <b/>
      <sz val="10.5"/>
      <name val="Microsoft YaHei UI"/>
      <family val="2"/>
      <charset val="134"/>
    </font>
    <font>
      <sz val="10"/>
      <color theme="0"/>
      <name val="Microsoft YaHei UI"/>
      <family val="2"/>
      <charset val="134"/>
    </font>
    <font>
      <b/>
      <sz val="8.5"/>
      <color theme="1"/>
      <name val="Microsoft YaHei UI"/>
      <family val="2"/>
      <charset val="134"/>
    </font>
    <font>
      <sz val="8.5"/>
      <color theme="1"/>
      <name val="Microsoft YaHei UI"/>
      <family val="2"/>
      <charset val="134"/>
    </font>
    <font>
      <sz val="12"/>
      <color theme="4"/>
      <name val="Microsoft YaHei UI"/>
      <family val="2"/>
      <charset val="134"/>
    </font>
    <font>
      <sz val="12"/>
      <color rgb="FF002060"/>
      <name val="Microsoft YaHei UI"/>
      <family val="2"/>
      <charset val="134"/>
    </font>
    <font>
      <sz val="12"/>
      <color theme="1" tint="0.249977111117893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65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26"/>
      <color theme="4"/>
      <name val="Microsoft YaHei UI"/>
      <family val="2"/>
      <charset val="134"/>
    </font>
    <font>
      <b/>
      <sz val="11"/>
      <color theme="1"/>
      <name val="Microsoft YaHei UI"/>
      <family val="2"/>
      <charset val="134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48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">
    <xf numFmtId="0" fontId="0" fillId="0" borderId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textRotation="90"/>
    </xf>
    <xf numFmtId="0" fontId="19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8" borderId="43" applyNumberFormat="0" applyAlignment="0" applyProtection="0">
      <alignment vertical="center"/>
    </xf>
    <xf numFmtId="0" fontId="21" fillId="8" borderId="42" applyNumberFormat="0" applyAlignment="0" applyProtection="0">
      <alignment vertical="center"/>
    </xf>
    <xf numFmtId="0" fontId="25" fillId="0" borderId="44" applyNumberFormat="0" applyFill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10" borderId="4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47" applyNumberFormat="0" applyFill="0" applyAlignment="0" applyProtection="0">
      <alignment vertical="center"/>
    </xf>
  </cellStyleXfs>
  <cellXfs count="92">
    <xf numFmtId="0" fontId="0" fillId="0" borderId="0" xfId="0"/>
    <xf numFmtId="0" fontId="3" fillId="0" borderId="0" xfId="0" applyFont="1"/>
    <xf numFmtId="0" fontId="3" fillId="0" borderId="8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5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6" xfId="2" applyFont="1" applyFill="1" applyBorder="1" applyAlignment="1">
      <alignment vertical="top"/>
    </xf>
    <xf numFmtId="0" fontId="9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 vertical="center" textRotation="90"/>
    </xf>
    <xf numFmtId="0" fontId="9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6" fillId="0" borderId="41" xfId="2" applyFont="1" applyFill="1" applyBorder="1" applyAlignment="1">
      <alignment vertical="top"/>
    </xf>
    <xf numFmtId="164" fontId="11" fillId="0" borderId="13" xfId="0" applyNumberFormat="1" applyFont="1" applyFill="1" applyBorder="1" applyAlignment="1">
      <alignment horizontal="left" vertical="center" wrapText="1" indent="1"/>
    </xf>
    <xf numFmtId="0" fontId="3" fillId="0" borderId="14" xfId="0" applyFont="1" applyBorder="1"/>
    <xf numFmtId="0" fontId="12" fillId="2" borderId="7" xfId="0" applyFont="1" applyFill="1" applyBorder="1" applyAlignment="1">
      <alignment horizontal="left" indent="1"/>
    </xf>
    <xf numFmtId="0" fontId="12" fillId="2" borderId="9" xfId="0" applyFont="1" applyFill="1" applyBorder="1" applyAlignment="1">
      <alignment horizontal="left" indent="1"/>
    </xf>
    <xf numFmtId="0" fontId="12" fillId="2" borderId="5" xfId="0" applyFont="1" applyFill="1" applyBorder="1" applyAlignment="1">
      <alignment horizontal="left" indent="1"/>
    </xf>
    <xf numFmtId="0" fontId="12" fillId="2" borderId="15" xfId="0" applyFont="1" applyFill="1" applyBorder="1" applyAlignment="1">
      <alignment horizontal="left" indent="1"/>
    </xf>
    <xf numFmtId="49" fontId="13" fillId="3" borderId="7" xfId="0" applyNumberFormat="1" applyFont="1" applyFill="1" applyBorder="1" applyAlignment="1">
      <alignment horizontal="left" indent="1"/>
    </xf>
    <xf numFmtId="0" fontId="14" fillId="3" borderId="20" xfId="0" applyFont="1" applyFill="1" applyBorder="1" applyAlignment="1">
      <alignment horizontal="left" vertical="top" inden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15" fillId="0" borderId="0" xfId="0" applyFont="1" applyBorder="1" applyAlignment="1">
      <alignment horizontal="right" vertical="center" textRotation="90"/>
    </xf>
    <xf numFmtId="0" fontId="14" fillId="3" borderId="10" xfId="0" applyFont="1" applyFill="1" applyBorder="1" applyAlignment="1">
      <alignment horizontal="left" vertical="top" indent="1"/>
    </xf>
    <xf numFmtId="164" fontId="16" fillId="0" borderId="13" xfId="0" applyNumberFormat="1" applyFont="1" applyFill="1" applyBorder="1" applyAlignment="1">
      <alignment horizontal="right" vertical="center"/>
    </xf>
    <xf numFmtId="164" fontId="9" fillId="0" borderId="13" xfId="0" applyNumberFormat="1" applyFont="1" applyFill="1" applyBorder="1" applyAlignment="1">
      <alignment horizontal="center"/>
    </xf>
    <xf numFmtId="49" fontId="14" fillId="3" borderId="7" xfId="0" applyNumberFormat="1" applyFont="1" applyFill="1" applyBorder="1" applyAlignment="1">
      <alignment horizontal="left" indent="1"/>
    </xf>
    <xf numFmtId="49" fontId="14" fillId="3" borderId="23" xfId="0" applyNumberFormat="1" applyFont="1" applyFill="1" applyBorder="1" applyAlignment="1">
      <alignment horizontal="left" indent="1"/>
    </xf>
    <xf numFmtId="0" fontId="6" fillId="0" borderId="6" xfId="2" applyFont="1" applyFill="1" applyBorder="1" applyAlignment="1">
      <alignment vertical="center" textRotation="90"/>
    </xf>
    <xf numFmtId="0" fontId="6" fillId="0" borderId="41" xfId="2" applyFont="1" applyFill="1" applyBorder="1" applyAlignment="1">
      <alignment vertical="center" textRotation="90"/>
    </xf>
    <xf numFmtId="0" fontId="8" fillId="0" borderId="0" xfId="0" applyFont="1" applyBorder="1" applyAlignment="1">
      <alignment vertical="center" textRotation="90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20" fontId="14" fillId="3" borderId="7" xfId="0" applyNumberFormat="1" applyFont="1" applyFill="1" applyBorder="1" applyAlignment="1">
      <alignment horizontal="left" indent="1"/>
    </xf>
    <xf numFmtId="49" fontId="14" fillId="3" borderId="9" xfId="0" applyNumberFormat="1" applyFont="1" applyFill="1" applyBorder="1" applyAlignment="1">
      <alignment horizontal="left" indent="1"/>
    </xf>
    <xf numFmtId="49" fontId="14" fillId="3" borderId="5" xfId="0" applyNumberFormat="1" applyFont="1" applyFill="1" applyBorder="1" applyAlignment="1">
      <alignment horizontal="left" indent="1"/>
    </xf>
    <xf numFmtId="49" fontId="14" fillId="3" borderId="15" xfId="0" applyNumberFormat="1" applyFont="1" applyFill="1" applyBorder="1" applyAlignment="1">
      <alignment horizontal="left" indent="1"/>
    </xf>
    <xf numFmtId="0" fontId="14" fillId="3" borderId="21" xfId="0" applyFont="1" applyFill="1" applyBorder="1" applyAlignment="1">
      <alignment horizontal="left" vertical="top" indent="1"/>
    </xf>
    <xf numFmtId="0" fontId="14" fillId="3" borderId="22" xfId="0" applyFont="1" applyFill="1" applyBorder="1" applyAlignment="1">
      <alignment horizontal="left" vertical="top" indent="1"/>
    </xf>
    <xf numFmtId="0" fontId="8" fillId="0" borderId="35" xfId="5" applyFont="1" applyBorder="1" applyAlignment="1">
      <alignment horizontal="left" vertical="top"/>
    </xf>
    <xf numFmtId="0" fontId="8" fillId="0" borderId="28" xfId="5" applyFont="1" applyBorder="1" applyAlignment="1">
      <alignment horizontal="left" vertical="top"/>
    </xf>
    <xf numFmtId="0" fontId="10" fillId="0" borderId="2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49" fontId="14" fillId="3" borderId="24" xfId="0" applyNumberFormat="1" applyFont="1" applyFill="1" applyBorder="1" applyAlignment="1">
      <alignment horizontal="left" indent="1"/>
    </xf>
    <xf numFmtId="49" fontId="14" fillId="3" borderId="25" xfId="0" applyNumberFormat="1" applyFont="1" applyFill="1" applyBorder="1" applyAlignment="1">
      <alignment horizontal="left" indent="1"/>
    </xf>
    <xf numFmtId="0" fontId="10" fillId="0" borderId="4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4" fillId="0" borderId="32" xfId="3" applyFont="1" applyBorder="1" applyAlignment="1">
      <alignment horizontal="left" vertical="center" indent="2"/>
    </xf>
    <xf numFmtId="0" fontId="4" fillId="0" borderId="33" xfId="3" applyFont="1" applyBorder="1" applyAlignment="1">
      <alignment horizontal="left" vertical="center" indent="2"/>
    </xf>
    <xf numFmtId="0" fontId="4" fillId="0" borderId="29" xfId="3" applyFont="1" applyBorder="1" applyAlignment="1">
      <alignment horizontal="left" vertical="center" indent="2"/>
    </xf>
    <xf numFmtId="0" fontId="4" fillId="0" borderId="30" xfId="3" applyFont="1" applyBorder="1" applyAlignment="1">
      <alignment horizontal="left" vertical="center" indent="2"/>
    </xf>
    <xf numFmtId="0" fontId="8" fillId="0" borderId="32" xfId="5" applyFont="1" applyBorder="1" applyAlignment="1">
      <alignment horizontal="left" vertical="top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165" fontId="4" fillId="0" borderId="34" xfId="3" applyNumberFormat="1" applyFont="1" applyFill="1" applyBorder="1" applyAlignment="1">
      <alignment horizontal="center" vertical="center"/>
    </xf>
    <xf numFmtId="165" fontId="4" fillId="0" borderId="31" xfId="3" applyNumberFormat="1" applyFont="1" applyFill="1" applyBorder="1" applyAlignment="1">
      <alignment horizontal="center" vertical="center"/>
    </xf>
    <xf numFmtId="49" fontId="14" fillId="3" borderId="27" xfId="0" applyNumberFormat="1" applyFont="1" applyFill="1" applyBorder="1" applyAlignment="1">
      <alignment horizontal="left" indent="1"/>
    </xf>
    <xf numFmtId="164" fontId="14" fillId="3" borderId="21" xfId="0" applyNumberFormat="1" applyFont="1" applyFill="1" applyBorder="1" applyAlignment="1">
      <alignment horizontal="left" vertical="top" indent="1"/>
    </xf>
    <xf numFmtId="164" fontId="14" fillId="3" borderId="26" xfId="0" applyNumberFormat="1" applyFont="1" applyFill="1" applyBorder="1" applyAlignment="1">
      <alignment horizontal="left" vertical="top" indent="1"/>
    </xf>
    <xf numFmtId="0" fontId="14" fillId="3" borderId="11" xfId="0" applyFont="1" applyFill="1" applyBorder="1" applyAlignment="1">
      <alignment horizontal="left" vertical="top" indent="1"/>
    </xf>
    <xf numFmtId="0" fontId="14" fillId="3" borderId="12" xfId="0" applyFont="1" applyFill="1" applyBorder="1" applyAlignment="1">
      <alignment horizontal="left" vertical="top" indent="1"/>
    </xf>
    <xf numFmtId="49" fontId="14" fillId="3" borderId="9" xfId="0" applyNumberFormat="1" applyFont="1" applyFill="1" applyBorder="1" applyAlignment="1">
      <alignment horizontal="left" vertical="center" indent="1"/>
    </xf>
    <xf numFmtId="49" fontId="14" fillId="3" borderId="15" xfId="0" applyNumberFormat="1" applyFont="1" applyFill="1" applyBorder="1" applyAlignment="1">
      <alignment horizontal="left" vertical="center" indent="1"/>
    </xf>
    <xf numFmtId="0" fontId="14" fillId="3" borderId="26" xfId="0" applyFont="1" applyFill="1" applyBorder="1" applyAlignment="1">
      <alignment horizontal="left" vertical="top" indent="1"/>
    </xf>
    <xf numFmtId="0" fontId="6" fillId="0" borderId="6" xfId="2" applyFont="1" applyFill="1" applyBorder="1" applyAlignment="1">
      <alignment vertical="center"/>
    </xf>
    <xf numFmtId="164" fontId="14" fillId="3" borderId="11" xfId="0" applyNumberFormat="1" applyFont="1" applyFill="1" applyBorder="1" applyAlignment="1">
      <alignment horizontal="left" vertical="top" indent="1"/>
    </xf>
    <xf numFmtId="164" fontId="14" fillId="3" borderId="14" xfId="0" applyNumberFormat="1" applyFont="1" applyFill="1" applyBorder="1" applyAlignment="1">
      <alignment horizontal="left" vertical="top" indent="1"/>
    </xf>
    <xf numFmtId="0" fontId="5" fillId="0" borderId="0" xfId="0" applyFont="1" applyAlignment="1">
      <alignment horizontal="left" vertical="center" wrapText="1"/>
    </xf>
    <xf numFmtId="0" fontId="8" fillId="0" borderId="38" xfId="4" applyFont="1" applyBorder="1" applyAlignment="1">
      <alignment horizontal="left" vertical="center"/>
    </xf>
    <xf numFmtId="0" fontId="8" fillId="0" borderId="39" xfId="4" applyFont="1" applyBorder="1" applyAlignment="1">
      <alignment horizontal="left" vertical="center"/>
    </xf>
    <xf numFmtId="0" fontId="8" fillId="0" borderId="40" xfId="4" applyFont="1" applyBorder="1" applyAlignment="1">
      <alignment horizontal="left" vertical="center"/>
    </xf>
    <xf numFmtId="0" fontId="8" fillId="0" borderId="6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8" fillId="0" borderId="15" xfId="4" applyFont="1" applyBorder="1" applyAlignment="1">
      <alignment horizontal="left" vertical="center"/>
    </xf>
    <xf numFmtId="164" fontId="17" fillId="0" borderId="4" xfId="0" applyNumberFormat="1" applyFont="1" applyFill="1" applyBorder="1" applyAlignment="1">
      <alignment horizontal="left"/>
    </xf>
    <xf numFmtId="164" fontId="17" fillId="0" borderId="19" xfId="0" applyNumberFormat="1" applyFont="1" applyFill="1" applyBorder="1" applyAlignment="1">
      <alignment horizontal="left"/>
    </xf>
    <xf numFmtId="0" fontId="8" fillId="0" borderId="0" xfId="4" applyFont="1" applyAlignment="1">
      <alignment horizontal="left" vertical="center"/>
    </xf>
    <xf numFmtId="20" fontId="14" fillId="3" borderId="9" xfId="0" applyNumberFormat="1" applyFont="1" applyFill="1" applyBorder="1" applyAlignment="1">
      <alignment horizontal="left" indent="1"/>
    </xf>
    <xf numFmtId="49" fontId="13" fillId="3" borderId="9" xfId="0" applyNumberFormat="1" applyFont="1" applyFill="1" applyBorder="1" applyAlignment="1">
      <alignment horizontal="left" indent="1"/>
    </xf>
    <xf numFmtId="49" fontId="13" fillId="3" borderId="5" xfId="0" applyNumberFormat="1" applyFont="1" applyFill="1" applyBorder="1" applyAlignment="1">
      <alignment horizontal="left" indent="1"/>
    </xf>
    <xf numFmtId="49" fontId="13" fillId="3" borderId="9" xfId="0" applyNumberFormat="1" applyFont="1" applyFill="1" applyBorder="1" applyAlignment="1">
      <alignment horizontal="left" vertical="center" indent="1"/>
    </xf>
    <xf numFmtId="49" fontId="13" fillId="3" borderId="15" xfId="0" applyNumberFormat="1" applyFont="1" applyFill="1" applyBorder="1" applyAlignment="1">
      <alignment horizontal="left" vertical="center" indent="1"/>
    </xf>
    <xf numFmtId="0" fontId="8" fillId="0" borderId="35" xfId="5" applyFont="1" applyBorder="1" applyAlignment="1">
      <alignment vertical="top"/>
    </xf>
    <xf numFmtId="0" fontId="8" fillId="0" borderId="28" xfId="5" applyFont="1" applyBorder="1" applyAlignment="1">
      <alignment vertical="top"/>
    </xf>
    <xf numFmtId="0" fontId="8" fillId="0" borderId="32" xfId="5" applyFont="1" applyBorder="1" applyAlignment="1">
      <alignment vertical="top"/>
    </xf>
  </cellXfs>
  <cellStyles count="18"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7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76"/>
      <tableStyleElement type="headerRow" dxfId="75"/>
      <tableStyleElement type="totalRow" dxfId="74"/>
      <tableStyleElement type="firstColumn" dxfId="73"/>
      <tableStyleElement type="lastColumn" dxfId="72"/>
      <tableStyleElement type="firstRowStripe" dxfId="71"/>
      <tableStyleElement type="firstColumnStripe" dxfId="70"/>
    </tableStyle>
    <tableStyle name="TableStyleLight9 2" pivot="0" count="4" xr9:uid="{00000000-0011-0000-FFFF-FFFF01000000}">
      <tableStyleElement type="wholeTable" dxfId="69"/>
      <tableStyleElement type="headerRow" dxfId="68"/>
      <tableStyleElement type="totalRow" dxfId="67"/>
      <tableStyleElement type="firstColumn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Q33"/>
  <sheetViews>
    <sheetView showGridLines="0" tabSelected="1" zoomScaleNormal="100" zoomScalePageLayoutView="84" workbookViewId="0"/>
  </sheetViews>
  <sheetFormatPr defaultColWidth="8.625" defaultRowHeight="16.5" customHeight="1"/>
  <cols>
    <col min="1" max="1" width="2.25" style="1" customWidth="1"/>
    <col min="2" max="2" width="12.625" style="1" customWidth="1"/>
    <col min="3" max="10" width="6.625" style="1" customWidth="1"/>
    <col min="11" max="11" width="7.25" style="1" customWidth="1"/>
    <col min="12" max="12" width="3.75" style="1" customWidth="1"/>
    <col min="13" max="13" width="51.375" style="1" customWidth="1"/>
    <col min="14" max="14" width="14" style="1" bestFit="1" customWidth="1"/>
    <col min="15" max="15" width="2.25" style="1" customWidth="1"/>
    <col min="16" max="16" width="30.75" style="1" customWidth="1"/>
    <col min="17" max="18" width="8.75" style="1" customWidth="1"/>
    <col min="19" max="22" width="7.75" style="1" customWidth="1"/>
    <col min="23" max="16384" width="8.625" style="1"/>
  </cols>
  <sheetData>
    <row r="1" spans="1:17" ht="11.25" customHeight="1"/>
    <row r="2" spans="1:17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54" t="s">
        <v>9</v>
      </c>
      <c r="L2" s="55">
        <v>2013</v>
      </c>
      <c r="M2" s="55"/>
      <c r="N2" s="61">
        <f ca="1">YEAR(TODAY())</f>
        <v>2018</v>
      </c>
      <c r="P2" s="74" t="s">
        <v>35</v>
      </c>
      <c r="Q2" s="6"/>
    </row>
    <row r="3" spans="1:17" ht="21" customHeight="1">
      <c r="A3" s="2"/>
      <c r="B3" s="71" t="s">
        <v>51</v>
      </c>
      <c r="C3" s="7" t="s">
        <v>50</v>
      </c>
      <c r="D3" s="7" t="s">
        <v>4</v>
      </c>
      <c r="E3" s="7" t="s">
        <v>8</v>
      </c>
      <c r="F3" s="7" t="s">
        <v>6</v>
      </c>
      <c r="G3" s="7" t="s">
        <v>5</v>
      </c>
      <c r="H3" s="7" t="s">
        <v>7</v>
      </c>
      <c r="I3" s="7" t="s">
        <v>3</v>
      </c>
      <c r="J3" s="8"/>
      <c r="K3" s="56"/>
      <c r="L3" s="57"/>
      <c r="M3" s="57"/>
      <c r="N3" s="62"/>
      <c r="P3" s="74"/>
      <c r="Q3" s="6"/>
    </row>
    <row r="4" spans="1:17" ht="18" customHeight="1">
      <c r="A4" s="2"/>
      <c r="B4" s="71"/>
      <c r="C4" s="9">
        <f ca="1">IF(DAY(JanSun1)=1,JanSun1-6,JanSun1+1)</f>
        <v>43100</v>
      </c>
      <c r="D4" s="9">
        <f ca="1">IF(DAY(JanSun1)=1,JanSun1-5,JanSun1+2)</f>
        <v>43101</v>
      </c>
      <c r="E4" s="9">
        <f ca="1">IF(DAY(JanSun1)=1,JanSun1-4,JanSun1+3)</f>
        <v>43102</v>
      </c>
      <c r="F4" s="9">
        <f ca="1">IF(DAY(JanSun1)=1,JanSun1-3,JanSun1+4)</f>
        <v>43103</v>
      </c>
      <c r="G4" s="9">
        <f ca="1">IF(DAY(JanSun1)=1,JanSun1-2,JanSun1+5)</f>
        <v>43104</v>
      </c>
      <c r="H4" s="9">
        <f ca="1">IF(DAY(JanSun1)=1,JanSun1-1,JanSun1+6)</f>
        <v>43105</v>
      </c>
      <c r="I4" s="9">
        <f ca="1">IF(DAY(JanSun1)=1,JanSun1,JanSun1+7)</f>
        <v>43106</v>
      </c>
      <c r="J4" s="8"/>
      <c r="K4" s="58" t="s">
        <v>47</v>
      </c>
      <c r="L4" s="10">
        <v>4</v>
      </c>
      <c r="M4" s="59" t="s">
        <v>46</v>
      </c>
      <c r="N4" s="60"/>
      <c r="P4" s="6"/>
      <c r="Q4" s="6"/>
    </row>
    <row r="5" spans="1:17" ht="18" customHeight="1">
      <c r="A5" s="2"/>
      <c r="B5" s="11"/>
      <c r="C5" s="9">
        <f ca="1">IF(DAY(JanSun1)=1,JanSun1+1,JanSun1+8)</f>
        <v>43107</v>
      </c>
      <c r="D5" s="9">
        <f ca="1">IF(DAY(JanSun1)=1,JanSun1+2,JanSun1+9)</f>
        <v>43108</v>
      </c>
      <c r="E5" s="9">
        <f ca="1">IF(DAY(JanSun1)=1,JanSun1+3,JanSun1+10)</f>
        <v>43109</v>
      </c>
      <c r="F5" s="9">
        <f ca="1">IF(DAY(JanSun1)=1,JanSun1+4,JanSun1+11)</f>
        <v>43110</v>
      </c>
      <c r="G5" s="9">
        <f ca="1">IF(DAY(JanSun1)=1,JanSun1+5,JanSun1+12)</f>
        <v>43111</v>
      </c>
      <c r="H5" s="9">
        <f ca="1">IF(DAY(JanSun1)=1,JanSun1+6,JanSun1+13)</f>
        <v>43112</v>
      </c>
      <c r="I5" s="9">
        <f ca="1">IF(DAY(JanSun1)=1,JanSun1+7,JanSun1+14)</f>
        <v>43113</v>
      </c>
      <c r="J5" s="8"/>
      <c r="K5" s="45"/>
      <c r="L5" s="12"/>
      <c r="M5" s="46"/>
      <c r="N5" s="47"/>
      <c r="P5" s="6"/>
      <c r="Q5" s="6"/>
    </row>
    <row r="6" spans="1:17" ht="18" customHeight="1">
      <c r="A6" s="2"/>
      <c r="B6" s="11"/>
      <c r="C6" s="9">
        <f ca="1">IF(DAY(JanSun1)=1,JanSun1+8,JanSun1+15)</f>
        <v>43114</v>
      </c>
      <c r="D6" s="9">
        <f ca="1">IF(DAY(JanSun1)=1,JanSun1+9,JanSun1+16)</f>
        <v>43115</v>
      </c>
      <c r="E6" s="9">
        <f ca="1">IF(DAY(JanSun1)=1,JanSun1+10,JanSun1+17)</f>
        <v>43116</v>
      </c>
      <c r="F6" s="9">
        <f ca="1">IF(DAY(JanSun1)=1,JanSun1+11,JanSun1+18)</f>
        <v>43117</v>
      </c>
      <c r="G6" s="9">
        <f ca="1">IF(DAY(JanSun1)=1,JanSun1+12,JanSun1+19)</f>
        <v>43118</v>
      </c>
      <c r="H6" s="9">
        <f ca="1">IF(DAY(JanSun1)=1,JanSun1+13,JanSun1+20)</f>
        <v>43119</v>
      </c>
      <c r="I6" s="9">
        <f ca="1">IF(DAY(JanSun1)=1,JanSun1+14,JanSun1+21)</f>
        <v>43120</v>
      </c>
      <c r="J6" s="8"/>
      <c r="K6" s="45"/>
      <c r="L6" s="12"/>
      <c r="M6" s="46"/>
      <c r="N6" s="47"/>
    </row>
    <row r="7" spans="1:17" ht="18" customHeight="1">
      <c r="A7" s="2"/>
      <c r="B7" s="11"/>
      <c r="C7" s="9">
        <f ca="1">IF(DAY(JanSun1)=1,JanSun1+15,JanSun1+22)</f>
        <v>43121</v>
      </c>
      <c r="D7" s="9">
        <f ca="1">IF(DAY(JanSun1)=1,JanSun1+16,JanSun1+23)</f>
        <v>43122</v>
      </c>
      <c r="E7" s="9">
        <f ca="1">IF(DAY(JanSun1)=1,JanSun1+17,JanSun1+24)</f>
        <v>43123</v>
      </c>
      <c r="F7" s="9">
        <f ca="1">IF(DAY(JanSun1)=1,JanSun1+18,JanSun1+25)</f>
        <v>43124</v>
      </c>
      <c r="G7" s="9">
        <f ca="1">IF(DAY(JanSun1)=1,JanSun1+19,JanSun1+26)</f>
        <v>43125</v>
      </c>
      <c r="H7" s="9">
        <f ca="1">IF(DAY(JanSun1)=1,JanSun1+20,JanSun1+27)</f>
        <v>43126</v>
      </c>
      <c r="I7" s="9">
        <f ca="1">IF(DAY(JanSun1)=1,JanSun1+21,JanSun1+28)</f>
        <v>43127</v>
      </c>
      <c r="J7" s="8"/>
      <c r="K7" s="13"/>
      <c r="L7" s="12"/>
      <c r="M7" s="46"/>
      <c r="N7" s="47"/>
    </row>
    <row r="8" spans="1:17" ht="18.75" customHeight="1">
      <c r="A8" s="2"/>
      <c r="B8" s="11"/>
      <c r="C8" s="9">
        <f ca="1">IF(DAY(JanSun1)=1,JanSun1+22,JanSun1+29)</f>
        <v>43128</v>
      </c>
      <c r="D8" s="9">
        <f ca="1">IF(DAY(JanSun1)=1,JanSun1+23,JanSun1+30)</f>
        <v>43129</v>
      </c>
      <c r="E8" s="9">
        <f ca="1">IF(DAY(JanSun1)=1,JanSun1+24,JanSun1+31)</f>
        <v>43130</v>
      </c>
      <c r="F8" s="9">
        <f ca="1">IF(DAY(JanSun1)=1,JanSun1+25,JanSun1+32)</f>
        <v>43131</v>
      </c>
      <c r="G8" s="9">
        <f ca="1">IF(DAY(JanSun1)=1,JanSun1+26,JanSun1+33)</f>
        <v>43132</v>
      </c>
      <c r="H8" s="9">
        <f ca="1">IF(DAY(JanSun1)=1,JanSun1+27,JanSun1+34)</f>
        <v>43133</v>
      </c>
      <c r="I8" s="9">
        <f ca="1">IF(DAY(JanSun1)=1,JanSun1+28,JanSun1+35)</f>
        <v>43134</v>
      </c>
      <c r="J8" s="8"/>
      <c r="K8" s="13"/>
      <c r="L8" s="12"/>
      <c r="M8" s="46"/>
      <c r="N8" s="47"/>
    </row>
    <row r="9" spans="1:17" ht="18" customHeight="1">
      <c r="A9" s="2"/>
      <c r="B9" s="11"/>
      <c r="C9" s="9">
        <f ca="1">IF(DAY(JanSun1)=1,JanSun1+29,JanSun1+36)</f>
        <v>43135</v>
      </c>
      <c r="D9" s="9">
        <f ca="1">IF(DAY(JanSun1)=1,JanSun1+30,JanSun1+37)</f>
        <v>43136</v>
      </c>
      <c r="E9" s="9">
        <f ca="1">IF(DAY(JanSun1)=1,JanSun1+31,JanSun1+38)</f>
        <v>43137</v>
      </c>
      <c r="F9" s="9">
        <f ca="1">IF(DAY(JanSun1)=1,JanSun1+32,JanSun1+39)</f>
        <v>43138</v>
      </c>
      <c r="G9" s="9">
        <f ca="1">IF(DAY(JanSun1)=1,JanSun1+33,JanSun1+40)</f>
        <v>43139</v>
      </c>
      <c r="H9" s="9">
        <f ca="1">IF(DAY(JanSun1)=1,JanSun1+34,JanSun1+41)</f>
        <v>43140</v>
      </c>
      <c r="I9" s="9">
        <f ca="1">IF(DAY(JanSun1)=1,JanSun1+35,JanSun1+42)</f>
        <v>43141</v>
      </c>
      <c r="J9" s="8"/>
      <c r="K9" s="14"/>
      <c r="L9" s="15"/>
      <c r="M9" s="50"/>
      <c r="N9" s="51"/>
    </row>
    <row r="10" spans="1:17" ht="18" customHeight="1">
      <c r="A10" s="2"/>
      <c r="B10" s="16"/>
      <c r="C10" s="17"/>
      <c r="D10" s="17"/>
      <c r="E10" s="17"/>
      <c r="F10" s="17"/>
      <c r="G10" s="17"/>
      <c r="H10" s="17"/>
      <c r="I10" s="17"/>
      <c r="J10" s="18"/>
      <c r="K10" s="44" t="s">
        <v>48</v>
      </c>
      <c r="L10" s="10">
        <v>19</v>
      </c>
      <c r="M10" s="52" t="s">
        <v>53</v>
      </c>
      <c r="N10" s="53"/>
    </row>
    <row r="11" spans="1:17" ht="18" customHeight="1">
      <c r="A11" s="2"/>
      <c r="B11" s="75" t="s">
        <v>15</v>
      </c>
      <c r="C11" s="76"/>
      <c r="D11" s="76"/>
      <c r="E11" s="76"/>
      <c r="F11" s="76"/>
      <c r="G11" s="76"/>
      <c r="H11" s="76"/>
      <c r="I11" s="76"/>
      <c r="J11" s="77"/>
      <c r="K11" s="45"/>
      <c r="L11" s="12"/>
      <c r="M11" s="46"/>
      <c r="N11" s="47"/>
    </row>
    <row r="12" spans="1:17" ht="18" customHeight="1">
      <c r="A12" s="2"/>
      <c r="B12" s="78"/>
      <c r="C12" s="79"/>
      <c r="D12" s="79"/>
      <c r="E12" s="79"/>
      <c r="F12" s="79"/>
      <c r="G12" s="79"/>
      <c r="H12" s="79"/>
      <c r="I12" s="79"/>
      <c r="J12" s="80"/>
      <c r="K12" s="45"/>
      <c r="L12" s="12"/>
      <c r="M12" s="46"/>
      <c r="N12" s="47"/>
    </row>
    <row r="13" spans="1:17" ht="18" customHeight="1">
      <c r="B13" s="19" t="s">
        <v>36</v>
      </c>
      <c r="C13" s="20" t="s">
        <v>37</v>
      </c>
      <c r="D13" s="21"/>
      <c r="E13" s="20" t="s">
        <v>38</v>
      </c>
      <c r="F13" s="21"/>
      <c r="G13" s="20" t="s">
        <v>39</v>
      </c>
      <c r="H13" s="21"/>
      <c r="I13" s="20" t="s">
        <v>40</v>
      </c>
      <c r="J13" s="22"/>
      <c r="K13" s="13"/>
      <c r="L13" s="12"/>
      <c r="M13" s="46"/>
      <c r="N13" s="47"/>
    </row>
    <row r="14" spans="1:17" ht="18" customHeight="1">
      <c r="B14" s="31" t="s">
        <v>0</v>
      </c>
      <c r="C14" s="39"/>
      <c r="D14" s="40"/>
      <c r="E14" s="39" t="s">
        <v>0</v>
      </c>
      <c r="F14" s="40"/>
      <c r="G14" s="39"/>
      <c r="H14" s="40"/>
      <c r="I14" s="39" t="s">
        <v>0</v>
      </c>
      <c r="J14" s="41"/>
      <c r="K14" s="13"/>
      <c r="L14" s="12"/>
      <c r="M14" s="46"/>
      <c r="N14" s="47"/>
    </row>
    <row r="15" spans="1:17" ht="18" customHeight="1">
      <c r="B15" s="24" t="s">
        <v>41</v>
      </c>
      <c r="C15" s="42"/>
      <c r="D15" s="43"/>
      <c r="E15" s="42" t="s">
        <v>41</v>
      </c>
      <c r="F15" s="43"/>
      <c r="G15" s="42"/>
      <c r="H15" s="43"/>
      <c r="I15" s="64" t="s">
        <v>41</v>
      </c>
      <c r="J15" s="65"/>
      <c r="K15" s="25"/>
      <c r="L15" s="26"/>
      <c r="M15" s="50"/>
      <c r="N15" s="51"/>
    </row>
    <row r="16" spans="1:17" ht="18" customHeight="1">
      <c r="B16" s="31"/>
      <c r="C16" s="39" t="s">
        <v>1</v>
      </c>
      <c r="D16" s="40"/>
      <c r="E16" s="39"/>
      <c r="F16" s="40"/>
      <c r="G16" s="39" t="s">
        <v>1</v>
      </c>
      <c r="H16" s="40"/>
      <c r="I16" s="68"/>
      <c r="J16" s="69"/>
      <c r="K16" s="44" t="s">
        <v>38</v>
      </c>
      <c r="L16" s="10"/>
      <c r="M16" s="52"/>
      <c r="N16" s="53"/>
    </row>
    <row r="17" spans="2:14" ht="18" customHeight="1">
      <c r="B17" s="24"/>
      <c r="C17" s="42" t="s">
        <v>52</v>
      </c>
      <c r="D17" s="43"/>
      <c r="E17" s="42"/>
      <c r="F17" s="43"/>
      <c r="G17" s="42" t="s">
        <v>42</v>
      </c>
      <c r="H17" s="43"/>
      <c r="I17" s="64"/>
      <c r="J17" s="65"/>
      <c r="K17" s="45"/>
      <c r="L17" s="12"/>
      <c r="M17" s="46"/>
      <c r="N17" s="47"/>
    </row>
    <row r="18" spans="2:14" ht="18" customHeight="1">
      <c r="B18" s="32" t="s">
        <v>2</v>
      </c>
      <c r="C18" s="48"/>
      <c r="D18" s="49"/>
      <c r="E18" s="48" t="s">
        <v>2</v>
      </c>
      <c r="F18" s="49"/>
      <c r="G18" s="48"/>
      <c r="H18" s="49"/>
      <c r="I18" s="48" t="s">
        <v>2</v>
      </c>
      <c r="J18" s="63"/>
      <c r="K18" s="45"/>
      <c r="L18" s="12"/>
      <c r="M18" s="46"/>
      <c r="N18" s="47"/>
    </row>
    <row r="19" spans="2:14" ht="18" customHeight="1">
      <c r="B19" s="24" t="s">
        <v>43</v>
      </c>
      <c r="C19" s="42"/>
      <c r="D19" s="43"/>
      <c r="E19" s="42" t="s">
        <v>43</v>
      </c>
      <c r="F19" s="43"/>
      <c r="G19" s="42"/>
      <c r="H19" s="43"/>
      <c r="I19" s="64" t="s">
        <v>43</v>
      </c>
      <c r="J19" s="65"/>
      <c r="K19" s="13"/>
      <c r="L19" s="12"/>
      <c r="M19" s="46"/>
      <c r="N19" s="47"/>
    </row>
    <row r="20" spans="2:14" ht="18" customHeight="1">
      <c r="B20" s="31"/>
      <c r="C20" s="39"/>
      <c r="D20" s="40"/>
      <c r="E20" s="39"/>
      <c r="F20" s="40"/>
      <c r="G20" s="39"/>
      <c r="H20" s="40"/>
      <c r="I20" s="39"/>
      <c r="J20" s="41"/>
      <c r="K20" s="13"/>
      <c r="L20" s="12"/>
      <c r="M20" s="46"/>
      <c r="N20" s="47"/>
    </row>
    <row r="21" spans="2:14" ht="18" customHeight="1">
      <c r="B21" s="24"/>
      <c r="C21" s="42"/>
      <c r="D21" s="43"/>
      <c r="E21" s="42"/>
      <c r="F21" s="43"/>
      <c r="G21" s="42"/>
      <c r="H21" s="43"/>
      <c r="I21" s="42"/>
      <c r="J21" s="70"/>
      <c r="K21" s="25"/>
      <c r="L21" s="26"/>
      <c r="M21" s="50"/>
      <c r="N21" s="51"/>
    </row>
    <row r="22" spans="2:14" ht="18" customHeight="1">
      <c r="B22" s="31"/>
      <c r="C22" s="39"/>
      <c r="D22" s="40"/>
      <c r="E22" s="39"/>
      <c r="F22" s="40"/>
      <c r="G22" s="39"/>
      <c r="H22" s="40"/>
      <c r="I22" s="39"/>
      <c r="J22" s="41"/>
      <c r="K22" s="44" t="s">
        <v>39</v>
      </c>
      <c r="L22" s="10"/>
      <c r="M22" s="52"/>
      <c r="N22" s="53"/>
    </row>
    <row r="23" spans="2:14" ht="18" customHeight="1">
      <c r="B23" s="24"/>
      <c r="C23" s="42"/>
      <c r="D23" s="43"/>
      <c r="E23" s="42"/>
      <c r="F23" s="43"/>
      <c r="G23" s="42"/>
      <c r="H23" s="43"/>
      <c r="I23" s="64"/>
      <c r="J23" s="65"/>
      <c r="K23" s="45"/>
      <c r="L23" s="12"/>
      <c r="M23" s="46"/>
      <c r="N23" s="47"/>
    </row>
    <row r="24" spans="2:14" ht="18" customHeight="1">
      <c r="B24" s="31"/>
      <c r="C24" s="39"/>
      <c r="D24" s="40"/>
      <c r="E24" s="39"/>
      <c r="F24" s="40"/>
      <c r="G24" s="39"/>
      <c r="H24" s="40"/>
      <c r="I24" s="39"/>
      <c r="J24" s="41"/>
      <c r="K24" s="45"/>
      <c r="L24" s="12"/>
      <c r="M24" s="46"/>
      <c r="N24" s="47"/>
    </row>
    <row r="25" spans="2:14" ht="18" customHeight="1">
      <c r="B25" s="24"/>
      <c r="C25" s="42"/>
      <c r="D25" s="43"/>
      <c r="E25" s="42"/>
      <c r="F25" s="43"/>
      <c r="G25" s="42"/>
      <c r="H25" s="43"/>
      <c r="I25" s="64"/>
      <c r="J25" s="65"/>
      <c r="K25" s="45"/>
      <c r="L25" s="12"/>
      <c r="M25" s="46"/>
      <c r="N25" s="47"/>
    </row>
    <row r="26" spans="2:14" ht="18" customHeight="1">
      <c r="B26" s="31" t="s">
        <v>54</v>
      </c>
      <c r="C26" s="39"/>
      <c r="D26" s="40"/>
      <c r="E26" s="39" t="s">
        <v>55</v>
      </c>
      <c r="F26" s="40"/>
      <c r="G26" s="39"/>
      <c r="H26" s="40"/>
      <c r="I26" s="39" t="s">
        <v>55</v>
      </c>
      <c r="J26" s="41"/>
      <c r="K26" s="13"/>
      <c r="L26" s="12"/>
      <c r="M26" s="46"/>
      <c r="N26" s="47"/>
    </row>
    <row r="27" spans="2:14" ht="18" customHeight="1">
      <c r="B27" s="24" t="s">
        <v>44</v>
      </c>
      <c r="C27" s="42"/>
      <c r="D27" s="43"/>
      <c r="E27" s="42" t="s">
        <v>44</v>
      </c>
      <c r="F27" s="43"/>
      <c r="G27" s="42"/>
      <c r="H27" s="43"/>
      <c r="I27" s="64" t="s">
        <v>44</v>
      </c>
      <c r="J27" s="65"/>
      <c r="K27" s="25"/>
      <c r="L27" s="26"/>
      <c r="M27" s="50"/>
      <c r="N27" s="51"/>
    </row>
    <row r="28" spans="2:14" ht="18" customHeight="1">
      <c r="B28" s="31"/>
      <c r="C28" s="39"/>
      <c r="D28" s="40"/>
      <c r="E28" s="39"/>
      <c r="F28" s="40"/>
      <c r="G28" s="39"/>
      <c r="H28" s="40"/>
      <c r="I28" s="39"/>
      <c r="J28" s="41"/>
      <c r="K28" s="44" t="s">
        <v>40</v>
      </c>
      <c r="L28" s="10"/>
      <c r="M28" s="52"/>
      <c r="N28" s="53"/>
    </row>
    <row r="29" spans="2:14" ht="18" customHeight="1">
      <c r="B29" s="24"/>
      <c r="C29" s="42"/>
      <c r="D29" s="43"/>
      <c r="E29" s="42"/>
      <c r="F29" s="43"/>
      <c r="G29" s="42"/>
      <c r="H29" s="43"/>
      <c r="I29" s="42"/>
      <c r="J29" s="70"/>
      <c r="K29" s="45"/>
      <c r="L29" s="12"/>
      <c r="M29" s="46"/>
      <c r="N29" s="47"/>
    </row>
    <row r="30" spans="2:14" ht="18" customHeight="1">
      <c r="B30" s="31"/>
      <c r="C30" s="39" t="s">
        <v>56</v>
      </c>
      <c r="D30" s="40"/>
      <c r="E30" s="39"/>
      <c r="F30" s="40"/>
      <c r="G30" s="39" t="s">
        <v>56</v>
      </c>
      <c r="H30" s="40"/>
      <c r="I30" s="39"/>
      <c r="J30" s="41"/>
      <c r="K30" s="45"/>
      <c r="L30" s="12"/>
      <c r="M30" s="46"/>
      <c r="N30" s="47"/>
    </row>
    <row r="31" spans="2:14" ht="18" customHeight="1">
      <c r="B31" s="24"/>
      <c r="C31" s="42" t="s">
        <v>45</v>
      </c>
      <c r="D31" s="43"/>
      <c r="E31" s="42"/>
      <c r="F31" s="43"/>
      <c r="G31" s="42" t="s">
        <v>45</v>
      </c>
      <c r="H31" s="43"/>
      <c r="I31" s="42"/>
      <c r="J31" s="70"/>
      <c r="K31" s="27"/>
      <c r="L31" s="12"/>
      <c r="M31" s="46"/>
      <c r="N31" s="47"/>
    </row>
    <row r="32" spans="2:14" ht="18" customHeight="1">
      <c r="B32" s="31"/>
      <c r="C32" s="39"/>
      <c r="D32" s="40"/>
      <c r="E32" s="39"/>
      <c r="F32" s="40"/>
      <c r="G32" s="39"/>
      <c r="H32" s="40"/>
      <c r="I32" s="68"/>
      <c r="J32" s="69"/>
      <c r="K32" s="27"/>
      <c r="L32" s="12"/>
      <c r="M32" s="46"/>
      <c r="N32" s="47"/>
    </row>
    <row r="33" spans="2:14" ht="18" customHeight="1">
      <c r="B33" s="28"/>
      <c r="C33" s="66"/>
      <c r="D33" s="67"/>
      <c r="E33" s="66"/>
      <c r="F33" s="67"/>
      <c r="G33" s="66"/>
      <c r="H33" s="67"/>
      <c r="I33" s="72"/>
      <c r="J33" s="73"/>
      <c r="K33" s="29"/>
      <c r="L33" s="30"/>
      <c r="M33" s="81"/>
      <c r="N33" s="82"/>
    </row>
  </sheetData>
  <mergeCells count="120">
    <mergeCell ref="I31:J31"/>
    <mergeCell ref="I32:J32"/>
    <mergeCell ref="I33:J33"/>
    <mergeCell ref="I27:J27"/>
    <mergeCell ref="E24:F24"/>
    <mergeCell ref="G17:H17"/>
    <mergeCell ref="I17:J17"/>
    <mergeCell ref="G18:H18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E28:F28"/>
    <mergeCell ref="E27:F27"/>
    <mergeCell ref="E26:F26"/>
    <mergeCell ref="E25:F25"/>
    <mergeCell ref="B3:B4"/>
    <mergeCell ref="G24:H24"/>
    <mergeCell ref="I24:J24"/>
    <mergeCell ref="G20:H20"/>
    <mergeCell ref="G21:H21"/>
    <mergeCell ref="I19:J19"/>
    <mergeCell ref="I20:J20"/>
    <mergeCell ref="I21:J21"/>
    <mergeCell ref="I25:J25"/>
    <mergeCell ref="E15:F15"/>
    <mergeCell ref="E14:F14"/>
    <mergeCell ref="E23:F23"/>
    <mergeCell ref="E22:F22"/>
    <mergeCell ref="E21:F21"/>
    <mergeCell ref="E20:F20"/>
    <mergeCell ref="E19:F19"/>
    <mergeCell ref="G15:H15"/>
    <mergeCell ref="I15:J15"/>
    <mergeCell ref="G16:H16"/>
    <mergeCell ref="I16:J16"/>
    <mergeCell ref="G22:H22"/>
    <mergeCell ref="G23:H23"/>
    <mergeCell ref="I28:J28"/>
    <mergeCell ref="I29:J29"/>
    <mergeCell ref="G25:H25"/>
    <mergeCell ref="G26:H26"/>
    <mergeCell ref="G27:H27"/>
    <mergeCell ref="G28:H28"/>
    <mergeCell ref="G29:H29"/>
    <mergeCell ref="I26:J26"/>
    <mergeCell ref="E33:F33"/>
    <mergeCell ref="E32:F32"/>
    <mergeCell ref="E31:F31"/>
    <mergeCell ref="E30:F30"/>
    <mergeCell ref="E29:F29"/>
    <mergeCell ref="C29:D29"/>
    <mergeCell ref="C30:D30"/>
    <mergeCell ref="C31:D31"/>
    <mergeCell ref="C32:D32"/>
    <mergeCell ref="C33:D33"/>
    <mergeCell ref="C19:D19"/>
    <mergeCell ref="C20:D20"/>
    <mergeCell ref="K28:K30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I18:J18"/>
    <mergeCell ref="G19:H19"/>
    <mergeCell ref="C24:D24"/>
    <mergeCell ref="C25:D25"/>
    <mergeCell ref="C26:D26"/>
    <mergeCell ref="C27:D27"/>
    <mergeCell ref="C28:D28"/>
    <mergeCell ref="I22:J22"/>
    <mergeCell ref="I23:J23"/>
    <mergeCell ref="G14:H14"/>
    <mergeCell ref="I14:J14"/>
    <mergeCell ref="C14:D14"/>
    <mergeCell ref="C15:D15"/>
    <mergeCell ref="K16:K18"/>
    <mergeCell ref="K22:K25"/>
    <mergeCell ref="M12:N12"/>
    <mergeCell ref="M13:N13"/>
    <mergeCell ref="C21:D21"/>
    <mergeCell ref="C22:D22"/>
    <mergeCell ref="C23:D23"/>
    <mergeCell ref="E18:F18"/>
    <mergeCell ref="E17:F17"/>
    <mergeCell ref="E16:F16"/>
    <mergeCell ref="M14:N14"/>
    <mergeCell ref="M15:N15"/>
    <mergeCell ref="M16:N16"/>
    <mergeCell ref="M17:N17"/>
    <mergeCell ref="M18:N18"/>
    <mergeCell ref="M19:N19"/>
    <mergeCell ref="M20:N20"/>
    <mergeCell ref="C16:D16"/>
    <mergeCell ref="C17:D17"/>
    <mergeCell ref="C18:D18"/>
  </mergeCells>
  <phoneticPr fontId="1" type="noConversion"/>
  <conditionalFormatting sqref="C4:H4">
    <cfRule type="expression" dxfId="65" priority="4" stopIfTrue="1">
      <formula>DAY(C4)&gt;8</formula>
    </cfRule>
  </conditionalFormatting>
  <conditionalFormatting sqref="C8:I10">
    <cfRule type="expression" dxfId="64" priority="3" stopIfTrue="1">
      <formula>AND(DAY(C8)&gt;=1,DAY(C8)&lt;=15)</formula>
    </cfRule>
  </conditionalFormatting>
  <conditionalFormatting sqref="C4:I9">
    <cfRule type="expression" dxfId="63" priority="15">
      <formula>VLOOKUP(DAY(C4),AssignmentDays,1,FALSE)=DAY(C4)</formula>
    </cfRule>
  </conditionalFormatting>
  <conditionalFormatting sqref="B14:J33">
    <cfRule type="expression" dxfId="62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 xr:uid="{00000000-0002-0000-0000-000000000000}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/>
  <cols>
    <col min="1" max="1" width="2.25" style="1" customWidth="1"/>
    <col min="2" max="2" width="12.625" style="1" customWidth="1"/>
    <col min="3" max="10" width="6.625" style="1" customWidth="1"/>
    <col min="11" max="11" width="7.25" style="1" customWidth="1"/>
    <col min="12" max="12" width="3.75" style="1" customWidth="1"/>
    <col min="13" max="13" width="51.375" style="1" customWidth="1"/>
    <col min="14" max="14" width="13" style="1" bestFit="1" customWidth="1"/>
    <col min="15" max="15" width="2.25" style="1" customWidth="1"/>
    <col min="16" max="22" width="7.75" style="1" customWidth="1"/>
    <col min="23" max="16384" width="8.62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54" t="s">
        <v>14</v>
      </c>
      <c r="L2" s="55">
        <v>2013</v>
      </c>
      <c r="M2" s="55"/>
      <c r="N2" s="61">
        <f ca="1">CalendarYear</f>
        <v>2018</v>
      </c>
    </row>
    <row r="3" spans="1:14" ht="21" customHeight="1">
      <c r="A3" s="2"/>
      <c r="B3" s="71" t="s">
        <v>32</v>
      </c>
      <c r="C3" s="7" t="s">
        <v>50</v>
      </c>
      <c r="D3" s="7" t="s">
        <v>4</v>
      </c>
      <c r="E3" s="7" t="s">
        <v>8</v>
      </c>
      <c r="F3" s="7" t="s">
        <v>6</v>
      </c>
      <c r="G3" s="7" t="s">
        <v>5</v>
      </c>
      <c r="H3" s="7" t="s">
        <v>7</v>
      </c>
      <c r="I3" s="7" t="s">
        <v>3</v>
      </c>
      <c r="J3" s="8"/>
      <c r="K3" s="56"/>
      <c r="L3" s="57"/>
      <c r="M3" s="57"/>
      <c r="N3" s="62"/>
    </row>
    <row r="4" spans="1:14" ht="18" customHeight="1">
      <c r="A4" s="2"/>
      <c r="B4" s="71"/>
      <c r="C4" s="9">
        <f ca="1">IF(DAY(OctSun1)=1,OctSun1-6,OctSun1+1)</f>
        <v>43373</v>
      </c>
      <c r="D4" s="9">
        <f ca="1">IF(DAY(OctSun1)=1,OctSun1-5,OctSun1+2)</f>
        <v>43374</v>
      </c>
      <c r="E4" s="9">
        <f ca="1">IF(DAY(OctSun1)=1,OctSun1-4,OctSun1+3)</f>
        <v>43375</v>
      </c>
      <c r="F4" s="9">
        <f ca="1">IF(DAY(OctSun1)=1,OctSun1-3,OctSun1+4)</f>
        <v>43376</v>
      </c>
      <c r="G4" s="9">
        <f ca="1">IF(DAY(OctSun1)=1,OctSun1-2,OctSun1+5)</f>
        <v>43377</v>
      </c>
      <c r="H4" s="9">
        <f ca="1">IF(DAY(OctSun1)=1,OctSun1-1,OctSun1+6)</f>
        <v>43378</v>
      </c>
      <c r="I4" s="9">
        <f ca="1">IF(DAY(OctSun1)=1,OctSun1,OctSun1+7)</f>
        <v>43379</v>
      </c>
      <c r="J4" s="8"/>
      <c r="K4" s="58" t="s">
        <v>36</v>
      </c>
      <c r="L4" s="10"/>
      <c r="M4" s="59"/>
      <c r="N4" s="60"/>
    </row>
    <row r="5" spans="1:14" ht="18" customHeight="1">
      <c r="A5" s="2"/>
      <c r="B5" s="33"/>
      <c r="C5" s="9">
        <f ca="1">IF(DAY(OctSun1)=1,OctSun1+1,OctSun1+8)</f>
        <v>43380</v>
      </c>
      <c r="D5" s="9">
        <f ca="1">IF(DAY(OctSun1)=1,OctSun1+2,OctSun1+9)</f>
        <v>43381</v>
      </c>
      <c r="E5" s="9">
        <f ca="1">IF(DAY(OctSun1)=1,OctSun1+3,OctSun1+10)</f>
        <v>43382</v>
      </c>
      <c r="F5" s="9">
        <f ca="1">IF(DAY(OctSun1)=1,OctSun1+4,OctSun1+11)</f>
        <v>43383</v>
      </c>
      <c r="G5" s="9">
        <f ca="1">IF(DAY(OctSun1)=1,OctSun1+5,OctSun1+12)</f>
        <v>43384</v>
      </c>
      <c r="H5" s="9">
        <f ca="1">IF(DAY(OctSun1)=1,OctSun1+6,OctSun1+13)</f>
        <v>43385</v>
      </c>
      <c r="I5" s="9">
        <f ca="1">IF(DAY(OctSun1)=1,OctSun1+7,OctSun1+14)</f>
        <v>43386</v>
      </c>
      <c r="J5" s="8"/>
      <c r="K5" s="45"/>
      <c r="L5" s="12"/>
      <c r="M5" s="46"/>
      <c r="N5" s="47"/>
    </row>
    <row r="6" spans="1:14" ht="18" customHeight="1">
      <c r="A6" s="2"/>
      <c r="B6" s="33"/>
      <c r="C6" s="9">
        <f ca="1">IF(DAY(OctSun1)=1,OctSun1+8,OctSun1+15)</f>
        <v>43387</v>
      </c>
      <c r="D6" s="9">
        <f ca="1">IF(DAY(OctSun1)=1,OctSun1+9,OctSun1+16)</f>
        <v>43388</v>
      </c>
      <c r="E6" s="9">
        <f ca="1">IF(DAY(OctSun1)=1,OctSun1+10,OctSun1+17)</f>
        <v>43389</v>
      </c>
      <c r="F6" s="9">
        <f ca="1">IF(DAY(OctSun1)=1,OctSun1+11,OctSun1+18)</f>
        <v>43390</v>
      </c>
      <c r="G6" s="9">
        <f ca="1">IF(DAY(OctSun1)=1,OctSun1+12,OctSun1+19)</f>
        <v>43391</v>
      </c>
      <c r="H6" s="9">
        <f ca="1">IF(DAY(OctSun1)=1,OctSun1+13,OctSun1+20)</f>
        <v>43392</v>
      </c>
      <c r="I6" s="9">
        <f ca="1">IF(DAY(OctSun1)=1,OctSun1+14,OctSun1+21)</f>
        <v>43393</v>
      </c>
      <c r="J6" s="8"/>
      <c r="K6" s="45"/>
      <c r="L6" s="12"/>
      <c r="M6" s="46"/>
      <c r="N6" s="47"/>
    </row>
    <row r="7" spans="1:14" ht="18" customHeight="1">
      <c r="A7" s="2"/>
      <c r="B7" s="33"/>
      <c r="C7" s="9">
        <f ca="1">IF(DAY(OctSun1)=1,OctSun1+15,OctSun1+22)</f>
        <v>43394</v>
      </c>
      <c r="D7" s="9">
        <f ca="1">IF(DAY(OctSun1)=1,OctSun1+16,OctSun1+23)</f>
        <v>43395</v>
      </c>
      <c r="E7" s="9">
        <f ca="1">IF(DAY(OctSun1)=1,OctSun1+17,OctSun1+24)</f>
        <v>43396</v>
      </c>
      <c r="F7" s="9">
        <f ca="1">IF(DAY(OctSun1)=1,OctSun1+18,OctSun1+25)</f>
        <v>43397</v>
      </c>
      <c r="G7" s="9">
        <f ca="1">IF(DAY(OctSun1)=1,OctSun1+19,OctSun1+26)</f>
        <v>43398</v>
      </c>
      <c r="H7" s="9">
        <f ca="1">IF(DAY(OctSun1)=1,OctSun1+20,OctSun1+27)</f>
        <v>43399</v>
      </c>
      <c r="I7" s="9">
        <f ca="1">IF(DAY(OctSun1)=1,OctSun1+21,OctSun1+28)</f>
        <v>43400</v>
      </c>
      <c r="J7" s="8"/>
      <c r="K7" s="13"/>
      <c r="L7" s="12"/>
      <c r="M7" s="46"/>
      <c r="N7" s="47"/>
    </row>
    <row r="8" spans="1:14" ht="18.75" customHeight="1">
      <c r="A8" s="2"/>
      <c r="B8" s="33"/>
      <c r="C8" s="9">
        <f ca="1">IF(DAY(OctSun1)=1,OctSun1+22,OctSun1+29)</f>
        <v>43401</v>
      </c>
      <c r="D8" s="9">
        <f ca="1">IF(DAY(OctSun1)=1,OctSun1+23,OctSun1+30)</f>
        <v>43402</v>
      </c>
      <c r="E8" s="9">
        <f ca="1">IF(DAY(OctSun1)=1,OctSun1+24,OctSun1+31)</f>
        <v>43403</v>
      </c>
      <c r="F8" s="9">
        <f ca="1">IF(DAY(OctSun1)=1,OctSun1+25,OctSun1+32)</f>
        <v>43404</v>
      </c>
      <c r="G8" s="9">
        <f ca="1">IF(DAY(OctSun1)=1,OctSun1+26,OctSun1+33)</f>
        <v>43405</v>
      </c>
      <c r="H8" s="9">
        <f ca="1">IF(DAY(OctSun1)=1,OctSun1+27,OctSun1+34)</f>
        <v>43406</v>
      </c>
      <c r="I8" s="9">
        <f ca="1">IF(DAY(OctSun1)=1,OctSun1+28,OctSun1+35)</f>
        <v>43407</v>
      </c>
      <c r="J8" s="8"/>
      <c r="K8" s="13"/>
      <c r="L8" s="12"/>
      <c r="M8" s="46"/>
      <c r="N8" s="47"/>
    </row>
    <row r="9" spans="1:14" ht="18" customHeight="1">
      <c r="A9" s="2"/>
      <c r="B9" s="33"/>
      <c r="C9" s="9">
        <f ca="1">IF(DAY(OctSun1)=1,OctSun1+29,OctSun1+36)</f>
        <v>43408</v>
      </c>
      <c r="D9" s="9">
        <f ca="1">IF(DAY(OctSun1)=1,OctSun1+30,OctSun1+37)</f>
        <v>43409</v>
      </c>
      <c r="E9" s="9">
        <f ca="1">IF(DAY(OctSun1)=1,OctSun1+31,OctSun1+38)</f>
        <v>43410</v>
      </c>
      <c r="F9" s="9">
        <f ca="1">IF(DAY(OctSun1)=1,OctSun1+32,OctSun1+39)</f>
        <v>43411</v>
      </c>
      <c r="G9" s="9">
        <f ca="1">IF(DAY(OctSun1)=1,OctSun1+33,OctSun1+40)</f>
        <v>43412</v>
      </c>
      <c r="H9" s="9">
        <f ca="1">IF(DAY(OctSun1)=1,OctSun1+34,OctSun1+41)</f>
        <v>43413</v>
      </c>
      <c r="I9" s="9">
        <f ca="1">IF(DAY(OctSun1)=1,OctSun1+35,OctSun1+42)</f>
        <v>43414</v>
      </c>
      <c r="J9" s="8"/>
      <c r="K9" s="14"/>
      <c r="L9" s="15"/>
      <c r="M9" s="50"/>
      <c r="N9" s="51"/>
    </row>
    <row r="10" spans="1:14" ht="18" customHeight="1">
      <c r="A10" s="2"/>
      <c r="B10" s="34"/>
      <c r="C10" s="17"/>
      <c r="D10" s="17"/>
      <c r="E10" s="17"/>
      <c r="F10" s="17"/>
      <c r="G10" s="17"/>
      <c r="H10" s="17"/>
      <c r="I10" s="17"/>
      <c r="J10" s="18"/>
      <c r="K10" s="44" t="s">
        <v>37</v>
      </c>
      <c r="L10" s="10"/>
      <c r="M10" s="52"/>
      <c r="N10" s="53"/>
    </row>
    <row r="11" spans="1:14" ht="18" customHeight="1">
      <c r="A11" s="2"/>
      <c r="B11" s="78" t="s">
        <v>22</v>
      </c>
      <c r="C11" s="83"/>
      <c r="D11" s="83"/>
      <c r="E11" s="83"/>
      <c r="F11" s="83"/>
      <c r="G11" s="83"/>
      <c r="H11" s="83"/>
      <c r="I11" s="83"/>
      <c r="J11" s="80"/>
      <c r="K11" s="45"/>
      <c r="L11" s="12"/>
      <c r="M11" s="46"/>
      <c r="N11" s="47"/>
    </row>
    <row r="12" spans="1:14" ht="18" customHeight="1">
      <c r="A12" s="2"/>
      <c r="B12" s="78"/>
      <c r="C12" s="83"/>
      <c r="D12" s="83"/>
      <c r="E12" s="83"/>
      <c r="F12" s="83"/>
      <c r="G12" s="83"/>
      <c r="H12" s="83"/>
      <c r="I12" s="83"/>
      <c r="J12" s="80"/>
      <c r="K12" s="45"/>
      <c r="L12" s="12"/>
      <c r="M12" s="46"/>
      <c r="N12" s="47"/>
    </row>
    <row r="13" spans="1:14" ht="18" customHeight="1">
      <c r="B13" s="19" t="s">
        <v>36</v>
      </c>
      <c r="C13" s="20" t="s">
        <v>37</v>
      </c>
      <c r="D13" s="21"/>
      <c r="E13" s="20" t="s">
        <v>38</v>
      </c>
      <c r="F13" s="21"/>
      <c r="G13" s="20" t="s">
        <v>39</v>
      </c>
      <c r="H13" s="21"/>
      <c r="I13" s="20" t="s">
        <v>40</v>
      </c>
      <c r="J13" s="22"/>
      <c r="K13" s="13"/>
      <c r="L13" s="12"/>
      <c r="M13" s="46"/>
      <c r="N13" s="47"/>
    </row>
    <row r="14" spans="1:14" ht="18" customHeight="1">
      <c r="B14" s="31" t="s">
        <v>0</v>
      </c>
      <c r="C14" s="39"/>
      <c r="D14" s="40"/>
      <c r="E14" s="39" t="s">
        <v>0</v>
      </c>
      <c r="F14" s="40"/>
      <c r="G14" s="39"/>
      <c r="H14" s="40"/>
      <c r="I14" s="39" t="s">
        <v>0</v>
      </c>
      <c r="J14" s="41"/>
      <c r="K14" s="13"/>
      <c r="L14" s="12"/>
      <c r="M14" s="46"/>
      <c r="N14" s="47"/>
    </row>
    <row r="15" spans="1:14" ht="18" customHeight="1">
      <c r="B15" s="24" t="s">
        <v>41</v>
      </c>
      <c r="C15" s="42"/>
      <c r="D15" s="43"/>
      <c r="E15" s="42" t="s">
        <v>41</v>
      </c>
      <c r="F15" s="43"/>
      <c r="G15" s="42"/>
      <c r="H15" s="43"/>
      <c r="I15" s="64" t="s">
        <v>41</v>
      </c>
      <c r="J15" s="65"/>
      <c r="K15" s="25"/>
      <c r="L15" s="26"/>
      <c r="M15" s="50"/>
      <c r="N15" s="51"/>
    </row>
    <row r="16" spans="1:14" ht="18" customHeight="1">
      <c r="B16" s="31"/>
      <c r="C16" s="39" t="s">
        <v>1</v>
      </c>
      <c r="D16" s="40"/>
      <c r="E16" s="39"/>
      <c r="F16" s="40"/>
      <c r="G16" s="39" t="s">
        <v>1</v>
      </c>
      <c r="H16" s="40"/>
      <c r="I16" s="68"/>
      <c r="J16" s="69"/>
      <c r="K16" s="44" t="s">
        <v>38</v>
      </c>
      <c r="L16" s="10"/>
      <c r="M16" s="52"/>
      <c r="N16" s="53"/>
    </row>
    <row r="17" spans="2:14" ht="18" customHeight="1">
      <c r="B17" s="24"/>
      <c r="C17" s="42" t="s">
        <v>42</v>
      </c>
      <c r="D17" s="43"/>
      <c r="E17" s="42"/>
      <c r="F17" s="43"/>
      <c r="G17" s="42" t="s">
        <v>42</v>
      </c>
      <c r="H17" s="43"/>
      <c r="I17" s="64"/>
      <c r="J17" s="65"/>
      <c r="K17" s="45"/>
      <c r="L17" s="12"/>
      <c r="M17" s="46"/>
      <c r="N17" s="47"/>
    </row>
    <row r="18" spans="2:14" ht="18" customHeight="1">
      <c r="B18" s="32" t="s">
        <v>2</v>
      </c>
      <c r="C18" s="48"/>
      <c r="D18" s="49"/>
      <c r="E18" s="48" t="s">
        <v>2</v>
      </c>
      <c r="F18" s="49"/>
      <c r="G18" s="48"/>
      <c r="H18" s="49"/>
      <c r="I18" s="48" t="s">
        <v>2</v>
      </c>
      <c r="J18" s="63"/>
      <c r="K18" s="45"/>
      <c r="L18" s="12"/>
      <c r="M18" s="46"/>
      <c r="N18" s="47"/>
    </row>
    <row r="19" spans="2:14" ht="18" customHeight="1">
      <c r="B19" s="24" t="s">
        <v>43</v>
      </c>
      <c r="C19" s="42"/>
      <c r="D19" s="43"/>
      <c r="E19" s="42" t="s">
        <v>43</v>
      </c>
      <c r="F19" s="43"/>
      <c r="G19" s="42"/>
      <c r="H19" s="43"/>
      <c r="I19" s="64" t="s">
        <v>43</v>
      </c>
      <c r="J19" s="65"/>
      <c r="K19" s="13"/>
      <c r="L19" s="12"/>
      <c r="M19" s="46"/>
      <c r="N19" s="47"/>
    </row>
    <row r="20" spans="2:14" ht="18" customHeight="1">
      <c r="B20" s="31"/>
      <c r="C20" s="39"/>
      <c r="D20" s="40"/>
      <c r="E20" s="39"/>
      <c r="F20" s="40"/>
      <c r="G20" s="39"/>
      <c r="H20" s="40"/>
      <c r="I20" s="39"/>
      <c r="J20" s="41"/>
      <c r="K20" s="13"/>
      <c r="L20" s="12"/>
      <c r="M20" s="46"/>
      <c r="N20" s="47"/>
    </row>
    <row r="21" spans="2:14" ht="18" customHeight="1">
      <c r="B21" s="24"/>
      <c r="C21" s="42"/>
      <c r="D21" s="43"/>
      <c r="E21" s="42"/>
      <c r="F21" s="43"/>
      <c r="G21" s="42"/>
      <c r="H21" s="43"/>
      <c r="I21" s="42"/>
      <c r="J21" s="70"/>
      <c r="K21" s="25"/>
      <c r="L21" s="26"/>
      <c r="M21" s="50"/>
      <c r="N21" s="51"/>
    </row>
    <row r="22" spans="2:14" ht="18" customHeight="1">
      <c r="B22" s="31"/>
      <c r="C22" s="39"/>
      <c r="D22" s="40"/>
      <c r="E22" s="39"/>
      <c r="F22" s="40"/>
      <c r="G22" s="39"/>
      <c r="H22" s="40"/>
      <c r="I22" s="39"/>
      <c r="J22" s="41"/>
      <c r="K22" s="44" t="s">
        <v>39</v>
      </c>
      <c r="L22" s="10"/>
      <c r="M22" s="52"/>
      <c r="N22" s="53"/>
    </row>
    <row r="23" spans="2:14" ht="18" customHeight="1">
      <c r="B23" s="24"/>
      <c r="C23" s="42"/>
      <c r="D23" s="43"/>
      <c r="E23" s="42"/>
      <c r="F23" s="43"/>
      <c r="G23" s="42"/>
      <c r="H23" s="43"/>
      <c r="I23" s="64"/>
      <c r="J23" s="65"/>
      <c r="K23" s="45"/>
      <c r="L23" s="12"/>
      <c r="M23" s="46"/>
      <c r="N23" s="47"/>
    </row>
    <row r="24" spans="2:14" ht="18" customHeight="1">
      <c r="B24" s="31"/>
      <c r="C24" s="39"/>
      <c r="D24" s="40"/>
      <c r="E24" s="39"/>
      <c r="F24" s="40"/>
      <c r="G24" s="39"/>
      <c r="H24" s="40"/>
      <c r="I24" s="39"/>
      <c r="J24" s="41"/>
      <c r="K24" s="45"/>
      <c r="L24" s="12"/>
      <c r="M24" s="46"/>
      <c r="N24" s="47"/>
    </row>
    <row r="25" spans="2:14" ht="18" customHeight="1">
      <c r="B25" s="24"/>
      <c r="C25" s="42"/>
      <c r="D25" s="43"/>
      <c r="E25" s="42"/>
      <c r="F25" s="43"/>
      <c r="G25" s="42"/>
      <c r="H25" s="43"/>
      <c r="I25" s="64"/>
      <c r="J25" s="65"/>
      <c r="K25" s="45"/>
      <c r="L25" s="12"/>
      <c r="M25" s="46"/>
      <c r="N25" s="47"/>
    </row>
    <row r="26" spans="2:14" ht="18" customHeight="1">
      <c r="B26" s="38">
        <v>0.58333333333333337</v>
      </c>
      <c r="C26" s="39"/>
      <c r="D26" s="40"/>
      <c r="E26" s="84">
        <v>0.58333333333333337</v>
      </c>
      <c r="F26" s="40"/>
      <c r="G26" s="39"/>
      <c r="H26" s="40"/>
      <c r="I26" s="84">
        <v>0.58333333333333337</v>
      </c>
      <c r="J26" s="41"/>
      <c r="K26" s="13"/>
      <c r="L26" s="12"/>
      <c r="M26" s="46"/>
      <c r="N26" s="47"/>
    </row>
    <row r="27" spans="2:14" ht="18" customHeight="1">
      <c r="B27" s="24" t="s">
        <v>44</v>
      </c>
      <c r="C27" s="42"/>
      <c r="D27" s="43"/>
      <c r="E27" s="42" t="s">
        <v>44</v>
      </c>
      <c r="F27" s="43"/>
      <c r="G27" s="42"/>
      <c r="H27" s="43"/>
      <c r="I27" s="64" t="s">
        <v>44</v>
      </c>
      <c r="J27" s="65"/>
      <c r="K27" s="25"/>
      <c r="L27" s="26"/>
      <c r="M27" s="50"/>
      <c r="N27" s="51"/>
    </row>
    <row r="28" spans="2:14" ht="18" customHeight="1">
      <c r="B28" s="31"/>
      <c r="C28" s="39"/>
      <c r="D28" s="40"/>
      <c r="E28" s="39"/>
      <c r="F28" s="40"/>
      <c r="G28" s="39"/>
      <c r="H28" s="40"/>
      <c r="I28" s="39"/>
      <c r="J28" s="41"/>
      <c r="K28" s="44" t="s">
        <v>40</v>
      </c>
      <c r="L28" s="10"/>
      <c r="M28" s="52"/>
      <c r="N28" s="53"/>
    </row>
    <row r="29" spans="2:14" ht="18" customHeight="1">
      <c r="B29" s="24"/>
      <c r="C29" s="42"/>
      <c r="D29" s="43"/>
      <c r="E29" s="42"/>
      <c r="F29" s="43"/>
      <c r="G29" s="42"/>
      <c r="H29" s="43"/>
      <c r="I29" s="42"/>
      <c r="J29" s="70"/>
      <c r="K29" s="45"/>
      <c r="L29" s="12"/>
      <c r="M29" s="46"/>
      <c r="N29" s="47"/>
    </row>
    <row r="30" spans="2:14" ht="18" customHeight="1">
      <c r="B30" s="31"/>
      <c r="C30" s="39" t="s">
        <v>57</v>
      </c>
      <c r="D30" s="40"/>
      <c r="E30" s="39"/>
      <c r="F30" s="40"/>
      <c r="G30" s="39" t="s">
        <v>57</v>
      </c>
      <c r="H30" s="40"/>
      <c r="I30" s="39"/>
      <c r="J30" s="41"/>
      <c r="K30" s="45"/>
      <c r="L30" s="12"/>
      <c r="M30" s="46"/>
      <c r="N30" s="47"/>
    </row>
    <row r="31" spans="2:14" ht="18" customHeight="1">
      <c r="B31" s="24"/>
      <c r="C31" s="42" t="s">
        <v>45</v>
      </c>
      <c r="D31" s="43"/>
      <c r="E31" s="42"/>
      <c r="F31" s="43"/>
      <c r="G31" s="42" t="s">
        <v>45</v>
      </c>
      <c r="H31" s="43"/>
      <c r="I31" s="42"/>
      <c r="J31" s="70"/>
      <c r="K31" s="27"/>
      <c r="L31" s="12"/>
      <c r="M31" s="46"/>
      <c r="N31" s="47"/>
    </row>
    <row r="32" spans="2:14" ht="18" customHeight="1">
      <c r="B32" s="23"/>
      <c r="C32" s="85"/>
      <c r="D32" s="86"/>
      <c r="E32" s="85"/>
      <c r="F32" s="86"/>
      <c r="G32" s="85"/>
      <c r="H32" s="86"/>
      <c r="I32" s="87"/>
      <c r="J32" s="88"/>
      <c r="K32" s="27"/>
      <c r="L32" s="12"/>
      <c r="M32" s="46"/>
      <c r="N32" s="47"/>
    </row>
    <row r="33" spans="2:14" ht="18" customHeight="1">
      <c r="B33" s="28"/>
      <c r="C33" s="66"/>
      <c r="D33" s="67"/>
      <c r="E33" s="66"/>
      <c r="F33" s="67"/>
      <c r="G33" s="66"/>
      <c r="H33" s="67"/>
      <c r="I33" s="72"/>
      <c r="J33" s="73"/>
      <c r="K33" s="29"/>
      <c r="L33" s="30"/>
      <c r="M33" s="81"/>
      <c r="N33" s="82"/>
    </row>
  </sheetData>
  <mergeCells count="119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13" priority="5" stopIfTrue="1">
      <formula>DAY(C4)&gt;8</formula>
    </cfRule>
  </conditionalFormatting>
  <conditionalFormatting sqref="C8:I10">
    <cfRule type="expression" dxfId="12" priority="4" stopIfTrue="1">
      <formula>AND(DAY(C8)&gt;=1,DAY(C8)&lt;=15)</formula>
    </cfRule>
  </conditionalFormatting>
  <conditionalFormatting sqref="C4:I9">
    <cfRule type="expression" dxfId="11" priority="6">
      <formula>VLOOKUP(DAY(C4),AssignmentDays,1,FALSE)=DAY(C4)</formula>
    </cfRule>
  </conditionalFormatting>
  <conditionalFormatting sqref="B14:J29 B31:J33 B30 E30:F30 I30:J30">
    <cfRule type="expression" dxfId="10" priority="3">
      <formula>B14&lt;&gt;""</formula>
    </cfRule>
  </conditionalFormatting>
  <conditionalFormatting sqref="C30:D30">
    <cfRule type="expression" dxfId="9" priority="2">
      <formula>C30&lt;&gt;""</formula>
    </cfRule>
  </conditionalFormatting>
  <conditionalFormatting sqref="G30:H30">
    <cfRule type="expression" dxfId="8" priority="1">
      <formula>G30&lt;&gt;""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/>
  <cols>
    <col min="1" max="1" width="2.25" style="1" customWidth="1"/>
    <col min="2" max="2" width="12.625" style="1" customWidth="1"/>
    <col min="3" max="10" width="6.625" style="1" customWidth="1"/>
    <col min="11" max="11" width="7.25" style="1" customWidth="1"/>
    <col min="12" max="12" width="3.75" style="1" customWidth="1"/>
    <col min="13" max="13" width="51.375" style="1" customWidth="1"/>
    <col min="14" max="14" width="13" style="1" bestFit="1" customWidth="1"/>
    <col min="15" max="15" width="2.25" style="1" customWidth="1"/>
    <col min="16" max="22" width="7.75" style="1" customWidth="1"/>
    <col min="23" max="16384" width="8.62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54" t="s">
        <v>12</v>
      </c>
      <c r="L2" s="55">
        <v>2013</v>
      </c>
      <c r="M2" s="55"/>
      <c r="N2" s="61">
        <f ca="1">CalendarYear</f>
        <v>2018</v>
      </c>
    </row>
    <row r="3" spans="1:14" ht="21" customHeight="1">
      <c r="A3" s="2"/>
      <c r="B3" s="71" t="s">
        <v>33</v>
      </c>
      <c r="C3" s="7" t="s">
        <v>50</v>
      </c>
      <c r="D3" s="7" t="s">
        <v>4</v>
      </c>
      <c r="E3" s="7" t="s">
        <v>8</v>
      </c>
      <c r="F3" s="7" t="s">
        <v>6</v>
      </c>
      <c r="G3" s="7" t="s">
        <v>5</v>
      </c>
      <c r="H3" s="7" t="s">
        <v>7</v>
      </c>
      <c r="I3" s="7" t="s">
        <v>3</v>
      </c>
      <c r="J3" s="8"/>
      <c r="K3" s="56"/>
      <c r="L3" s="57"/>
      <c r="M3" s="57"/>
      <c r="N3" s="62"/>
    </row>
    <row r="4" spans="1:14" ht="18" customHeight="1">
      <c r="A4" s="2"/>
      <c r="B4" s="71"/>
      <c r="C4" s="9">
        <f ca="1">IF(DAY(NovSun1)=1,NovSun1-6,NovSun1+1)</f>
        <v>43401</v>
      </c>
      <c r="D4" s="9">
        <f ca="1">IF(DAY(NovSun1)=1,NovSun1-5,NovSun1+2)</f>
        <v>43402</v>
      </c>
      <c r="E4" s="9">
        <f ca="1">IF(DAY(NovSun1)=1,NovSun1-4,NovSun1+3)</f>
        <v>43403</v>
      </c>
      <c r="F4" s="9">
        <f ca="1">IF(DAY(NovSun1)=1,NovSun1-3,NovSun1+4)</f>
        <v>43404</v>
      </c>
      <c r="G4" s="9">
        <f ca="1">IF(DAY(NovSun1)=1,NovSun1-2,NovSun1+5)</f>
        <v>43405</v>
      </c>
      <c r="H4" s="9">
        <f ca="1">IF(DAY(NovSun1)=1,NovSun1-1,NovSun1+6)</f>
        <v>43406</v>
      </c>
      <c r="I4" s="9">
        <f ca="1">IF(DAY(NovSun1)=1,NovSun1,NovSun1+7)</f>
        <v>43407</v>
      </c>
      <c r="J4" s="8"/>
      <c r="K4" s="58" t="s">
        <v>36</v>
      </c>
      <c r="L4" s="10"/>
      <c r="M4" s="59"/>
      <c r="N4" s="60"/>
    </row>
    <row r="5" spans="1:14" ht="18" customHeight="1">
      <c r="A5" s="2"/>
      <c r="B5" s="33"/>
      <c r="C5" s="9">
        <f ca="1">IF(DAY(NovSun1)=1,NovSun1+1,NovSun1+8)</f>
        <v>43408</v>
      </c>
      <c r="D5" s="9">
        <f ca="1">IF(DAY(NovSun1)=1,NovSun1+2,NovSun1+9)</f>
        <v>43409</v>
      </c>
      <c r="E5" s="9">
        <f ca="1">IF(DAY(NovSun1)=1,NovSun1+3,NovSun1+10)</f>
        <v>43410</v>
      </c>
      <c r="F5" s="9">
        <f ca="1">IF(DAY(NovSun1)=1,NovSun1+4,NovSun1+11)</f>
        <v>43411</v>
      </c>
      <c r="G5" s="9">
        <f ca="1">IF(DAY(NovSun1)=1,NovSun1+5,NovSun1+12)</f>
        <v>43412</v>
      </c>
      <c r="H5" s="9">
        <f ca="1">IF(DAY(NovSun1)=1,NovSun1+6,NovSun1+13)</f>
        <v>43413</v>
      </c>
      <c r="I5" s="9">
        <f ca="1">IF(DAY(NovSun1)=1,NovSun1+7,NovSun1+14)</f>
        <v>43414</v>
      </c>
      <c r="J5" s="8"/>
      <c r="K5" s="45"/>
      <c r="L5" s="12"/>
      <c r="M5" s="46"/>
      <c r="N5" s="47"/>
    </row>
    <row r="6" spans="1:14" ht="18" customHeight="1">
      <c r="A6" s="2"/>
      <c r="B6" s="33"/>
      <c r="C6" s="9">
        <f ca="1">IF(DAY(NovSun1)=1,NovSun1+8,NovSun1+15)</f>
        <v>43415</v>
      </c>
      <c r="D6" s="9">
        <f ca="1">IF(DAY(NovSun1)=1,NovSun1+9,NovSun1+16)</f>
        <v>43416</v>
      </c>
      <c r="E6" s="9">
        <f ca="1">IF(DAY(NovSun1)=1,NovSun1+10,NovSun1+17)</f>
        <v>43417</v>
      </c>
      <c r="F6" s="9">
        <f ca="1">IF(DAY(NovSun1)=1,NovSun1+11,NovSun1+18)</f>
        <v>43418</v>
      </c>
      <c r="G6" s="9">
        <f ca="1">IF(DAY(NovSun1)=1,NovSun1+12,NovSun1+19)</f>
        <v>43419</v>
      </c>
      <c r="H6" s="9">
        <f ca="1">IF(DAY(NovSun1)=1,NovSun1+13,NovSun1+20)</f>
        <v>43420</v>
      </c>
      <c r="I6" s="9">
        <f ca="1">IF(DAY(NovSun1)=1,NovSun1+14,NovSun1+21)</f>
        <v>43421</v>
      </c>
      <c r="J6" s="8"/>
      <c r="K6" s="45"/>
      <c r="L6" s="12"/>
      <c r="M6" s="46"/>
      <c r="N6" s="47"/>
    </row>
    <row r="7" spans="1:14" ht="18" customHeight="1">
      <c r="A7" s="2"/>
      <c r="B7" s="33"/>
      <c r="C7" s="9">
        <f ca="1">IF(DAY(NovSun1)=1,NovSun1+15,NovSun1+22)</f>
        <v>43422</v>
      </c>
      <c r="D7" s="9">
        <f ca="1">IF(DAY(NovSun1)=1,NovSun1+16,NovSun1+23)</f>
        <v>43423</v>
      </c>
      <c r="E7" s="9">
        <f ca="1">IF(DAY(NovSun1)=1,NovSun1+17,NovSun1+24)</f>
        <v>43424</v>
      </c>
      <c r="F7" s="9">
        <f ca="1">IF(DAY(NovSun1)=1,NovSun1+18,NovSun1+25)</f>
        <v>43425</v>
      </c>
      <c r="G7" s="9">
        <f ca="1">IF(DAY(NovSun1)=1,NovSun1+19,NovSun1+26)</f>
        <v>43426</v>
      </c>
      <c r="H7" s="9">
        <f ca="1">IF(DAY(NovSun1)=1,NovSun1+20,NovSun1+27)</f>
        <v>43427</v>
      </c>
      <c r="I7" s="9">
        <f ca="1">IF(DAY(NovSun1)=1,NovSun1+21,NovSun1+28)</f>
        <v>43428</v>
      </c>
      <c r="J7" s="8"/>
      <c r="K7" s="13"/>
      <c r="L7" s="12"/>
      <c r="M7" s="46"/>
      <c r="N7" s="47"/>
    </row>
    <row r="8" spans="1:14" ht="18.75" customHeight="1">
      <c r="A8" s="2"/>
      <c r="B8" s="33"/>
      <c r="C8" s="9">
        <f ca="1">IF(DAY(NovSun1)=1,NovSun1+22,NovSun1+29)</f>
        <v>43429</v>
      </c>
      <c r="D8" s="9">
        <f ca="1">IF(DAY(NovSun1)=1,NovSun1+23,NovSun1+30)</f>
        <v>43430</v>
      </c>
      <c r="E8" s="9">
        <f ca="1">IF(DAY(NovSun1)=1,NovSun1+24,NovSun1+31)</f>
        <v>43431</v>
      </c>
      <c r="F8" s="9">
        <f ca="1">IF(DAY(NovSun1)=1,NovSun1+25,NovSun1+32)</f>
        <v>43432</v>
      </c>
      <c r="G8" s="9">
        <f ca="1">IF(DAY(NovSun1)=1,NovSun1+26,NovSun1+33)</f>
        <v>43433</v>
      </c>
      <c r="H8" s="9">
        <f ca="1">IF(DAY(NovSun1)=1,NovSun1+27,NovSun1+34)</f>
        <v>43434</v>
      </c>
      <c r="I8" s="9">
        <f ca="1">IF(DAY(NovSun1)=1,NovSun1+28,NovSun1+35)</f>
        <v>43435</v>
      </c>
      <c r="J8" s="8"/>
      <c r="K8" s="13"/>
      <c r="L8" s="12"/>
      <c r="M8" s="46"/>
      <c r="N8" s="47"/>
    </row>
    <row r="9" spans="1:14" ht="18" customHeight="1">
      <c r="A9" s="2"/>
      <c r="B9" s="33"/>
      <c r="C9" s="9">
        <f ca="1">IF(DAY(NovSun1)=1,NovSun1+29,NovSun1+36)</f>
        <v>43436</v>
      </c>
      <c r="D9" s="9">
        <f ca="1">IF(DAY(NovSun1)=1,NovSun1+30,NovSun1+37)</f>
        <v>43437</v>
      </c>
      <c r="E9" s="9">
        <f ca="1">IF(DAY(NovSun1)=1,NovSun1+31,NovSun1+38)</f>
        <v>43438</v>
      </c>
      <c r="F9" s="9">
        <f ca="1">IF(DAY(NovSun1)=1,NovSun1+32,NovSun1+39)</f>
        <v>43439</v>
      </c>
      <c r="G9" s="9">
        <f ca="1">IF(DAY(NovSun1)=1,NovSun1+33,NovSun1+40)</f>
        <v>43440</v>
      </c>
      <c r="H9" s="9">
        <f ca="1">IF(DAY(NovSun1)=1,NovSun1+34,NovSun1+41)</f>
        <v>43441</v>
      </c>
      <c r="I9" s="9">
        <f ca="1">IF(DAY(NovSun1)=1,NovSun1+35,NovSun1+42)</f>
        <v>43442</v>
      </c>
      <c r="J9" s="8"/>
      <c r="K9" s="14"/>
      <c r="L9" s="15"/>
      <c r="M9" s="50"/>
      <c r="N9" s="51"/>
    </row>
    <row r="10" spans="1:14" ht="18" customHeight="1">
      <c r="A10" s="2"/>
      <c r="B10" s="34"/>
      <c r="C10" s="17"/>
      <c r="D10" s="17"/>
      <c r="E10" s="17"/>
      <c r="F10" s="17"/>
      <c r="G10" s="17"/>
      <c r="H10" s="17"/>
      <c r="I10" s="17"/>
      <c r="J10" s="18"/>
      <c r="K10" s="44" t="s">
        <v>37</v>
      </c>
      <c r="L10" s="10"/>
      <c r="M10" s="52"/>
      <c r="N10" s="53"/>
    </row>
    <row r="11" spans="1:14" ht="18" customHeight="1">
      <c r="A11" s="2"/>
      <c r="B11" s="78" t="s">
        <v>23</v>
      </c>
      <c r="C11" s="83"/>
      <c r="D11" s="83"/>
      <c r="E11" s="83"/>
      <c r="F11" s="83"/>
      <c r="G11" s="83"/>
      <c r="H11" s="83"/>
      <c r="I11" s="83"/>
      <c r="J11" s="80"/>
      <c r="K11" s="45"/>
      <c r="L11" s="12"/>
      <c r="M11" s="46"/>
      <c r="N11" s="47"/>
    </row>
    <row r="12" spans="1:14" ht="18" customHeight="1">
      <c r="A12" s="2"/>
      <c r="B12" s="78"/>
      <c r="C12" s="83"/>
      <c r="D12" s="83"/>
      <c r="E12" s="83"/>
      <c r="F12" s="83"/>
      <c r="G12" s="83"/>
      <c r="H12" s="83"/>
      <c r="I12" s="83"/>
      <c r="J12" s="80"/>
      <c r="K12" s="45"/>
      <c r="L12" s="12"/>
      <c r="M12" s="46"/>
      <c r="N12" s="47"/>
    </row>
    <row r="13" spans="1:14" ht="18" customHeight="1">
      <c r="B13" s="19" t="s">
        <v>36</v>
      </c>
      <c r="C13" s="20" t="s">
        <v>37</v>
      </c>
      <c r="D13" s="21"/>
      <c r="E13" s="20" t="s">
        <v>38</v>
      </c>
      <c r="F13" s="21"/>
      <c r="G13" s="20" t="s">
        <v>39</v>
      </c>
      <c r="H13" s="21"/>
      <c r="I13" s="20" t="s">
        <v>40</v>
      </c>
      <c r="J13" s="22"/>
      <c r="K13" s="13"/>
      <c r="L13" s="12"/>
      <c r="M13" s="46"/>
      <c r="N13" s="47"/>
    </row>
    <row r="14" spans="1:14" ht="18" customHeight="1">
      <c r="B14" s="31" t="s">
        <v>0</v>
      </c>
      <c r="C14" s="39"/>
      <c r="D14" s="40"/>
      <c r="E14" s="39" t="s">
        <v>0</v>
      </c>
      <c r="F14" s="40"/>
      <c r="G14" s="39"/>
      <c r="H14" s="40"/>
      <c r="I14" s="39" t="s">
        <v>0</v>
      </c>
      <c r="J14" s="41"/>
      <c r="K14" s="13"/>
      <c r="L14" s="12"/>
      <c r="M14" s="46"/>
      <c r="N14" s="47"/>
    </row>
    <row r="15" spans="1:14" ht="18" customHeight="1">
      <c r="B15" s="24" t="s">
        <v>41</v>
      </c>
      <c r="C15" s="42"/>
      <c r="D15" s="43"/>
      <c r="E15" s="42" t="s">
        <v>41</v>
      </c>
      <c r="F15" s="43"/>
      <c r="G15" s="42"/>
      <c r="H15" s="43"/>
      <c r="I15" s="64" t="s">
        <v>41</v>
      </c>
      <c r="J15" s="65"/>
      <c r="K15" s="25"/>
      <c r="L15" s="26"/>
      <c r="M15" s="50"/>
      <c r="N15" s="51"/>
    </row>
    <row r="16" spans="1:14" ht="18" customHeight="1">
      <c r="B16" s="31"/>
      <c r="C16" s="39" t="s">
        <v>1</v>
      </c>
      <c r="D16" s="40"/>
      <c r="E16" s="39"/>
      <c r="F16" s="40"/>
      <c r="G16" s="39" t="s">
        <v>1</v>
      </c>
      <c r="H16" s="40"/>
      <c r="I16" s="68"/>
      <c r="J16" s="69"/>
      <c r="K16" s="44" t="s">
        <v>38</v>
      </c>
      <c r="L16" s="10"/>
      <c r="M16" s="52"/>
      <c r="N16" s="53"/>
    </row>
    <row r="17" spans="2:14" ht="18" customHeight="1">
      <c r="B17" s="24"/>
      <c r="C17" s="42" t="s">
        <v>42</v>
      </c>
      <c r="D17" s="43"/>
      <c r="E17" s="42"/>
      <c r="F17" s="43"/>
      <c r="G17" s="42" t="s">
        <v>42</v>
      </c>
      <c r="H17" s="43"/>
      <c r="I17" s="64"/>
      <c r="J17" s="65"/>
      <c r="K17" s="45"/>
      <c r="L17" s="12"/>
      <c r="M17" s="46"/>
      <c r="N17" s="47"/>
    </row>
    <row r="18" spans="2:14" ht="18" customHeight="1">
      <c r="B18" s="32" t="s">
        <v>2</v>
      </c>
      <c r="C18" s="48"/>
      <c r="D18" s="49"/>
      <c r="E18" s="48" t="s">
        <v>2</v>
      </c>
      <c r="F18" s="49"/>
      <c r="G18" s="48"/>
      <c r="H18" s="49"/>
      <c r="I18" s="48" t="s">
        <v>2</v>
      </c>
      <c r="J18" s="63"/>
      <c r="K18" s="45"/>
      <c r="L18" s="12"/>
      <c r="M18" s="46"/>
      <c r="N18" s="47"/>
    </row>
    <row r="19" spans="2:14" ht="18" customHeight="1">
      <c r="B19" s="24" t="s">
        <v>43</v>
      </c>
      <c r="C19" s="42"/>
      <c r="D19" s="43"/>
      <c r="E19" s="42" t="s">
        <v>43</v>
      </c>
      <c r="F19" s="43"/>
      <c r="G19" s="42"/>
      <c r="H19" s="43"/>
      <c r="I19" s="64" t="s">
        <v>43</v>
      </c>
      <c r="J19" s="65"/>
      <c r="K19" s="13"/>
      <c r="L19" s="12"/>
      <c r="M19" s="46"/>
      <c r="N19" s="47"/>
    </row>
    <row r="20" spans="2:14" ht="18" customHeight="1">
      <c r="B20" s="31"/>
      <c r="C20" s="39"/>
      <c r="D20" s="40"/>
      <c r="E20" s="39"/>
      <c r="F20" s="40"/>
      <c r="G20" s="39"/>
      <c r="H20" s="40"/>
      <c r="I20" s="39"/>
      <c r="J20" s="41"/>
      <c r="K20" s="13"/>
      <c r="L20" s="12"/>
      <c r="M20" s="46"/>
      <c r="N20" s="47"/>
    </row>
    <row r="21" spans="2:14" ht="18" customHeight="1">
      <c r="B21" s="24"/>
      <c r="C21" s="42"/>
      <c r="D21" s="43"/>
      <c r="E21" s="42"/>
      <c r="F21" s="43"/>
      <c r="G21" s="42"/>
      <c r="H21" s="43"/>
      <c r="I21" s="42"/>
      <c r="J21" s="70"/>
      <c r="K21" s="25"/>
      <c r="L21" s="26"/>
      <c r="M21" s="50"/>
      <c r="N21" s="51"/>
    </row>
    <row r="22" spans="2:14" ht="18" customHeight="1">
      <c r="B22" s="31"/>
      <c r="C22" s="39"/>
      <c r="D22" s="40"/>
      <c r="E22" s="39"/>
      <c r="F22" s="40"/>
      <c r="G22" s="39"/>
      <c r="H22" s="40"/>
      <c r="I22" s="39"/>
      <c r="J22" s="41"/>
      <c r="K22" s="44" t="s">
        <v>39</v>
      </c>
      <c r="L22" s="10"/>
      <c r="M22" s="52"/>
      <c r="N22" s="53"/>
    </row>
    <row r="23" spans="2:14" ht="18" customHeight="1">
      <c r="B23" s="24"/>
      <c r="C23" s="42"/>
      <c r="D23" s="43"/>
      <c r="E23" s="42"/>
      <c r="F23" s="43"/>
      <c r="G23" s="42"/>
      <c r="H23" s="43"/>
      <c r="I23" s="64"/>
      <c r="J23" s="65"/>
      <c r="K23" s="45"/>
      <c r="L23" s="12"/>
      <c r="M23" s="46"/>
      <c r="N23" s="47"/>
    </row>
    <row r="24" spans="2:14" ht="18" customHeight="1">
      <c r="B24" s="31"/>
      <c r="C24" s="39"/>
      <c r="D24" s="40"/>
      <c r="E24" s="39"/>
      <c r="F24" s="40"/>
      <c r="G24" s="39"/>
      <c r="H24" s="40"/>
      <c r="I24" s="39"/>
      <c r="J24" s="41"/>
      <c r="K24" s="45"/>
      <c r="L24" s="12"/>
      <c r="M24" s="46"/>
      <c r="N24" s="47"/>
    </row>
    <row r="25" spans="2:14" ht="18" customHeight="1">
      <c r="B25" s="24"/>
      <c r="C25" s="42"/>
      <c r="D25" s="43"/>
      <c r="E25" s="42"/>
      <c r="F25" s="43"/>
      <c r="G25" s="42"/>
      <c r="H25" s="43"/>
      <c r="I25" s="64"/>
      <c r="J25" s="65"/>
      <c r="K25" s="45"/>
      <c r="L25" s="12"/>
      <c r="M25" s="46"/>
      <c r="N25" s="47"/>
    </row>
    <row r="26" spans="2:14" ht="18" customHeight="1">
      <c r="B26" s="38">
        <v>0.58333333333333337</v>
      </c>
      <c r="C26" s="39"/>
      <c r="D26" s="40"/>
      <c r="E26" s="84">
        <v>0.58333333333333337</v>
      </c>
      <c r="F26" s="40"/>
      <c r="G26" s="39"/>
      <c r="H26" s="40"/>
      <c r="I26" s="84">
        <v>0.58333333333333337</v>
      </c>
      <c r="J26" s="41"/>
      <c r="K26" s="13"/>
      <c r="L26" s="12"/>
      <c r="M26" s="46"/>
      <c r="N26" s="47"/>
    </row>
    <row r="27" spans="2:14" ht="18" customHeight="1">
      <c r="B27" s="24" t="s">
        <v>44</v>
      </c>
      <c r="C27" s="42"/>
      <c r="D27" s="43"/>
      <c r="E27" s="42" t="s">
        <v>44</v>
      </c>
      <c r="F27" s="43"/>
      <c r="G27" s="42"/>
      <c r="H27" s="43"/>
      <c r="I27" s="64" t="s">
        <v>44</v>
      </c>
      <c r="J27" s="65"/>
      <c r="K27" s="25"/>
      <c r="L27" s="26"/>
      <c r="M27" s="50"/>
      <c r="N27" s="51"/>
    </row>
    <row r="28" spans="2:14" ht="18" customHeight="1">
      <c r="B28" s="31"/>
      <c r="C28" s="39"/>
      <c r="D28" s="40"/>
      <c r="E28" s="39"/>
      <c r="F28" s="40"/>
      <c r="G28" s="39"/>
      <c r="H28" s="40"/>
      <c r="I28" s="39"/>
      <c r="J28" s="41"/>
      <c r="K28" s="44" t="s">
        <v>40</v>
      </c>
      <c r="L28" s="10"/>
      <c r="M28" s="52"/>
      <c r="N28" s="53"/>
    </row>
    <row r="29" spans="2:14" ht="18" customHeight="1">
      <c r="B29" s="24"/>
      <c r="C29" s="42"/>
      <c r="D29" s="43"/>
      <c r="E29" s="42"/>
      <c r="F29" s="43"/>
      <c r="G29" s="42"/>
      <c r="H29" s="43"/>
      <c r="I29" s="42"/>
      <c r="J29" s="70"/>
      <c r="K29" s="45"/>
      <c r="L29" s="12"/>
      <c r="M29" s="46"/>
      <c r="N29" s="47"/>
    </row>
    <row r="30" spans="2:14" ht="18" customHeight="1">
      <c r="B30" s="31"/>
      <c r="C30" s="39" t="s">
        <v>57</v>
      </c>
      <c r="D30" s="40"/>
      <c r="E30" s="39"/>
      <c r="F30" s="40"/>
      <c r="G30" s="39" t="s">
        <v>57</v>
      </c>
      <c r="H30" s="40"/>
      <c r="I30" s="39"/>
      <c r="J30" s="41"/>
      <c r="K30" s="45"/>
      <c r="L30" s="12"/>
      <c r="M30" s="46"/>
      <c r="N30" s="47"/>
    </row>
    <row r="31" spans="2:14" ht="18" customHeight="1">
      <c r="B31" s="24"/>
      <c r="C31" s="42" t="s">
        <v>45</v>
      </c>
      <c r="D31" s="43"/>
      <c r="E31" s="42"/>
      <c r="F31" s="43"/>
      <c r="G31" s="42" t="s">
        <v>45</v>
      </c>
      <c r="H31" s="43"/>
      <c r="I31" s="42"/>
      <c r="J31" s="70"/>
      <c r="K31" s="27"/>
      <c r="L31" s="12"/>
      <c r="M31" s="46"/>
      <c r="N31" s="47"/>
    </row>
    <row r="32" spans="2:14" ht="18" customHeight="1">
      <c r="B32" s="31"/>
      <c r="C32" s="39"/>
      <c r="D32" s="40"/>
      <c r="E32" s="39"/>
      <c r="F32" s="40"/>
      <c r="G32" s="39"/>
      <c r="H32" s="40"/>
      <c r="I32" s="68"/>
      <c r="J32" s="69"/>
      <c r="K32" s="27"/>
      <c r="L32" s="12"/>
      <c r="M32" s="46"/>
      <c r="N32" s="47"/>
    </row>
    <row r="33" spans="2:14" ht="18" customHeight="1">
      <c r="B33" s="28"/>
      <c r="C33" s="66"/>
      <c r="D33" s="67"/>
      <c r="E33" s="66"/>
      <c r="F33" s="67"/>
      <c r="G33" s="66"/>
      <c r="H33" s="67"/>
      <c r="I33" s="72"/>
      <c r="J33" s="73"/>
      <c r="K33" s="29"/>
      <c r="L33" s="30"/>
      <c r="M33" s="81"/>
      <c r="N33" s="82"/>
    </row>
  </sheetData>
  <mergeCells count="119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/>
  <cols>
    <col min="1" max="1" width="2.25" style="1" customWidth="1"/>
    <col min="2" max="2" width="12.625" style="1" customWidth="1"/>
    <col min="3" max="10" width="6.625" style="1" customWidth="1"/>
    <col min="11" max="11" width="7.25" style="1" customWidth="1"/>
    <col min="12" max="12" width="3.75" style="1" customWidth="1"/>
    <col min="13" max="13" width="51.375" style="1" customWidth="1"/>
    <col min="14" max="14" width="13" style="1" bestFit="1" customWidth="1"/>
    <col min="15" max="15" width="2.25" style="1" customWidth="1"/>
    <col min="16" max="22" width="7.75" style="1" customWidth="1"/>
    <col min="23" max="16384" width="8.62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54" t="s">
        <v>12</v>
      </c>
      <c r="L2" s="55">
        <v>2013</v>
      </c>
      <c r="M2" s="55"/>
      <c r="N2" s="61">
        <f ca="1">CalendarYear</f>
        <v>2018</v>
      </c>
    </row>
    <row r="3" spans="1:14" ht="21" customHeight="1">
      <c r="A3" s="2"/>
      <c r="B3" s="71" t="s">
        <v>34</v>
      </c>
      <c r="C3" s="7" t="s">
        <v>50</v>
      </c>
      <c r="D3" s="7" t="s">
        <v>4</v>
      </c>
      <c r="E3" s="7" t="s">
        <v>8</v>
      </c>
      <c r="F3" s="7" t="s">
        <v>6</v>
      </c>
      <c r="G3" s="7" t="s">
        <v>5</v>
      </c>
      <c r="H3" s="7" t="s">
        <v>7</v>
      </c>
      <c r="I3" s="7" t="s">
        <v>3</v>
      </c>
      <c r="J3" s="8"/>
      <c r="K3" s="56"/>
      <c r="L3" s="57"/>
      <c r="M3" s="57"/>
      <c r="N3" s="62"/>
    </row>
    <row r="4" spans="1:14" ht="18" customHeight="1">
      <c r="A4" s="2"/>
      <c r="B4" s="71"/>
      <c r="C4" s="9">
        <f ca="1">IF(DAY(DecSun1)=1,DecSun1-6,DecSun1+1)</f>
        <v>43429</v>
      </c>
      <c r="D4" s="9">
        <f ca="1">IF(DAY(DecSun1)=1,DecSun1-5,DecSun1+2)</f>
        <v>43430</v>
      </c>
      <c r="E4" s="9">
        <f ca="1">IF(DAY(DecSun1)=1,DecSun1-4,DecSun1+3)</f>
        <v>43431</v>
      </c>
      <c r="F4" s="9">
        <f ca="1">IF(DAY(DecSun1)=1,DecSun1-3,DecSun1+4)</f>
        <v>43432</v>
      </c>
      <c r="G4" s="9">
        <f ca="1">IF(DAY(DecSun1)=1,DecSun1-2,DecSun1+5)</f>
        <v>43433</v>
      </c>
      <c r="H4" s="9">
        <f ca="1">IF(DAY(DecSun1)=1,DecSun1-1,DecSun1+6)</f>
        <v>43434</v>
      </c>
      <c r="I4" s="9">
        <f ca="1">IF(DAY(DecSun1)=1,DecSun1,DecSun1+7)</f>
        <v>43435</v>
      </c>
      <c r="J4" s="8"/>
      <c r="K4" s="58" t="s">
        <v>36</v>
      </c>
      <c r="L4" s="10"/>
      <c r="M4" s="59"/>
      <c r="N4" s="60"/>
    </row>
    <row r="5" spans="1:14" ht="18" customHeight="1">
      <c r="A5" s="2"/>
      <c r="B5" s="33"/>
      <c r="C5" s="9">
        <f ca="1">IF(DAY(DecSun1)=1,DecSun1+1,DecSun1+8)</f>
        <v>43436</v>
      </c>
      <c r="D5" s="9">
        <f ca="1">IF(DAY(DecSun1)=1,DecSun1+2,DecSun1+9)</f>
        <v>43437</v>
      </c>
      <c r="E5" s="9">
        <f ca="1">IF(DAY(DecSun1)=1,DecSun1+3,DecSun1+10)</f>
        <v>43438</v>
      </c>
      <c r="F5" s="9">
        <f ca="1">IF(DAY(DecSun1)=1,DecSun1+4,DecSun1+11)</f>
        <v>43439</v>
      </c>
      <c r="G5" s="9">
        <f ca="1">IF(DAY(DecSun1)=1,DecSun1+5,DecSun1+12)</f>
        <v>43440</v>
      </c>
      <c r="H5" s="9">
        <f ca="1">IF(DAY(DecSun1)=1,DecSun1+6,DecSun1+13)</f>
        <v>43441</v>
      </c>
      <c r="I5" s="9">
        <f ca="1">IF(DAY(DecSun1)=1,DecSun1+7,DecSun1+14)</f>
        <v>43442</v>
      </c>
      <c r="J5" s="8"/>
      <c r="K5" s="45"/>
      <c r="L5" s="12"/>
      <c r="M5" s="46"/>
      <c r="N5" s="47"/>
    </row>
    <row r="6" spans="1:14" ht="18" customHeight="1">
      <c r="A6" s="2"/>
      <c r="B6" s="33"/>
      <c r="C6" s="9">
        <f ca="1">IF(DAY(DecSun1)=1,DecSun1+8,DecSun1+15)</f>
        <v>43443</v>
      </c>
      <c r="D6" s="9">
        <f ca="1">IF(DAY(DecSun1)=1,DecSun1+9,DecSun1+16)</f>
        <v>43444</v>
      </c>
      <c r="E6" s="9">
        <f ca="1">IF(DAY(DecSun1)=1,DecSun1+10,DecSun1+17)</f>
        <v>43445</v>
      </c>
      <c r="F6" s="9">
        <f ca="1">IF(DAY(DecSun1)=1,DecSun1+11,DecSun1+18)</f>
        <v>43446</v>
      </c>
      <c r="G6" s="9">
        <f ca="1">IF(DAY(DecSun1)=1,DecSun1+12,DecSun1+19)</f>
        <v>43447</v>
      </c>
      <c r="H6" s="9">
        <f ca="1">IF(DAY(DecSun1)=1,DecSun1+13,DecSun1+20)</f>
        <v>43448</v>
      </c>
      <c r="I6" s="9">
        <f ca="1">IF(DAY(DecSun1)=1,DecSun1+14,DecSun1+21)</f>
        <v>43449</v>
      </c>
      <c r="J6" s="8"/>
      <c r="K6" s="45"/>
      <c r="L6" s="12"/>
      <c r="M6" s="46"/>
      <c r="N6" s="47"/>
    </row>
    <row r="7" spans="1:14" ht="18" customHeight="1">
      <c r="A7" s="2"/>
      <c r="B7" s="33"/>
      <c r="C7" s="9">
        <f ca="1">IF(DAY(DecSun1)=1,DecSun1+15,DecSun1+22)</f>
        <v>43450</v>
      </c>
      <c r="D7" s="9">
        <f ca="1">IF(DAY(DecSun1)=1,DecSun1+16,DecSun1+23)</f>
        <v>43451</v>
      </c>
      <c r="E7" s="9">
        <f ca="1">IF(DAY(DecSun1)=1,DecSun1+17,DecSun1+24)</f>
        <v>43452</v>
      </c>
      <c r="F7" s="9">
        <f ca="1">IF(DAY(DecSun1)=1,DecSun1+18,DecSun1+25)</f>
        <v>43453</v>
      </c>
      <c r="G7" s="9">
        <f ca="1">IF(DAY(DecSun1)=1,DecSun1+19,DecSun1+26)</f>
        <v>43454</v>
      </c>
      <c r="H7" s="9">
        <f ca="1">IF(DAY(DecSun1)=1,DecSun1+20,DecSun1+27)</f>
        <v>43455</v>
      </c>
      <c r="I7" s="9">
        <f ca="1">IF(DAY(DecSun1)=1,DecSun1+21,DecSun1+28)</f>
        <v>43456</v>
      </c>
      <c r="J7" s="8"/>
      <c r="K7" s="13"/>
      <c r="L7" s="12"/>
      <c r="M7" s="46"/>
      <c r="N7" s="47"/>
    </row>
    <row r="8" spans="1:14" ht="18.75" customHeight="1">
      <c r="A8" s="2"/>
      <c r="B8" s="33"/>
      <c r="C8" s="9">
        <f ca="1">IF(DAY(DecSun1)=1,DecSun1+22,DecSun1+29)</f>
        <v>43457</v>
      </c>
      <c r="D8" s="9">
        <f ca="1">IF(DAY(DecSun1)=1,DecSun1+23,DecSun1+30)</f>
        <v>43458</v>
      </c>
      <c r="E8" s="9">
        <f ca="1">IF(DAY(DecSun1)=1,DecSun1+24,DecSun1+31)</f>
        <v>43459</v>
      </c>
      <c r="F8" s="9">
        <f ca="1">IF(DAY(DecSun1)=1,DecSun1+25,DecSun1+32)</f>
        <v>43460</v>
      </c>
      <c r="G8" s="9">
        <f ca="1">IF(DAY(DecSun1)=1,DecSun1+26,DecSun1+33)</f>
        <v>43461</v>
      </c>
      <c r="H8" s="9">
        <f ca="1">IF(DAY(DecSun1)=1,DecSun1+27,DecSun1+34)</f>
        <v>43462</v>
      </c>
      <c r="I8" s="9">
        <f ca="1">IF(DAY(DecSun1)=1,DecSun1+28,DecSun1+35)</f>
        <v>43463</v>
      </c>
      <c r="J8" s="8"/>
      <c r="K8" s="13"/>
      <c r="L8" s="12"/>
      <c r="M8" s="46"/>
      <c r="N8" s="47"/>
    </row>
    <row r="9" spans="1:14" ht="18" customHeight="1">
      <c r="A9" s="2"/>
      <c r="B9" s="33"/>
      <c r="C9" s="9">
        <f ca="1">IF(DAY(DecSun1)=1,DecSun1+29,DecSun1+36)</f>
        <v>43464</v>
      </c>
      <c r="D9" s="9">
        <f ca="1">IF(DAY(DecSun1)=1,DecSun1+30,DecSun1+37)</f>
        <v>43465</v>
      </c>
      <c r="E9" s="9">
        <f ca="1">IF(DAY(DecSun1)=1,DecSun1+31,DecSun1+38)</f>
        <v>43466</v>
      </c>
      <c r="F9" s="9">
        <f ca="1">IF(DAY(DecSun1)=1,DecSun1+32,DecSun1+39)</f>
        <v>43467</v>
      </c>
      <c r="G9" s="9">
        <f ca="1">IF(DAY(DecSun1)=1,DecSun1+33,DecSun1+40)</f>
        <v>43468</v>
      </c>
      <c r="H9" s="9">
        <f ca="1">IF(DAY(DecSun1)=1,DecSun1+34,DecSun1+41)</f>
        <v>43469</v>
      </c>
      <c r="I9" s="9">
        <f ca="1">IF(DAY(DecSun1)=1,DecSun1+35,DecSun1+42)</f>
        <v>43470</v>
      </c>
      <c r="J9" s="8"/>
      <c r="K9" s="14"/>
      <c r="L9" s="15"/>
      <c r="M9" s="50"/>
      <c r="N9" s="51"/>
    </row>
    <row r="10" spans="1:14" ht="18" customHeight="1">
      <c r="A10" s="2"/>
      <c r="B10" s="34"/>
      <c r="C10" s="17"/>
      <c r="D10" s="17"/>
      <c r="E10" s="17"/>
      <c r="F10" s="17"/>
      <c r="G10" s="17"/>
      <c r="H10" s="17"/>
      <c r="I10" s="17"/>
      <c r="J10" s="18"/>
      <c r="K10" s="44" t="s">
        <v>37</v>
      </c>
      <c r="L10" s="10"/>
      <c r="M10" s="52"/>
      <c r="N10" s="53"/>
    </row>
    <row r="11" spans="1:14" ht="18" customHeight="1">
      <c r="A11" s="2"/>
      <c r="B11" s="78" t="s">
        <v>16</v>
      </c>
      <c r="C11" s="83"/>
      <c r="D11" s="83"/>
      <c r="E11" s="83"/>
      <c r="F11" s="83"/>
      <c r="G11" s="83"/>
      <c r="H11" s="83"/>
      <c r="I11" s="83"/>
      <c r="J11" s="80"/>
      <c r="K11" s="45"/>
      <c r="L11" s="12"/>
      <c r="M11" s="46"/>
      <c r="N11" s="47"/>
    </row>
    <row r="12" spans="1:14" ht="18" customHeight="1">
      <c r="A12" s="2"/>
      <c r="B12" s="78"/>
      <c r="C12" s="83"/>
      <c r="D12" s="83"/>
      <c r="E12" s="83"/>
      <c r="F12" s="83"/>
      <c r="G12" s="83"/>
      <c r="H12" s="83"/>
      <c r="I12" s="83"/>
      <c r="J12" s="80"/>
      <c r="K12" s="45"/>
      <c r="L12" s="12"/>
      <c r="M12" s="46"/>
      <c r="N12" s="47"/>
    </row>
    <row r="13" spans="1:14" ht="18" customHeight="1">
      <c r="B13" s="19" t="s">
        <v>36</v>
      </c>
      <c r="C13" s="20" t="s">
        <v>37</v>
      </c>
      <c r="D13" s="21"/>
      <c r="E13" s="20" t="s">
        <v>38</v>
      </c>
      <c r="F13" s="21"/>
      <c r="G13" s="20" t="s">
        <v>39</v>
      </c>
      <c r="H13" s="21"/>
      <c r="I13" s="20" t="s">
        <v>40</v>
      </c>
      <c r="J13" s="22"/>
      <c r="K13" s="13"/>
      <c r="L13" s="12"/>
      <c r="M13" s="46"/>
      <c r="N13" s="47"/>
    </row>
    <row r="14" spans="1:14" ht="18" customHeight="1">
      <c r="B14" s="31" t="s">
        <v>0</v>
      </c>
      <c r="C14" s="39"/>
      <c r="D14" s="40"/>
      <c r="E14" s="39" t="s">
        <v>0</v>
      </c>
      <c r="F14" s="40"/>
      <c r="G14" s="39"/>
      <c r="H14" s="40"/>
      <c r="I14" s="39" t="s">
        <v>0</v>
      </c>
      <c r="J14" s="41"/>
      <c r="K14" s="13"/>
      <c r="L14" s="12"/>
      <c r="M14" s="46"/>
      <c r="N14" s="47"/>
    </row>
    <row r="15" spans="1:14" ht="18" customHeight="1">
      <c r="B15" s="24" t="s">
        <v>41</v>
      </c>
      <c r="C15" s="42"/>
      <c r="D15" s="43"/>
      <c r="E15" s="42" t="s">
        <v>41</v>
      </c>
      <c r="F15" s="43"/>
      <c r="G15" s="42"/>
      <c r="H15" s="43"/>
      <c r="I15" s="64" t="s">
        <v>41</v>
      </c>
      <c r="J15" s="65"/>
      <c r="K15" s="25"/>
      <c r="L15" s="26"/>
      <c r="M15" s="50"/>
      <c r="N15" s="51"/>
    </row>
    <row r="16" spans="1:14" ht="18" customHeight="1">
      <c r="B16" s="31"/>
      <c r="C16" s="39" t="s">
        <v>1</v>
      </c>
      <c r="D16" s="40"/>
      <c r="E16" s="39"/>
      <c r="F16" s="40"/>
      <c r="G16" s="39" t="s">
        <v>1</v>
      </c>
      <c r="H16" s="40"/>
      <c r="I16" s="68"/>
      <c r="J16" s="69"/>
      <c r="K16" s="44" t="s">
        <v>38</v>
      </c>
      <c r="L16" s="10"/>
      <c r="M16" s="52"/>
      <c r="N16" s="53"/>
    </row>
    <row r="17" spans="2:14" ht="18" customHeight="1">
      <c r="B17" s="24"/>
      <c r="C17" s="42" t="s">
        <v>42</v>
      </c>
      <c r="D17" s="43"/>
      <c r="E17" s="42"/>
      <c r="F17" s="43"/>
      <c r="G17" s="42" t="s">
        <v>42</v>
      </c>
      <c r="H17" s="43"/>
      <c r="I17" s="64"/>
      <c r="J17" s="65"/>
      <c r="K17" s="45"/>
      <c r="L17" s="12"/>
      <c r="M17" s="46"/>
      <c r="N17" s="47"/>
    </row>
    <row r="18" spans="2:14" ht="18" customHeight="1">
      <c r="B18" s="32" t="s">
        <v>2</v>
      </c>
      <c r="C18" s="48"/>
      <c r="D18" s="49"/>
      <c r="E18" s="48" t="s">
        <v>2</v>
      </c>
      <c r="F18" s="49"/>
      <c r="G18" s="48"/>
      <c r="H18" s="49"/>
      <c r="I18" s="48" t="s">
        <v>2</v>
      </c>
      <c r="J18" s="63"/>
      <c r="K18" s="45"/>
      <c r="L18" s="12"/>
      <c r="M18" s="46"/>
      <c r="N18" s="47"/>
    </row>
    <row r="19" spans="2:14" ht="18" customHeight="1">
      <c r="B19" s="24" t="s">
        <v>43</v>
      </c>
      <c r="C19" s="42"/>
      <c r="D19" s="43"/>
      <c r="E19" s="42" t="s">
        <v>43</v>
      </c>
      <c r="F19" s="43"/>
      <c r="G19" s="42"/>
      <c r="H19" s="43"/>
      <c r="I19" s="64" t="s">
        <v>43</v>
      </c>
      <c r="J19" s="65"/>
      <c r="K19" s="13"/>
      <c r="L19" s="12"/>
      <c r="M19" s="46"/>
      <c r="N19" s="47"/>
    </row>
    <row r="20" spans="2:14" ht="18" customHeight="1">
      <c r="B20" s="31"/>
      <c r="C20" s="39"/>
      <c r="D20" s="40"/>
      <c r="E20" s="39"/>
      <c r="F20" s="40"/>
      <c r="G20" s="39"/>
      <c r="H20" s="40"/>
      <c r="I20" s="39"/>
      <c r="J20" s="41"/>
      <c r="K20" s="13"/>
      <c r="L20" s="12"/>
      <c r="M20" s="46"/>
      <c r="N20" s="47"/>
    </row>
    <row r="21" spans="2:14" ht="18" customHeight="1">
      <c r="B21" s="24"/>
      <c r="C21" s="42"/>
      <c r="D21" s="43"/>
      <c r="E21" s="42"/>
      <c r="F21" s="43"/>
      <c r="G21" s="42"/>
      <c r="H21" s="43"/>
      <c r="I21" s="42"/>
      <c r="J21" s="70"/>
      <c r="K21" s="25"/>
      <c r="L21" s="26"/>
      <c r="M21" s="50"/>
      <c r="N21" s="51"/>
    </row>
    <row r="22" spans="2:14" ht="18" customHeight="1">
      <c r="B22" s="31"/>
      <c r="C22" s="39"/>
      <c r="D22" s="40"/>
      <c r="E22" s="39"/>
      <c r="F22" s="40"/>
      <c r="G22" s="39"/>
      <c r="H22" s="40"/>
      <c r="I22" s="39"/>
      <c r="J22" s="41"/>
      <c r="K22" s="44" t="s">
        <v>39</v>
      </c>
      <c r="L22" s="10"/>
      <c r="M22" s="52"/>
      <c r="N22" s="53"/>
    </row>
    <row r="23" spans="2:14" ht="18" customHeight="1">
      <c r="B23" s="24"/>
      <c r="C23" s="42"/>
      <c r="D23" s="43"/>
      <c r="E23" s="42"/>
      <c r="F23" s="43"/>
      <c r="G23" s="42"/>
      <c r="H23" s="43"/>
      <c r="I23" s="64"/>
      <c r="J23" s="65"/>
      <c r="K23" s="45"/>
      <c r="L23" s="12"/>
      <c r="M23" s="46"/>
      <c r="N23" s="47"/>
    </row>
    <row r="24" spans="2:14" ht="18" customHeight="1">
      <c r="B24" s="31"/>
      <c r="C24" s="39"/>
      <c r="D24" s="40"/>
      <c r="E24" s="39"/>
      <c r="F24" s="40"/>
      <c r="G24" s="39"/>
      <c r="H24" s="40"/>
      <c r="I24" s="39"/>
      <c r="J24" s="41"/>
      <c r="K24" s="45"/>
      <c r="L24" s="12"/>
      <c r="M24" s="46"/>
      <c r="N24" s="47"/>
    </row>
    <row r="25" spans="2:14" ht="18" customHeight="1">
      <c r="B25" s="24"/>
      <c r="C25" s="42"/>
      <c r="D25" s="43"/>
      <c r="E25" s="42"/>
      <c r="F25" s="43"/>
      <c r="G25" s="42"/>
      <c r="H25" s="43"/>
      <c r="I25" s="64"/>
      <c r="J25" s="65"/>
      <c r="K25" s="45"/>
      <c r="L25" s="12"/>
      <c r="M25" s="46"/>
      <c r="N25" s="47"/>
    </row>
    <row r="26" spans="2:14" ht="18" customHeight="1">
      <c r="B26" s="38">
        <v>0.58333333333333337</v>
      </c>
      <c r="C26" s="39"/>
      <c r="D26" s="40"/>
      <c r="E26" s="84">
        <v>0.58333333333333337</v>
      </c>
      <c r="F26" s="40"/>
      <c r="G26" s="39"/>
      <c r="H26" s="40"/>
      <c r="I26" s="84">
        <v>0.58333333333333337</v>
      </c>
      <c r="J26" s="41"/>
      <c r="K26" s="13"/>
      <c r="L26" s="12"/>
      <c r="M26" s="46"/>
      <c r="N26" s="47"/>
    </row>
    <row r="27" spans="2:14" ht="18" customHeight="1">
      <c r="B27" s="24" t="s">
        <v>44</v>
      </c>
      <c r="C27" s="42"/>
      <c r="D27" s="43"/>
      <c r="E27" s="42" t="s">
        <v>44</v>
      </c>
      <c r="F27" s="43"/>
      <c r="G27" s="42"/>
      <c r="H27" s="43"/>
      <c r="I27" s="64" t="s">
        <v>44</v>
      </c>
      <c r="J27" s="65"/>
      <c r="K27" s="25"/>
      <c r="L27" s="26"/>
      <c r="M27" s="50"/>
      <c r="N27" s="51"/>
    </row>
    <row r="28" spans="2:14" ht="18" customHeight="1">
      <c r="B28" s="31"/>
      <c r="C28" s="39"/>
      <c r="D28" s="40"/>
      <c r="E28" s="39"/>
      <c r="F28" s="40"/>
      <c r="G28" s="39"/>
      <c r="H28" s="40"/>
      <c r="I28" s="39"/>
      <c r="J28" s="41"/>
      <c r="K28" s="44" t="s">
        <v>40</v>
      </c>
      <c r="L28" s="10"/>
      <c r="M28" s="52"/>
      <c r="N28" s="53"/>
    </row>
    <row r="29" spans="2:14" ht="18" customHeight="1">
      <c r="B29" s="24"/>
      <c r="C29" s="42"/>
      <c r="D29" s="43"/>
      <c r="E29" s="42"/>
      <c r="F29" s="43"/>
      <c r="G29" s="42"/>
      <c r="H29" s="43"/>
      <c r="I29" s="42"/>
      <c r="J29" s="70"/>
      <c r="K29" s="45"/>
      <c r="L29" s="12"/>
      <c r="M29" s="46"/>
      <c r="N29" s="47"/>
    </row>
    <row r="30" spans="2:14" ht="18" customHeight="1">
      <c r="B30" s="31"/>
      <c r="C30" s="84">
        <v>0.66666666666666663</v>
      </c>
      <c r="D30" s="40"/>
      <c r="E30" s="39"/>
      <c r="F30" s="40"/>
      <c r="G30" s="84">
        <v>0.66666666666666663</v>
      </c>
      <c r="H30" s="40"/>
      <c r="I30" s="39"/>
      <c r="J30" s="41"/>
      <c r="K30" s="45"/>
      <c r="L30" s="12"/>
      <c r="M30" s="46"/>
      <c r="N30" s="47"/>
    </row>
    <row r="31" spans="2:14" ht="18" customHeight="1">
      <c r="B31" s="24"/>
      <c r="C31" s="42" t="s">
        <v>45</v>
      </c>
      <c r="D31" s="43"/>
      <c r="E31" s="42"/>
      <c r="F31" s="43"/>
      <c r="G31" s="42" t="s">
        <v>45</v>
      </c>
      <c r="H31" s="43"/>
      <c r="I31" s="42"/>
      <c r="J31" s="70"/>
      <c r="K31" s="27"/>
      <c r="L31" s="12"/>
      <c r="M31" s="46"/>
      <c r="N31" s="47"/>
    </row>
    <row r="32" spans="2:14" ht="18" customHeight="1">
      <c r="B32" s="23"/>
      <c r="C32" s="85"/>
      <c r="D32" s="86"/>
      <c r="E32" s="85"/>
      <c r="F32" s="86"/>
      <c r="G32" s="85"/>
      <c r="H32" s="86"/>
      <c r="I32" s="87"/>
      <c r="J32" s="88"/>
      <c r="K32" s="27"/>
      <c r="L32" s="12"/>
      <c r="M32" s="46"/>
      <c r="N32" s="47"/>
    </row>
    <row r="33" spans="2:14" ht="18" customHeight="1">
      <c r="B33" s="28"/>
      <c r="C33" s="66"/>
      <c r="D33" s="67"/>
      <c r="E33" s="66"/>
      <c r="F33" s="67"/>
      <c r="G33" s="66"/>
      <c r="H33" s="67"/>
      <c r="I33" s="72"/>
      <c r="J33" s="73"/>
      <c r="K33" s="29"/>
      <c r="L33" s="30"/>
      <c r="M33" s="81"/>
      <c r="N33" s="82"/>
    </row>
  </sheetData>
  <mergeCells count="119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/>
  <cols>
    <col min="1" max="1" width="2.25" style="1" customWidth="1"/>
    <col min="2" max="2" width="12.625" style="1" customWidth="1"/>
    <col min="3" max="10" width="6.625" style="1" customWidth="1"/>
    <col min="11" max="11" width="7.25" style="1" customWidth="1"/>
    <col min="12" max="12" width="3.75" style="1" customWidth="1"/>
    <col min="13" max="13" width="51.375" style="1" customWidth="1"/>
    <col min="14" max="14" width="13" style="1" bestFit="1" customWidth="1"/>
    <col min="15" max="15" width="2.25" style="1" customWidth="1"/>
    <col min="16" max="22" width="7.75" style="1" customWidth="1"/>
    <col min="23" max="16384" width="8.62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54" t="s">
        <v>10</v>
      </c>
      <c r="L2" s="55">
        <v>2013</v>
      </c>
      <c r="M2" s="55"/>
      <c r="N2" s="61">
        <f ca="1">CalendarYear</f>
        <v>2018</v>
      </c>
    </row>
    <row r="3" spans="1:14" ht="21" customHeight="1">
      <c r="A3" s="2"/>
      <c r="B3" s="71" t="s">
        <v>24</v>
      </c>
      <c r="C3" s="7" t="s">
        <v>50</v>
      </c>
      <c r="D3" s="7" t="s">
        <v>4</v>
      </c>
      <c r="E3" s="7" t="s">
        <v>8</v>
      </c>
      <c r="F3" s="7" t="s">
        <v>6</v>
      </c>
      <c r="G3" s="7" t="s">
        <v>5</v>
      </c>
      <c r="H3" s="7" t="s">
        <v>7</v>
      </c>
      <c r="I3" s="7" t="s">
        <v>3</v>
      </c>
      <c r="J3" s="8"/>
      <c r="K3" s="56"/>
      <c r="L3" s="57"/>
      <c r="M3" s="57"/>
      <c r="N3" s="62"/>
    </row>
    <row r="4" spans="1:14" ht="18" customHeight="1">
      <c r="A4" s="2"/>
      <c r="B4" s="71"/>
      <c r="C4" s="9">
        <f ca="1">IF(DAY(FebSun1)=1,FebSun1-6,FebSun1+1)</f>
        <v>43128</v>
      </c>
      <c r="D4" s="9">
        <f ca="1">IF(DAY(FebSun1)=1,FebSun1-5,FebSun1+2)</f>
        <v>43129</v>
      </c>
      <c r="E4" s="9">
        <f ca="1">IF(DAY(FebSun1)=1,FebSun1-4,FebSun1+3)</f>
        <v>43130</v>
      </c>
      <c r="F4" s="9">
        <f ca="1">IF(DAY(FebSun1)=1,FebSun1-3,FebSun1+4)</f>
        <v>43131</v>
      </c>
      <c r="G4" s="9">
        <f ca="1">IF(DAY(FebSun1)=1,FebSun1-2,FebSun1+5)</f>
        <v>43132</v>
      </c>
      <c r="H4" s="9">
        <f ca="1">IF(DAY(FebSun1)=1,FebSun1-1,FebSun1+6)</f>
        <v>43133</v>
      </c>
      <c r="I4" s="9">
        <f ca="1">IF(DAY(FebSun1)=1,FebSun1,FebSun1+7)</f>
        <v>43134</v>
      </c>
      <c r="J4" s="8"/>
      <c r="K4" s="58" t="s">
        <v>36</v>
      </c>
      <c r="L4" s="10"/>
      <c r="M4" s="59"/>
      <c r="N4" s="60"/>
    </row>
    <row r="5" spans="1:14" ht="18" customHeight="1">
      <c r="A5" s="2"/>
      <c r="B5" s="33"/>
      <c r="C5" s="9">
        <f ca="1">IF(DAY(FebSun1)=1,FebSun1+1,FebSun1+8)</f>
        <v>43135</v>
      </c>
      <c r="D5" s="9">
        <f ca="1">IF(DAY(FebSun1)=1,FebSun1+2,FebSun1+9)</f>
        <v>43136</v>
      </c>
      <c r="E5" s="9">
        <f ca="1">IF(DAY(FebSun1)=1,FebSun1+3,FebSun1+10)</f>
        <v>43137</v>
      </c>
      <c r="F5" s="9">
        <f ca="1">IF(DAY(FebSun1)=1,FebSun1+4,FebSun1+11)</f>
        <v>43138</v>
      </c>
      <c r="G5" s="9">
        <f ca="1">IF(DAY(FebSun1)=1,FebSun1+5,FebSun1+12)</f>
        <v>43139</v>
      </c>
      <c r="H5" s="9">
        <f ca="1">IF(DAY(FebSun1)=1,FebSun1+6,FebSun1+13)</f>
        <v>43140</v>
      </c>
      <c r="I5" s="9">
        <f ca="1">IF(DAY(FebSun1)=1,FebSun1+7,FebSun1+14)</f>
        <v>43141</v>
      </c>
      <c r="J5" s="8"/>
      <c r="K5" s="45"/>
      <c r="L5" s="12"/>
      <c r="M5" s="46"/>
      <c r="N5" s="47"/>
    </row>
    <row r="6" spans="1:14" ht="18" customHeight="1">
      <c r="A6" s="2"/>
      <c r="B6" s="33"/>
      <c r="C6" s="9">
        <f ca="1">IF(DAY(FebSun1)=1,FebSun1+8,FebSun1+15)</f>
        <v>43142</v>
      </c>
      <c r="D6" s="9">
        <f ca="1">IF(DAY(FebSun1)=1,FebSun1+9,FebSun1+16)</f>
        <v>43143</v>
      </c>
      <c r="E6" s="9">
        <f ca="1">IF(DAY(FebSun1)=1,FebSun1+10,FebSun1+17)</f>
        <v>43144</v>
      </c>
      <c r="F6" s="9">
        <f ca="1">IF(DAY(FebSun1)=1,FebSun1+11,FebSun1+18)</f>
        <v>43145</v>
      </c>
      <c r="G6" s="9">
        <f ca="1">IF(DAY(FebSun1)=1,FebSun1+12,FebSun1+19)</f>
        <v>43146</v>
      </c>
      <c r="H6" s="9">
        <f ca="1">IF(DAY(FebSun1)=1,FebSun1+13,FebSun1+20)</f>
        <v>43147</v>
      </c>
      <c r="I6" s="9">
        <f ca="1">IF(DAY(FebSun1)=1,FebSun1+14,FebSun1+21)</f>
        <v>43148</v>
      </c>
      <c r="J6" s="8"/>
      <c r="K6" s="45"/>
      <c r="L6" s="12"/>
      <c r="M6" s="46"/>
      <c r="N6" s="47"/>
    </row>
    <row r="7" spans="1:14" ht="18" customHeight="1">
      <c r="A7" s="2"/>
      <c r="B7" s="33"/>
      <c r="C7" s="9">
        <f ca="1">IF(DAY(FebSun1)=1,FebSun1+15,FebSun1+22)</f>
        <v>43149</v>
      </c>
      <c r="D7" s="9">
        <f ca="1">IF(DAY(FebSun1)=1,FebSun1+16,FebSun1+23)</f>
        <v>43150</v>
      </c>
      <c r="E7" s="9">
        <f ca="1">IF(DAY(FebSun1)=1,FebSun1+17,FebSun1+24)</f>
        <v>43151</v>
      </c>
      <c r="F7" s="9">
        <f ca="1">IF(DAY(FebSun1)=1,FebSun1+18,FebSun1+25)</f>
        <v>43152</v>
      </c>
      <c r="G7" s="9">
        <f ca="1">IF(DAY(FebSun1)=1,FebSun1+19,FebSun1+26)</f>
        <v>43153</v>
      </c>
      <c r="H7" s="9">
        <f ca="1">IF(DAY(FebSun1)=1,FebSun1+20,FebSun1+27)</f>
        <v>43154</v>
      </c>
      <c r="I7" s="9">
        <f ca="1">IF(DAY(FebSun1)=1,FebSun1+21,FebSun1+28)</f>
        <v>43155</v>
      </c>
      <c r="J7" s="8"/>
      <c r="K7" s="13"/>
      <c r="L7" s="12"/>
      <c r="M7" s="46"/>
      <c r="N7" s="47"/>
    </row>
    <row r="8" spans="1:14" ht="18.75" customHeight="1">
      <c r="A8" s="2"/>
      <c r="B8" s="33"/>
      <c r="C8" s="9">
        <f ca="1">IF(DAY(FebSun1)=1,FebSun1+22,FebSun1+29)</f>
        <v>43156</v>
      </c>
      <c r="D8" s="9">
        <f ca="1">IF(DAY(FebSun1)=1,FebSun1+23,FebSun1+30)</f>
        <v>43157</v>
      </c>
      <c r="E8" s="9">
        <f ca="1">IF(DAY(FebSun1)=1,FebSun1+24,FebSun1+31)</f>
        <v>43158</v>
      </c>
      <c r="F8" s="9">
        <f ca="1">IF(DAY(FebSun1)=1,FebSun1+25,FebSun1+32)</f>
        <v>43159</v>
      </c>
      <c r="G8" s="9">
        <f ca="1">IF(DAY(FebSun1)=1,FebSun1+26,FebSun1+33)</f>
        <v>43160</v>
      </c>
      <c r="H8" s="9">
        <f ca="1">IF(DAY(FebSun1)=1,FebSun1+27,FebSun1+34)</f>
        <v>43161</v>
      </c>
      <c r="I8" s="9">
        <f ca="1">IF(DAY(FebSun1)=1,FebSun1+28,FebSun1+35)</f>
        <v>43162</v>
      </c>
      <c r="J8" s="8"/>
      <c r="K8" s="13"/>
      <c r="L8" s="12"/>
      <c r="M8" s="46"/>
      <c r="N8" s="47"/>
    </row>
    <row r="9" spans="1:14" ht="18" customHeight="1">
      <c r="A9" s="2"/>
      <c r="B9" s="33"/>
      <c r="C9" s="9">
        <f ca="1">IF(DAY(FebSun1)=1,FebSun1+29,FebSun1+36)</f>
        <v>43163</v>
      </c>
      <c r="D9" s="9">
        <f ca="1">IF(DAY(FebSun1)=1,FebSun1+30,FebSun1+37)</f>
        <v>43164</v>
      </c>
      <c r="E9" s="9">
        <f ca="1">IF(DAY(FebSun1)=1,FebSun1+31,FebSun1+38)</f>
        <v>43165</v>
      </c>
      <c r="F9" s="9">
        <f ca="1">IF(DAY(FebSun1)=1,FebSun1+32,FebSun1+39)</f>
        <v>43166</v>
      </c>
      <c r="G9" s="9">
        <f ca="1">IF(DAY(FebSun1)=1,FebSun1+33,FebSun1+40)</f>
        <v>43167</v>
      </c>
      <c r="H9" s="9">
        <f ca="1">IF(DAY(FebSun1)=1,FebSun1+34,FebSun1+41)</f>
        <v>43168</v>
      </c>
      <c r="I9" s="9">
        <f ca="1">IF(DAY(FebSun1)=1,FebSun1+35,FebSun1+42)</f>
        <v>43169</v>
      </c>
      <c r="J9" s="8"/>
      <c r="K9" s="14"/>
      <c r="L9" s="15"/>
      <c r="M9" s="50"/>
      <c r="N9" s="51"/>
    </row>
    <row r="10" spans="1:14" ht="18" customHeight="1">
      <c r="A10" s="2"/>
      <c r="B10" s="34"/>
      <c r="C10" s="17"/>
      <c r="D10" s="17"/>
      <c r="E10" s="17"/>
      <c r="F10" s="17"/>
      <c r="G10" s="17"/>
      <c r="H10" s="17"/>
      <c r="I10" s="17"/>
      <c r="J10" s="18"/>
      <c r="K10" s="44" t="s">
        <v>37</v>
      </c>
      <c r="L10" s="10"/>
      <c r="M10" s="52"/>
      <c r="N10" s="53"/>
    </row>
    <row r="11" spans="1:14" ht="18" customHeight="1">
      <c r="A11" s="2"/>
      <c r="B11" s="78" t="s">
        <v>16</v>
      </c>
      <c r="C11" s="83"/>
      <c r="D11" s="83"/>
      <c r="E11" s="83"/>
      <c r="F11" s="83"/>
      <c r="G11" s="83"/>
      <c r="H11" s="83"/>
      <c r="I11" s="83"/>
      <c r="J11" s="80"/>
      <c r="K11" s="45"/>
      <c r="L11" s="12"/>
      <c r="M11" s="46"/>
      <c r="N11" s="47"/>
    </row>
    <row r="12" spans="1:14" ht="18" customHeight="1">
      <c r="A12" s="2"/>
      <c r="B12" s="78"/>
      <c r="C12" s="83"/>
      <c r="D12" s="83"/>
      <c r="E12" s="83"/>
      <c r="F12" s="83"/>
      <c r="G12" s="83"/>
      <c r="H12" s="83"/>
      <c r="I12" s="83"/>
      <c r="J12" s="80"/>
      <c r="K12" s="45"/>
      <c r="L12" s="12"/>
      <c r="M12" s="46"/>
      <c r="N12" s="47"/>
    </row>
    <row r="13" spans="1:14" ht="18" customHeight="1">
      <c r="B13" s="19" t="s">
        <v>36</v>
      </c>
      <c r="C13" s="20" t="s">
        <v>37</v>
      </c>
      <c r="D13" s="21"/>
      <c r="E13" s="20" t="s">
        <v>38</v>
      </c>
      <c r="F13" s="21"/>
      <c r="G13" s="20" t="s">
        <v>39</v>
      </c>
      <c r="H13" s="21"/>
      <c r="I13" s="20" t="s">
        <v>40</v>
      </c>
      <c r="J13" s="22"/>
      <c r="K13" s="13"/>
      <c r="L13" s="12"/>
      <c r="M13" s="46"/>
      <c r="N13" s="47"/>
    </row>
    <row r="14" spans="1:14" ht="18" customHeight="1">
      <c r="B14" s="31" t="s">
        <v>49</v>
      </c>
      <c r="C14" s="39"/>
      <c r="D14" s="40"/>
      <c r="E14" s="39" t="s">
        <v>0</v>
      </c>
      <c r="F14" s="40"/>
      <c r="G14" s="39"/>
      <c r="H14" s="40"/>
      <c r="I14" s="39" t="s">
        <v>0</v>
      </c>
      <c r="J14" s="41"/>
      <c r="K14" s="13"/>
      <c r="L14" s="12"/>
      <c r="M14" s="46"/>
      <c r="N14" s="47"/>
    </row>
    <row r="15" spans="1:14" ht="18" customHeight="1">
      <c r="B15" s="24" t="s">
        <v>41</v>
      </c>
      <c r="C15" s="42"/>
      <c r="D15" s="43"/>
      <c r="E15" s="42" t="s">
        <v>41</v>
      </c>
      <c r="F15" s="43"/>
      <c r="G15" s="42"/>
      <c r="H15" s="43"/>
      <c r="I15" s="64" t="s">
        <v>41</v>
      </c>
      <c r="J15" s="65"/>
      <c r="K15" s="25"/>
      <c r="L15" s="26"/>
      <c r="M15" s="50"/>
      <c r="N15" s="51"/>
    </row>
    <row r="16" spans="1:14" ht="18" customHeight="1">
      <c r="B16" s="31"/>
      <c r="C16" s="39" t="s">
        <v>1</v>
      </c>
      <c r="D16" s="40"/>
      <c r="E16" s="39"/>
      <c r="F16" s="40"/>
      <c r="G16" s="39" t="s">
        <v>1</v>
      </c>
      <c r="H16" s="40"/>
      <c r="I16" s="68"/>
      <c r="J16" s="69"/>
      <c r="K16" s="44" t="s">
        <v>38</v>
      </c>
      <c r="L16" s="10"/>
      <c r="M16" s="52"/>
      <c r="N16" s="53"/>
    </row>
    <row r="17" spans="2:14" ht="18" customHeight="1">
      <c r="B17" s="24"/>
      <c r="C17" s="42" t="s">
        <v>42</v>
      </c>
      <c r="D17" s="43"/>
      <c r="E17" s="42"/>
      <c r="F17" s="43"/>
      <c r="G17" s="42" t="s">
        <v>42</v>
      </c>
      <c r="H17" s="43"/>
      <c r="I17" s="64"/>
      <c r="J17" s="65"/>
      <c r="K17" s="45"/>
      <c r="L17" s="12"/>
      <c r="M17" s="46"/>
      <c r="N17" s="47"/>
    </row>
    <row r="18" spans="2:14" ht="18" customHeight="1">
      <c r="B18" s="32" t="s">
        <v>2</v>
      </c>
      <c r="C18" s="48"/>
      <c r="D18" s="49"/>
      <c r="E18" s="48" t="s">
        <v>2</v>
      </c>
      <c r="F18" s="49"/>
      <c r="G18" s="48"/>
      <c r="H18" s="49"/>
      <c r="I18" s="48" t="s">
        <v>2</v>
      </c>
      <c r="J18" s="63"/>
      <c r="K18" s="45"/>
      <c r="L18" s="12"/>
      <c r="M18" s="46"/>
      <c r="N18" s="47"/>
    </row>
    <row r="19" spans="2:14" ht="18" customHeight="1">
      <c r="B19" s="24" t="s">
        <v>43</v>
      </c>
      <c r="C19" s="42"/>
      <c r="D19" s="43"/>
      <c r="E19" s="42" t="s">
        <v>43</v>
      </c>
      <c r="F19" s="43"/>
      <c r="G19" s="42"/>
      <c r="H19" s="43"/>
      <c r="I19" s="64" t="s">
        <v>43</v>
      </c>
      <c r="J19" s="65"/>
      <c r="K19" s="13"/>
      <c r="L19" s="12"/>
      <c r="M19" s="46"/>
      <c r="N19" s="47"/>
    </row>
    <row r="20" spans="2:14" ht="18" customHeight="1">
      <c r="B20" s="31"/>
      <c r="C20" s="39"/>
      <c r="D20" s="40"/>
      <c r="E20" s="39"/>
      <c r="F20" s="40"/>
      <c r="G20" s="39"/>
      <c r="H20" s="40"/>
      <c r="I20" s="39"/>
      <c r="J20" s="41"/>
      <c r="K20" s="13"/>
      <c r="L20" s="12"/>
      <c r="M20" s="46"/>
      <c r="N20" s="47"/>
    </row>
    <row r="21" spans="2:14" ht="18" customHeight="1">
      <c r="B21" s="24"/>
      <c r="C21" s="42"/>
      <c r="D21" s="43"/>
      <c r="E21" s="42"/>
      <c r="F21" s="43"/>
      <c r="G21" s="42"/>
      <c r="H21" s="43"/>
      <c r="I21" s="42"/>
      <c r="J21" s="70"/>
      <c r="K21" s="25"/>
      <c r="L21" s="26"/>
      <c r="M21" s="50"/>
      <c r="N21" s="51"/>
    </row>
    <row r="22" spans="2:14" ht="18" customHeight="1">
      <c r="B22" s="31"/>
      <c r="C22" s="39"/>
      <c r="D22" s="40"/>
      <c r="E22" s="39"/>
      <c r="F22" s="40"/>
      <c r="G22" s="39"/>
      <c r="H22" s="40"/>
      <c r="I22" s="39"/>
      <c r="J22" s="41"/>
      <c r="K22" s="44" t="s">
        <v>39</v>
      </c>
      <c r="L22" s="10"/>
      <c r="M22" s="52"/>
      <c r="N22" s="53"/>
    </row>
    <row r="23" spans="2:14" ht="18" customHeight="1">
      <c r="B23" s="24"/>
      <c r="C23" s="42"/>
      <c r="D23" s="43"/>
      <c r="E23" s="42"/>
      <c r="F23" s="43"/>
      <c r="G23" s="42"/>
      <c r="H23" s="43"/>
      <c r="I23" s="64"/>
      <c r="J23" s="65"/>
      <c r="K23" s="45"/>
      <c r="L23" s="12"/>
      <c r="M23" s="46"/>
      <c r="N23" s="47"/>
    </row>
    <row r="24" spans="2:14" ht="18" customHeight="1">
      <c r="B24" s="31"/>
      <c r="C24" s="39"/>
      <c r="D24" s="40"/>
      <c r="E24" s="39"/>
      <c r="F24" s="40"/>
      <c r="G24" s="39"/>
      <c r="H24" s="40"/>
      <c r="I24" s="39"/>
      <c r="J24" s="41"/>
      <c r="K24" s="45"/>
      <c r="L24" s="12"/>
      <c r="M24" s="46"/>
      <c r="N24" s="47"/>
    </row>
    <row r="25" spans="2:14" ht="18" customHeight="1">
      <c r="B25" s="24"/>
      <c r="C25" s="42"/>
      <c r="D25" s="43"/>
      <c r="E25" s="42"/>
      <c r="F25" s="43"/>
      <c r="G25" s="42"/>
      <c r="H25" s="43"/>
      <c r="I25" s="64"/>
      <c r="J25" s="65"/>
      <c r="K25" s="45"/>
      <c r="L25" s="12"/>
      <c r="M25" s="46"/>
      <c r="N25" s="47"/>
    </row>
    <row r="26" spans="2:14" ht="18" customHeight="1">
      <c r="B26" s="38">
        <v>0.58333333333333337</v>
      </c>
      <c r="C26" s="39"/>
      <c r="D26" s="40"/>
      <c r="E26" s="84">
        <v>0.58333333333333337</v>
      </c>
      <c r="F26" s="40"/>
      <c r="G26" s="39"/>
      <c r="H26" s="40"/>
      <c r="I26" s="84">
        <v>0.58333333333333337</v>
      </c>
      <c r="J26" s="41"/>
      <c r="K26" s="13"/>
      <c r="L26" s="12"/>
      <c r="M26" s="46"/>
      <c r="N26" s="47"/>
    </row>
    <row r="27" spans="2:14" ht="18" customHeight="1">
      <c r="B27" s="24" t="s">
        <v>44</v>
      </c>
      <c r="C27" s="42"/>
      <c r="D27" s="43"/>
      <c r="E27" s="42" t="s">
        <v>44</v>
      </c>
      <c r="F27" s="43"/>
      <c r="G27" s="42"/>
      <c r="H27" s="43"/>
      <c r="I27" s="64" t="s">
        <v>44</v>
      </c>
      <c r="J27" s="65"/>
      <c r="K27" s="25"/>
      <c r="L27" s="26"/>
      <c r="M27" s="50"/>
      <c r="N27" s="51"/>
    </row>
    <row r="28" spans="2:14" ht="18" customHeight="1">
      <c r="B28" s="31"/>
      <c r="C28" s="39"/>
      <c r="D28" s="40"/>
      <c r="E28" s="39"/>
      <c r="F28" s="40"/>
      <c r="G28" s="39"/>
      <c r="H28" s="40"/>
      <c r="I28" s="39"/>
      <c r="J28" s="41"/>
      <c r="K28" s="44" t="s">
        <v>40</v>
      </c>
      <c r="L28" s="10"/>
      <c r="M28" s="52"/>
      <c r="N28" s="53"/>
    </row>
    <row r="29" spans="2:14" ht="18" customHeight="1">
      <c r="B29" s="24"/>
      <c r="C29" s="42"/>
      <c r="D29" s="43"/>
      <c r="E29" s="42"/>
      <c r="F29" s="43"/>
      <c r="G29" s="42"/>
      <c r="H29" s="43"/>
      <c r="I29" s="42"/>
      <c r="J29" s="70"/>
      <c r="K29" s="45"/>
      <c r="L29" s="12"/>
      <c r="M29" s="46"/>
      <c r="N29" s="47"/>
    </row>
    <row r="30" spans="2:14" ht="18" customHeight="1">
      <c r="B30" s="31"/>
      <c r="C30" s="39" t="s">
        <v>57</v>
      </c>
      <c r="D30" s="40"/>
      <c r="E30" s="39"/>
      <c r="F30" s="40"/>
      <c r="G30" s="39" t="s">
        <v>57</v>
      </c>
      <c r="H30" s="40"/>
      <c r="I30" s="39"/>
      <c r="J30" s="41"/>
      <c r="K30" s="45"/>
      <c r="L30" s="12"/>
      <c r="M30" s="46"/>
      <c r="N30" s="47"/>
    </row>
    <row r="31" spans="2:14" ht="18" customHeight="1">
      <c r="B31" s="24"/>
      <c r="C31" s="42" t="s">
        <v>45</v>
      </c>
      <c r="D31" s="43"/>
      <c r="E31" s="42"/>
      <c r="F31" s="43"/>
      <c r="G31" s="42" t="s">
        <v>45</v>
      </c>
      <c r="H31" s="43"/>
      <c r="I31" s="42"/>
      <c r="J31" s="70"/>
      <c r="K31" s="27"/>
      <c r="L31" s="12"/>
      <c r="M31" s="46"/>
      <c r="N31" s="47"/>
    </row>
    <row r="32" spans="2:14" ht="18" customHeight="1">
      <c r="B32" s="23"/>
      <c r="C32" s="85"/>
      <c r="D32" s="86"/>
      <c r="E32" s="85"/>
      <c r="F32" s="86"/>
      <c r="G32" s="85"/>
      <c r="H32" s="86"/>
      <c r="I32" s="87"/>
      <c r="J32" s="88"/>
      <c r="K32" s="27"/>
      <c r="L32" s="12"/>
      <c r="M32" s="46"/>
      <c r="N32" s="47"/>
    </row>
    <row r="33" spans="2:14" ht="18" customHeight="1">
      <c r="B33" s="28"/>
      <c r="C33" s="66"/>
      <c r="D33" s="67"/>
      <c r="E33" s="66"/>
      <c r="F33" s="67"/>
      <c r="G33" s="66"/>
      <c r="H33" s="67"/>
      <c r="I33" s="72"/>
      <c r="J33" s="73"/>
      <c r="K33" s="29"/>
      <c r="L33" s="30"/>
      <c r="M33" s="81"/>
      <c r="N33" s="82"/>
    </row>
  </sheetData>
  <mergeCells count="119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61" priority="5" stopIfTrue="1">
      <formula>DAY(C4)&gt;8</formula>
    </cfRule>
  </conditionalFormatting>
  <conditionalFormatting sqref="C8:I10">
    <cfRule type="expression" dxfId="60" priority="4" stopIfTrue="1">
      <formula>AND(DAY(C8)&gt;=1,DAY(C8)&lt;=15)</formula>
    </cfRule>
  </conditionalFormatting>
  <conditionalFormatting sqref="C4:I9">
    <cfRule type="expression" dxfId="59" priority="6">
      <formula>VLOOKUP(DAY(C4),AssignmentDays,1,FALSE)=DAY(C4)</formula>
    </cfRule>
  </conditionalFormatting>
  <conditionalFormatting sqref="B14:J29 B31:J33 B30 I30:J30 E30:F30">
    <cfRule type="expression" dxfId="58" priority="3">
      <formula>B14&lt;&gt;""</formula>
    </cfRule>
  </conditionalFormatting>
  <conditionalFormatting sqref="G30:H30">
    <cfRule type="expression" dxfId="57" priority="2">
      <formula>G30&lt;&gt;""</formula>
    </cfRule>
  </conditionalFormatting>
  <conditionalFormatting sqref="C30:D30">
    <cfRule type="expression" dxfId="56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/>
  <cols>
    <col min="1" max="1" width="2.25" style="1" customWidth="1"/>
    <col min="2" max="2" width="12.625" style="1" customWidth="1"/>
    <col min="3" max="10" width="6.625" style="1" customWidth="1"/>
    <col min="11" max="11" width="7.25" style="1" customWidth="1"/>
    <col min="12" max="12" width="3.75" style="1" customWidth="1"/>
    <col min="13" max="13" width="51.375" style="1" customWidth="1"/>
    <col min="14" max="14" width="13" style="1" bestFit="1" customWidth="1"/>
    <col min="15" max="15" width="2.25" style="1" customWidth="1"/>
    <col min="16" max="22" width="7.75" style="1" customWidth="1"/>
    <col min="23" max="16384" width="8.62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54" t="s">
        <v>11</v>
      </c>
      <c r="L2" s="55">
        <v>2013</v>
      </c>
      <c r="M2" s="55"/>
      <c r="N2" s="61">
        <f ca="1">CalendarYear</f>
        <v>2018</v>
      </c>
    </row>
    <row r="3" spans="1:14" ht="21" customHeight="1">
      <c r="A3" s="2"/>
      <c r="B3" s="71" t="s">
        <v>25</v>
      </c>
      <c r="C3" s="7" t="s">
        <v>50</v>
      </c>
      <c r="D3" s="7" t="s">
        <v>4</v>
      </c>
      <c r="E3" s="7" t="s">
        <v>8</v>
      </c>
      <c r="F3" s="7" t="s">
        <v>6</v>
      </c>
      <c r="G3" s="7" t="s">
        <v>5</v>
      </c>
      <c r="H3" s="7" t="s">
        <v>7</v>
      </c>
      <c r="I3" s="7" t="s">
        <v>3</v>
      </c>
      <c r="J3" s="8"/>
      <c r="K3" s="56"/>
      <c r="L3" s="57"/>
      <c r="M3" s="57"/>
      <c r="N3" s="62"/>
    </row>
    <row r="4" spans="1:14" ht="18" customHeight="1">
      <c r="A4" s="2"/>
      <c r="B4" s="71"/>
      <c r="C4" s="9">
        <f ca="1">IF(DAY(MarSun1)=1,MarSun1-6,MarSun1+1)</f>
        <v>43156</v>
      </c>
      <c r="D4" s="9">
        <f ca="1">IF(DAY(MarSun1)=1,MarSun1-5,MarSun1+2)</f>
        <v>43157</v>
      </c>
      <c r="E4" s="9">
        <f ca="1">IF(DAY(MarSun1)=1,MarSun1-4,MarSun1+3)</f>
        <v>43158</v>
      </c>
      <c r="F4" s="9">
        <f ca="1">IF(DAY(MarSun1)=1,MarSun1-3,MarSun1+4)</f>
        <v>43159</v>
      </c>
      <c r="G4" s="9">
        <f ca="1">IF(DAY(MarSun1)=1,MarSun1-2,MarSun1+5)</f>
        <v>43160</v>
      </c>
      <c r="H4" s="9">
        <f ca="1">IF(DAY(MarSun1)=1,MarSun1-1,MarSun1+6)</f>
        <v>43161</v>
      </c>
      <c r="I4" s="9">
        <f ca="1">IF(DAY(MarSun1)=1,MarSun1,MarSun1+7)</f>
        <v>43162</v>
      </c>
      <c r="J4" s="8"/>
      <c r="K4" s="91" t="s">
        <v>36</v>
      </c>
      <c r="L4" s="10"/>
      <c r="M4" s="59"/>
      <c r="N4" s="60"/>
    </row>
    <row r="5" spans="1:14" ht="18" customHeight="1">
      <c r="A5" s="2"/>
      <c r="B5" s="33"/>
      <c r="C5" s="9">
        <f ca="1">IF(DAY(MarSun1)=1,MarSun1+1,MarSun1+8)</f>
        <v>43163</v>
      </c>
      <c r="D5" s="9">
        <f ca="1">IF(DAY(MarSun1)=1,MarSun1+2,MarSun1+9)</f>
        <v>43164</v>
      </c>
      <c r="E5" s="9">
        <f ca="1">IF(DAY(MarSun1)=1,MarSun1+3,MarSun1+10)</f>
        <v>43165</v>
      </c>
      <c r="F5" s="9">
        <f ca="1">IF(DAY(MarSun1)=1,MarSun1+4,MarSun1+11)</f>
        <v>43166</v>
      </c>
      <c r="G5" s="9">
        <f ca="1">IF(DAY(MarSun1)=1,MarSun1+5,MarSun1+12)</f>
        <v>43167</v>
      </c>
      <c r="H5" s="9">
        <f ca="1">IF(DAY(MarSun1)=1,MarSun1+6,MarSun1+13)</f>
        <v>43168</v>
      </c>
      <c r="I5" s="9">
        <f ca="1">IF(DAY(MarSun1)=1,MarSun1+7,MarSun1+14)</f>
        <v>43169</v>
      </c>
      <c r="J5" s="8"/>
      <c r="K5" s="90"/>
      <c r="L5" s="12"/>
      <c r="M5" s="46"/>
      <c r="N5" s="47"/>
    </row>
    <row r="6" spans="1:14" ht="18" customHeight="1">
      <c r="A6" s="2"/>
      <c r="B6" s="33"/>
      <c r="C6" s="9">
        <f ca="1">IF(DAY(MarSun1)=1,MarSun1+8,MarSun1+15)</f>
        <v>43170</v>
      </c>
      <c r="D6" s="9">
        <f ca="1">IF(DAY(MarSun1)=1,MarSun1+9,MarSun1+16)</f>
        <v>43171</v>
      </c>
      <c r="E6" s="9">
        <f ca="1">IF(DAY(MarSun1)=1,MarSun1+10,MarSun1+17)</f>
        <v>43172</v>
      </c>
      <c r="F6" s="9">
        <f ca="1">IF(DAY(MarSun1)=1,MarSun1+11,MarSun1+18)</f>
        <v>43173</v>
      </c>
      <c r="G6" s="9">
        <f ca="1">IF(DAY(MarSun1)=1,MarSun1+12,MarSun1+19)</f>
        <v>43174</v>
      </c>
      <c r="H6" s="9">
        <f ca="1">IF(DAY(MarSun1)=1,MarSun1+13,MarSun1+20)</f>
        <v>43175</v>
      </c>
      <c r="I6" s="9">
        <f ca="1">IF(DAY(MarSun1)=1,MarSun1+14,MarSun1+21)</f>
        <v>43176</v>
      </c>
      <c r="J6" s="8"/>
      <c r="K6" s="90"/>
      <c r="L6" s="12"/>
      <c r="M6" s="46"/>
      <c r="N6" s="47"/>
    </row>
    <row r="7" spans="1:14" ht="18" customHeight="1">
      <c r="A7" s="2"/>
      <c r="B7" s="33"/>
      <c r="C7" s="9">
        <f ca="1">IF(DAY(MarSun1)=1,MarSun1+15,MarSun1+22)</f>
        <v>43177</v>
      </c>
      <c r="D7" s="9">
        <f ca="1">IF(DAY(MarSun1)=1,MarSun1+16,MarSun1+23)</f>
        <v>43178</v>
      </c>
      <c r="E7" s="9">
        <f ca="1">IF(DAY(MarSun1)=1,MarSun1+17,MarSun1+24)</f>
        <v>43179</v>
      </c>
      <c r="F7" s="9">
        <f ca="1">IF(DAY(MarSun1)=1,MarSun1+18,MarSun1+25)</f>
        <v>43180</v>
      </c>
      <c r="G7" s="9">
        <f ca="1">IF(DAY(MarSun1)=1,MarSun1+19,MarSun1+26)</f>
        <v>43181</v>
      </c>
      <c r="H7" s="9">
        <f ca="1">IF(DAY(MarSun1)=1,MarSun1+20,MarSun1+27)</f>
        <v>43182</v>
      </c>
      <c r="I7" s="9">
        <f ca="1">IF(DAY(MarSun1)=1,MarSun1+21,MarSun1+28)</f>
        <v>43183</v>
      </c>
      <c r="J7" s="8"/>
      <c r="K7" s="35"/>
      <c r="L7" s="12"/>
      <c r="M7" s="46"/>
      <c r="N7" s="47"/>
    </row>
    <row r="8" spans="1:14" ht="18.75" customHeight="1">
      <c r="A8" s="2"/>
      <c r="B8" s="33"/>
      <c r="C8" s="9">
        <f ca="1">IF(DAY(MarSun1)=1,MarSun1+22,MarSun1+29)</f>
        <v>43184</v>
      </c>
      <c r="D8" s="9">
        <f ca="1">IF(DAY(MarSun1)=1,MarSun1+23,MarSun1+30)</f>
        <v>43185</v>
      </c>
      <c r="E8" s="9">
        <f ca="1">IF(DAY(MarSun1)=1,MarSun1+24,MarSun1+31)</f>
        <v>43186</v>
      </c>
      <c r="F8" s="9">
        <f ca="1">IF(DAY(MarSun1)=1,MarSun1+25,MarSun1+32)</f>
        <v>43187</v>
      </c>
      <c r="G8" s="9">
        <f ca="1">IF(DAY(MarSun1)=1,MarSun1+26,MarSun1+33)</f>
        <v>43188</v>
      </c>
      <c r="H8" s="9">
        <f ca="1">IF(DAY(MarSun1)=1,MarSun1+27,MarSun1+34)</f>
        <v>43189</v>
      </c>
      <c r="I8" s="9">
        <f ca="1">IF(DAY(MarSun1)=1,MarSun1+28,MarSun1+35)</f>
        <v>43190</v>
      </c>
      <c r="J8" s="8"/>
      <c r="K8" s="35"/>
      <c r="L8" s="12"/>
      <c r="M8" s="46"/>
      <c r="N8" s="47"/>
    </row>
    <row r="9" spans="1:14" ht="18" customHeight="1">
      <c r="A9" s="2"/>
      <c r="B9" s="33"/>
      <c r="C9" s="9">
        <f ca="1">IF(DAY(MarSun1)=1,MarSun1+29,MarSun1+36)</f>
        <v>43191</v>
      </c>
      <c r="D9" s="9">
        <f ca="1">IF(DAY(MarSun1)=1,MarSun1+30,MarSun1+37)</f>
        <v>43192</v>
      </c>
      <c r="E9" s="9">
        <f ca="1">IF(DAY(MarSun1)=1,MarSun1+31,MarSun1+38)</f>
        <v>43193</v>
      </c>
      <c r="F9" s="9">
        <f ca="1">IF(DAY(MarSun1)=1,MarSun1+32,MarSun1+39)</f>
        <v>43194</v>
      </c>
      <c r="G9" s="9">
        <f ca="1">IF(DAY(MarSun1)=1,MarSun1+33,MarSun1+40)</f>
        <v>43195</v>
      </c>
      <c r="H9" s="9">
        <f ca="1">IF(DAY(MarSun1)=1,MarSun1+34,MarSun1+41)</f>
        <v>43196</v>
      </c>
      <c r="I9" s="9">
        <f ca="1">IF(DAY(MarSun1)=1,MarSun1+35,MarSun1+42)</f>
        <v>43197</v>
      </c>
      <c r="J9" s="8"/>
      <c r="K9" s="36"/>
      <c r="L9" s="15"/>
      <c r="M9" s="50"/>
      <c r="N9" s="51"/>
    </row>
    <row r="10" spans="1:14" ht="18" customHeight="1">
      <c r="A10" s="2"/>
      <c r="B10" s="34"/>
      <c r="C10" s="17"/>
      <c r="D10" s="17"/>
      <c r="E10" s="17"/>
      <c r="F10" s="17"/>
      <c r="G10" s="17"/>
      <c r="H10" s="17"/>
      <c r="I10" s="17"/>
      <c r="J10" s="18"/>
      <c r="K10" s="89" t="s">
        <v>37</v>
      </c>
      <c r="L10" s="10"/>
      <c r="M10" s="52"/>
      <c r="N10" s="53"/>
    </row>
    <row r="11" spans="1:14" ht="18" customHeight="1">
      <c r="A11" s="2"/>
      <c r="B11" s="78" t="s">
        <v>17</v>
      </c>
      <c r="C11" s="83"/>
      <c r="D11" s="83"/>
      <c r="E11" s="83"/>
      <c r="F11" s="83"/>
      <c r="G11" s="83"/>
      <c r="H11" s="83"/>
      <c r="I11" s="83"/>
      <c r="J11" s="80"/>
      <c r="K11" s="90"/>
      <c r="L11" s="12"/>
      <c r="M11" s="46"/>
      <c r="N11" s="47"/>
    </row>
    <row r="12" spans="1:14" ht="18" customHeight="1">
      <c r="A12" s="2"/>
      <c r="B12" s="78"/>
      <c r="C12" s="83"/>
      <c r="D12" s="83"/>
      <c r="E12" s="83"/>
      <c r="F12" s="83"/>
      <c r="G12" s="83"/>
      <c r="H12" s="83"/>
      <c r="I12" s="83"/>
      <c r="J12" s="80"/>
      <c r="K12" s="90"/>
      <c r="L12" s="12"/>
      <c r="M12" s="46"/>
      <c r="N12" s="47"/>
    </row>
    <row r="13" spans="1:14" ht="18" customHeight="1">
      <c r="B13" s="19" t="s">
        <v>36</v>
      </c>
      <c r="C13" s="20" t="s">
        <v>37</v>
      </c>
      <c r="D13" s="21"/>
      <c r="E13" s="20" t="s">
        <v>38</v>
      </c>
      <c r="F13" s="21"/>
      <c r="G13" s="20" t="s">
        <v>39</v>
      </c>
      <c r="H13" s="21"/>
      <c r="I13" s="20" t="s">
        <v>40</v>
      </c>
      <c r="J13" s="22"/>
      <c r="K13" s="35"/>
      <c r="L13" s="12"/>
      <c r="M13" s="46"/>
      <c r="N13" s="47"/>
    </row>
    <row r="14" spans="1:14" ht="18" customHeight="1">
      <c r="B14" s="31" t="s">
        <v>0</v>
      </c>
      <c r="C14" s="39"/>
      <c r="D14" s="40"/>
      <c r="E14" s="39" t="s">
        <v>0</v>
      </c>
      <c r="F14" s="40"/>
      <c r="G14" s="39"/>
      <c r="H14" s="40"/>
      <c r="I14" s="39" t="s">
        <v>0</v>
      </c>
      <c r="J14" s="41"/>
      <c r="K14" s="35"/>
      <c r="L14" s="12"/>
      <c r="M14" s="46"/>
      <c r="N14" s="47"/>
    </row>
    <row r="15" spans="1:14" ht="18" customHeight="1">
      <c r="B15" s="24" t="s">
        <v>41</v>
      </c>
      <c r="C15" s="42"/>
      <c r="D15" s="43"/>
      <c r="E15" s="42" t="s">
        <v>41</v>
      </c>
      <c r="F15" s="43"/>
      <c r="G15" s="42"/>
      <c r="H15" s="43"/>
      <c r="I15" s="64" t="s">
        <v>41</v>
      </c>
      <c r="J15" s="65"/>
      <c r="K15" s="37"/>
      <c r="L15" s="26"/>
      <c r="M15" s="50"/>
      <c r="N15" s="51"/>
    </row>
    <row r="16" spans="1:14" ht="18" customHeight="1">
      <c r="B16" s="31"/>
      <c r="C16" s="39" t="s">
        <v>1</v>
      </c>
      <c r="D16" s="40"/>
      <c r="E16" s="39"/>
      <c r="F16" s="40"/>
      <c r="G16" s="39" t="s">
        <v>1</v>
      </c>
      <c r="H16" s="40"/>
      <c r="I16" s="68"/>
      <c r="J16" s="69"/>
      <c r="K16" s="89" t="s">
        <v>38</v>
      </c>
      <c r="L16" s="10"/>
      <c r="M16" s="52"/>
      <c r="N16" s="53"/>
    </row>
    <row r="17" spans="2:14" ht="18" customHeight="1">
      <c r="B17" s="24"/>
      <c r="C17" s="42" t="s">
        <v>42</v>
      </c>
      <c r="D17" s="43"/>
      <c r="E17" s="42"/>
      <c r="F17" s="43"/>
      <c r="G17" s="42" t="s">
        <v>42</v>
      </c>
      <c r="H17" s="43"/>
      <c r="I17" s="64"/>
      <c r="J17" s="65"/>
      <c r="K17" s="90"/>
      <c r="L17" s="12"/>
      <c r="M17" s="46"/>
      <c r="N17" s="47"/>
    </row>
    <row r="18" spans="2:14" ht="18" customHeight="1">
      <c r="B18" s="32" t="s">
        <v>2</v>
      </c>
      <c r="C18" s="48"/>
      <c r="D18" s="49"/>
      <c r="E18" s="48" t="s">
        <v>2</v>
      </c>
      <c r="F18" s="49"/>
      <c r="G18" s="48"/>
      <c r="H18" s="49"/>
      <c r="I18" s="48" t="s">
        <v>2</v>
      </c>
      <c r="J18" s="63"/>
      <c r="K18" s="90"/>
      <c r="L18" s="12"/>
      <c r="M18" s="46"/>
      <c r="N18" s="47"/>
    </row>
    <row r="19" spans="2:14" ht="18" customHeight="1">
      <c r="B19" s="24" t="s">
        <v>43</v>
      </c>
      <c r="C19" s="42"/>
      <c r="D19" s="43"/>
      <c r="E19" s="42" t="s">
        <v>43</v>
      </c>
      <c r="F19" s="43"/>
      <c r="G19" s="42"/>
      <c r="H19" s="43"/>
      <c r="I19" s="64" t="s">
        <v>43</v>
      </c>
      <c r="J19" s="65"/>
      <c r="K19" s="90"/>
      <c r="L19" s="12"/>
      <c r="M19" s="46"/>
      <c r="N19" s="47"/>
    </row>
    <row r="20" spans="2:14" ht="18" customHeight="1">
      <c r="B20" s="31"/>
      <c r="C20" s="39"/>
      <c r="D20" s="40"/>
      <c r="E20" s="39"/>
      <c r="F20" s="40"/>
      <c r="G20" s="39"/>
      <c r="H20" s="40"/>
      <c r="I20" s="39"/>
      <c r="J20" s="41"/>
      <c r="K20" s="35"/>
      <c r="L20" s="12"/>
      <c r="M20" s="46"/>
      <c r="N20" s="47"/>
    </row>
    <row r="21" spans="2:14" ht="18" customHeight="1">
      <c r="B21" s="24"/>
      <c r="C21" s="42"/>
      <c r="D21" s="43"/>
      <c r="E21" s="42"/>
      <c r="F21" s="43"/>
      <c r="G21" s="42"/>
      <c r="H21" s="43"/>
      <c r="I21" s="42"/>
      <c r="J21" s="70"/>
      <c r="K21" s="37"/>
      <c r="L21" s="26"/>
      <c r="M21" s="50"/>
      <c r="N21" s="51"/>
    </row>
    <row r="22" spans="2:14" ht="18" customHeight="1">
      <c r="B22" s="31"/>
      <c r="C22" s="39"/>
      <c r="D22" s="40"/>
      <c r="E22" s="39"/>
      <c r="F22" s="40"/>
      <c r="G22" s="39"/>
      <c r="H22" s="40"/>
      <c r="I22" s="39"/>
      <c r="J22" s="41"/>
      <c r="K22" s="89" t="s">
        <v>39</v>
      </c>
      <c r="L22" s="10"/>
      <c r="M22" s="52"/>
      <c r="N22" s="53"/>
    </row>
    <row r="23" spans="2:14" ht="18" customHeight="1">
      <c r="B23" s="24"/>
      <c r="C23" s="42"/>
      <c r="D23" s="43"/>
      <c r="E23" s="42"/>
      <c r="F23" s="43"/>
      <c r="G23" s="42"/>
      <c r="H23" s="43"/>
      <c r="I23" s="64"/>
      <c r="J23" s="65"/>
      <c r="K23" s="90"/>
      <c r="L23" s="12"/>
      <c r="M23" s="46"/>
      <c r="N23" s="47"/>
    </row>
    <row r="24" spans="2:14" ht="18" customHeight="1">
      <c r="B24" s="31"/>
      <c r="C24" s="39"/>
      <c r="D24" s="40"/>
      <c r="E24" s="39"/>
      <c r="F24" s="40"/>
      <c r="G24" s="39"/>
      <c r="H24" s="40"/>
      <c r="I24" s="39"/>
      <c r="J24" s="41"/>
      <c r="K24" s="90"/>
      <c r="L24" s="12"/>
      <c r="M24" s="46"/>
      <c r="N24" s="47"/>
    </row>
    <row r="25" spans="2:14" ht="18" customHeight="1">
      <c r="B25" s="24"/>
      <c r="C25" s="42"/>
      <c r="D25" s="43"/>
      <c r="E25" s="42"/>
      <c r="F25" s="43"/>
      <c r="G25" s="42"/>
      <c r="H25" s="43"/>
      <c r="I25" s="64"/>
      <c r="J25" s="65"/>
      <c r="K25" s="90"/>
      <c r="L25" s="12"/>
      <c r="M25" s="46"/>
      <c r="N25" s="47"/>
    </row>
    <row r="26" spans="2:14" ht="18" customHeight="1">
      <c r="B26" s="38">
        <v>0.58333333333333337</v>
      </c>
      <c r="C26" s="39"/>
      <c r="D26" s="40"/>
      <c r="E26" s="84">
        <v>0.58333333333333337</v>
      </c>
      <c r="F26" s="40"/>
      <c r="G26" s="39"/>
      <c r="H26" s="40"/>
      <c r="I26" s="84">
        <v>0.58333333333333337</v>
      </c>
      <c r="J26" s="41"/>
      <c r="K26" s="90"/>
      <c r="L26" s="12"/>
      <c r="M26" s="46"/>
      <c r="N26" s="47"/>
    </row>
    <row r="27" spans="2:14" ht="18" customHeight="1">
      <c r="B27" s="24" t="s">
        <v>44</v>
      </c>
      <c r="C27" s="42"/>
      <c r="D27" s="43"/>
      <c r="E27" s="42" t="s">
        <v>44</v>
      </c>
      <c r="F27" s="43"/>
      <c r="G27" s="42"/>
      <c r="H27" s="43"/>
      <c r="I27" s="64" t="s">
        <v>44</v>
      </c>
      <c r="J27" s="65"/>
      <c r="K27" s="37"/>
      <c r="L27" s="26"/>
      <c r="M27" s="50"/>
      <c r="N27" s="51"/>
    </row>
    <row r="28" spans="2:14" ht="18" customHeight="1">
      <c r="B28" s="31"/>
      <c r="C28" s="39"/>
      <c r="D28" s="40"/>
      <c r="E28" s="39"/>
      <c r="F28" s="40"/>
      <c r="G28" s="39"/>
      <c r="H28" s="40"/>
      <c r="I28" s="39"/>
      <c r="J28" s="41"/>
      <c r="K28" s="89" t="s">
        <v>40</v>
      </c>
      <c r="L28" s="10"/>
      <c r="M28" s="52"/>
      <c r="N28" s="53"/>
    </row>
    <row r="29" spans="2:14" ht="18" customHeight="1">
      <c r="B29" s="24"/>
      <c r="C29" s="42"/>
      <c r="D29" s="43"/>
      <c r="E29" s="42"/>
      <c r="F29" s="43"/>
      <c r="G29" s="42"/>
      <c r="H29" s="43"/>
      <c r="I29" s="42"/>
      <c r="J29" s="70"/>
      <c r="K29" s="90"/>
      <c r="L29" s="12"/>
      <c r="M29" s="46"/>
      <c r="N29" s="47"/>
    </row>
    <row r="30" spans="2:14" ht="18" customHeight="1">
      <c r="B30" s="31"/>
      <c r="C30" s="39" t="s">
        <v>57</v>
      </c>
      <c r="D30" s="40"/>
      <c r="E30" s="39"/>
      <c r="F30" s="40"/>
      <c r="G30" s="39" t="s">
        <v>57</v>
      </c>
      <c r="H30" s="40"/>
      <c r="I30" s="39"/>
      <c r="J30" s="41"/>
      <c r="K30" s="90"/>
      <c r="L30" s="12"/>
      <c r="M30" s="46"/>
      <c r="N30" s="47"/>
    </row>
    <row r="31" spans="2:14" ht="18" customHeight="1">
      <c r="B31" s="24"/>
      <c r="C31" s="42" t="s">
        <v>45</v>
      </c>
      <c r="D31" s="43"/>
      <c r="E31" s="42"/>
      <c r="F31" s="43"/>
      <c r="G31" s="42" t="s">
        <v>45</v>
      </c>
      <c r="H31" s="43"/>
      <c r="I31" s="42"/>
      <c r="J31" s="70"/>
      <c r="K31" s="27"/>
      <c r="L31" s="12"/>
      <c r="M31" s="46"/>
      <c r="N31" s="47"/>
    </row>
    <row r="32" spans="2:14" ht="18" customHeight="1">
      <c r="B32" s="31"/>
      <c r="C32" s="39"/>
      <c r="D32" s="40"/>
      <c r="E32" s="39"/>
      <c r="F32" s="40"/>
      <c r="G32" s="39"/>
      <c r="H32" s="40"/>
      <c r="I32" s="68"/>
      <c r="J32" s="69"/>
      <c r="K32" s="27"/>
      <c r="L32" s="12"/>
      <c r="M32" s="46"/>
      <c r="N32" s="47"/>
    </row>
    <row r="33" spans="2:14" ht="18" customHeight="1">
      <c r="B33" s="28"/>
      <c r="C33" s="66"/>
      <c r="D33" s="67"/>
      <c r="E33" s="66"/>
      <c r="F33" s="67"/>
      <c r="G33" s="66"/>
      <c r="H33" s="67"/>
      <c r="I33" s="72"/>
      <c r="J33" s="73"/>
      <c r="K33" s="29"/>
      <c r="L33" s="30"/>
      <c r="M33" s="81"/>
      <c r="N33" s="82"/>
    </row>
  </sheetData>
  <mergeCells count="119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K22:K26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M16:N16"/>
    <mergeCell ref="C17:D17"/>
    <mergeCell ref="E17:F17"/>
    <mergeCell ref="G17:H17"/>
    <mergeCell ref="I17:J17"/>
    <mergeCell ref="K16:K19"/>
    <mergeCell ref="C19:D19"/>
    <mergeCell ref="E19:F19"/>
    <mergeCell ref="G19:H19"/>
    <mergeCell ref="I19:J19"/>
    <mergeCell ref="M19:N1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55" priority="5" stopIfTrue="1">
      <formula>DAY(C4)&gt;8</formula>
    </cfRule>
  </conditionalFormatting>
  <conditionalFormatting sqref="C8:I10">
    <cfRule type="expression" dxfId="54" priority="4" stopIfTrue="1">
      <formula>AND(DAY(C8)&gt;=1,DAY(C8)&lt;=15)</formula>
    </cfRule>
  </conditionalFormatting>
  <conditionalFormatting sqref="C4:I9">
    <cfRule type="expression" dxfId="53" priority="6">
      <formula>VLOOKUP(DAY(C4),AssignmentDays,1,FALSE)=DAY(C4)</formula>
    </cfRule>
  </conditionalFormatting>
  <conditionalFormatting sqref="B14:J29 B31:J33 B30 I30:J30 E30:F30">
    <cfRule type="expression" dxfId="52" priority="3">
      <formula>B14&lt;&gt;""</formula>
    </cfRule>
  </conditionalFormatting>
  <conditionalFormatting sqref="G30:H30">
    <cfRule type="expression" dxfId="51" priority="2">
      <formula>G30&lt;&gt;""</formula>
    </cfRule>
  </conditionalFormatting>
  <conditionalFormatting sqref="C30:D30">
    <cfRule type="expression" dxfId="50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/>
  <cols>
    <col min="1" max="1" width="2.25" style="1" customWidth="1"/>
    <col min="2" max="2" width="12.625" style="1" customWidth="1"/>
    <col min="3" max="10" width="6.625" style="1" customWidth="1"/>
    <col min="11" max="11" width="7.25" style="1" customWidth="1"/>
    <col min="12" max="12" width="3.75" style="1" customWidth="1"/>
    <col min="13" max="13" width="51.375" style="1" customWidth="1"/>
    <col min="14" max="14" width="13" style="1" bestFit="1" customWidth="1"/>
    <col min="15" max="15" width="2.25" style="1" customWidth="1"/>
    <col min="16" max="22" width="7.75" style="1" customWidth="1"/>
    <col min="23" max="16384" width="8.62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54" t="s">
        <v>12</v>
      </c>
      <c r="L2" s="55">
        <v>2013</v>
      </c>
      <c r="M2" s="55"/>
      <c r="N2" s="61">
        <f ca="1">CalendarYear</f>
        <v>2018</v>
      </c>
    </row>
    <row r="3" spans="1:14" ht="21" customHeight="1">
      <c r="A3" s="2"/>
      <c r="B3" s="71" t="s">
        <v>26</v>
      </c>
      <c r="C3" s="7" t="s">
        <v>50</v>
      </c>
      <c r="D3" s="7" t="s">
        <v>4</v>
      </c>
      <c r="E3" s="7" t="s">
        <v>8</v>
      </c>
      <c r="F3" s="7" t="s">
        <v>6</v>
      </c>
      <c r="G3" s="7" t="s">
        <v>5</v>
      </c>
      <c r="H3" s="7" t="s">
        <v>7</v>
      </c>
      <c r="I3" s="7" t="s">
        <v>3</v>
      </c>
      <c r="J3" s="8"/>
      <c r="K3" s="56"/>
      <c r="L3" s="57"/>
      <c r="M3" s="57"/>
      <c r="N3" s="62"/>
    </row>
    <row r="4" spans="1:14" ht="18" customHeight="1">
      <c r="A4" s="2"/>
      <c r="B4" s="71"/>
      <c r="C4" s="9">
        <f ca="1">IF(DAY(AprSun1)=1,AprSun1-6,AprSun1+1)</f>
        <v>43191</v>
      </c>
      <c r="D4" s="9">
        <f ca="1">IF(DAY(AprSun1)=1,AprSun1-5,AprSun1+2)</f>
        <v>43192</v>
      </c>
      <c r="E4" s="9">
        <f ca="1">IF(DAY(AprSun1)=1,AprSun1-4,AprSun1+3)</f>
        <v>43193</v>
      </c>
      <c r="F4" s="9">
        <f ca="1">IF(DAY(AprSun1)=1,AprSun1-3,AprSun1+4)</f>
        <v>43194</v>
      </c>
      <c r="G4" s="9">
        <f ca="1">IF(DAY(AprSun1)=1,AprSun1-2,AprSun1+5)</f>
        <v>43195</v>
      </c>
      <c r="H4" s="9">
        <f ca="1">IF(DAY(AprSun1)=1,AprSun1-1,AprSun1+6)</f>
        <v>43196</v>
      </c>
      <c r="I4" s="9">
        <f ca="1">IF(DAY(AprSun1)=1,AprSun1,AprSun1+7)</f>
        <v>43197</v>
      </c>
      <c r="J4" s="8"/>
      <c r="K4" s="58" t="s">
        <v>36</v>
      </c>
      <c r="L4" s="10"/>
      <c r="M4" s="59"/>
      <c r="N4" s="60"/>
    </row>
    <row r="5" spans="1:14" ht="18" customHeight="1">
      <c r="A5" s="2"/>
      <c r="B5" s="33"/>
      <c r="C5" s="9">
        <f ca="1">IF(DAY(AprSun1)=1,AprSun1+1,AprSun1+8)</f>
        <v>43198</v>
      </c>
      <c r="D5" s="9">
        <f ca="1">IF(DAY(AprSun1)=1,AprSun1+2,AprSun1+9)</f>
        <v>43199</v>
      </c>
      <c r="E5" s="9">
        <f ca="1">IF(DAY(AprSun1)=1,AprSun1+3,AprSun1+10)</f>
        <v>43200</v>
      </c>
      <c r="F5" s="9">
        <f ca="1">IF(DAY(AprSun1)=1,AprSun1+4,AprSun1+11)</f>
        <v>43201</v>
      </c>
      <c r="G5" s="9">
        <f ca="1">IF(DAY(AprSun1)=1,AprSun1+5,AprSun1+12)</f>
        <v>43202</v>
      </c>
      <c r="H5" s="9">
        <f ca="1">IF(DAY(AprSun1)=1,AprSun1+6,AprSun1+13)</f>
        <v>43203</v>
      </c>
      <c r="I5" s="9">
        <f ca="1">IF(DAY(AprSun1)=1,AprSun1+7,AprSun1+14)</f>
        <v>43204</v>
      </c>
      <c r="J5" s="8"/>
      <c r="K5" s="45"/>
      <c r="L5" s="12"/>
      <c r="M5" s="46"/>
      <c r="N5" s="47"/>
    </row>
    <row r="6" spans="1:14" ht="18" customHeight="1">
      <c r="A6" s="2"/>
      <c r="B6" s="33"/>
      <c r="C6" s="9">
        <f ca="1">IF(DAY(AprSun1)=1,AprSun1+8,AprSun1+15)</f>
        <v>43205</v>
      </c>
      <c r="D6" s="9">
        <f ca="1">IF(DAY(AprSun1)=1,AprSun1+9,AprSun1+16)</f>
        <v>43206</v>
      </c>
      <c r="E6" s="9">
        <f ca="1">IF(DAY(AprSun1)=1,AprSun1+10,AprSun1+17)</f>
        <v>43207</v>
      </c>
      <c r="F6" s="9">
        <f ca="1">IF(DAY(AprSun1)=1,AprSun1+11,AprSun1+18)</f>
        <v>43208</v>
      </c>
      <c r="G6" s="9">
        <f ca="1">IF(DAY(AprSun1)=1,AprSun1+12,AprSun1+19)</f>
        <v>43209</v>
      </c>
      <c r="H6" s="9">
        <f ca="1">IF(DAY(AprSun1)=1,AprSun1+13,AprSun1+20)</f>
        <v>43210</v>
      </c>
      <c r="I6" s="9">
        <f ca="1">IF(DAY(AprSun1)=1,AprSun1+14,AprSun1+21)</f>
        <v>43211</v>
      </c>
      <c r="J6" s="8"/>
      <c r="K6" s="45"/>
      <c r="L6" s="12"/>
      <c r="M6" s="46"/>
      <c r="N6" s="47"/>
    </row>
    <row r="7" spans="1:14" ht="18" customHeight="1">
      <c r="A7" s="2"/>
      <c r="B7" s="33"/>
      <c r="C7" s="9">
        <f ca="1">IF(DAY(AprSun1)=1,AprSun1+15,AprSun1+22)</f>
        <v>43212</v>
      </c>
      <c r="D7" s="9">
        <f ca="1">IF(DAY(AprSun1)=1,AprSun1+16,AprSun1+23)</f>
        <v>43213</v>
      </c>
      <c r="E7" s="9">
        <f ca="1">IF(DAY(AprSun1)=1,AprSun1+17,AprSun1+24)</f>
        <v>43214</v>
      </c>
      <c r="F7" s="9">
        <f ca="1">IF(DAY(AprSun1)=1,AprSun1+18,AprSun1+25)</f>
        <v>43215</v>
      </c>
      <c r="G7" s="9">
        <f ca="1">IF(DAY(AprSun1)=1,AprSun1+19,AprSun1+26)</f>
        <v>43216</v>
      </c>
      <c r="H7" s="9">
        <f ca="1">IF(DAY(AprSun1)=1,AprSun1+20,AprSun1+27)</f>
        <v>43217</v>
      </c>
      <c r="I7" s="9">
        <f ca="1">IF(DAY(AprSun1)=1,AprSun1+21,AprSun1+28)</f>
        <v>43218</v>
      </c>
      <c r="J7" s="8"/>
      <c r="K7" s="13"/>
      <c r="L7" s="12"/>
      <c r="M7" s="46"/>
      <c r="N7" s="47"/>
    </row>
    <row r="8" spans="1:14" ht="18.75" customHeight="1">
      <c r="A8" s="2"/>
      <c r="B8" s="33"/>
      <c r="C8" s="9">
        <f ca="1">IF(DAY(AprSun1)=1,AprSun1+22,AprSun1+29)</f>
        <v>43219</v>
      </c>
      <c r="D8" s="9">
        <f ca="1">IF(DAY(AprSun1)=1,AprSun1+23,AprSun1+30)</f>
        <v>43220</v>
      </c>
      <c r="E8" s="9">
        <f ca="1">IF(DAY(AprSun1)=1,AprSun1+24,AprSun1+31)</f>
        <v>43221</v>
      </c>
      <c r="F8" s="9">
        <f ca="1">IF(DAY(AprSun1)=1,AprSun1+25,AprSun1+32)</f>
        <v>43222</v>
      </c>
      <c r="G8" s="9">
        <f ca="1">IF(DAY(AprSun1)=1,AprSun1+26,AprSun1+33)</f>
        <v>43223</v>
      </c>
      <c r="H8" s="9">
        <f ca="1">IF(DAY(AprSun1)=1,AprSun1+27,AprSun1+34)</f>
        <v>43224</v>
      </c>
      <c r="I8" s="9">
        <f ca="1">IF(DAY(AprSun1)=1,AprSun1+28,AprSun1+35)</f>
        <v>43225</v>
      </c>
      <c r="J8" s="8"/>
      <c r="K8" s="13"/>
      <c r="L8" s="12"/>
      <c r="M8" s="46"/>
      <c r="N8" s="47"/>
    </row>
    <row r="9" spans="1:14" ht="18" customHeight="1">
      <c r="A9" s="2"/>
      <c r="B9" s="33"/>
      <c r="C9" s="9">
        <f ca="1">IF(DAY(AprSun1)=1,AprSun1+29,AprSun1+36)</f>
        <v>43226</v>
      </c>
      <c r="D9" s="9">
        <f ca="1">IF(DAY(AprSun1)=1,AprSun1+30,AprSun1+37)</f>
        <v>43227</v>
      </c>
      <c r="E9" s="9">
        <f ca="1">IF(DAY(AprSun1)=1,AprSun1+31,AprSun1+38)</f>
        <v>43228</v>
      </c>
      <c r="F9" s="9">
        <f ca="1">IF(DAY(AprSun1)=1,AprSun1+32,AprSun1+39)</f>
        <v>43229</v>
      </c>
      <c r="G9" s="9">
        <f ca="1">IF(DAY(AprSun1)=1,AprSun1+33,AprSun1+40)</f>
        <v>43230</v>
      </c>
      <c r="H9" s="9">
        <f ca="1">IF(DAY(AprSun1)=1,AprSun1+34,AprSun1+41)</f>
        <v>43231</v>
      </c>
      <c r="I9" s="9">
        <f ca="1">IF(DAY(AprSun1)=1,AprSun1+35,AprSun1+42)</f>
        <v>43232</v>
      </c>
      <c r="J9" s="8"/>
      <c r="K9" s="14"/>
      <c r="L9" s="15"/>
      <c r="M9" s="50"/>
      <c r="N9" s="51"/>
    </row>
    <row r="10" spans="1:14" ht="18" customHeight="1">
      <c r="A10" s="2"/>
      <c r="B10" s="34"/>
      <c r="C10" s="17"/>
      <c r="D10" s="17"/>
      <c r="E10" s="17"/>
      <c r="F10" s="17"/>
      <c r="G10" s="17"/>
      <c r="H10" s="17"/>
      <c r="I10" s="17"/>
      <c r="J10" s="18"/>
      <c r="K10" s="44" t="s">
        <v>37</v>
      </c>
      <c r="L10" s="10"/>
      <c r="M10" s="52"/>
      <c r="N10" s="53"/>
    </row>
    <row r="11" spans="1:14" ht="18" customHeight="1">
      <c r="A11" s="2"/>
      <c r="B11" s="78" t="s">
        <v>17</v>
      </c>
      <c r="C11" s="83"/>
      <c r="D11" s="83"/>
      <c r="E11" s="83"/>
      <c r="F11" s="83"/>
      <c r="G11" s="83"/>
      <c r="H11" s="83"/>
      <c r="I11" s="83"/>
      <c r="J11" s="80"/>
      <c r="K11" s="45"/>
      <c r="L11" s="12"/>
      <c r="M11" s="46"/>
      <c r="N11" s="47"/>
    </row>
    <row r="12" spans="1:14" ht="18" customHeight="1">
      <c r="A12" s="2"/>
      <c r="B12" s="78"/>
      <c r="C12" s="83"/>
      <c r="D12" s="83"/>
      <c r="E12" s="83"/>
      <c r="F12" s="83"/>
      <c r="G12" s="83"/>
      <c r="H12" s="83"/>
      <c r="I12" s="83"/>
      <c r="J12" s="80"/>
      <c r="K12" s="45"/>
      <c r="L12" s="12"/>
      <c r="M12" s="46"/>
      <c r="N12" s="47"/>
    </row>
    <row r="13" spans="1:14" ht="18" customHeight="1">
      <c r="B13" s="19" t="s">
        <v>36</v>
      </c>
      <c r="C13" s="20" t="s">
        <v>37</v>
      </c>
      <c r="D13" s="21"/>
      <c r="E13" s="20" t="s">
        <v>38</v>
      </c>
      <c r="F13" s="21"/>
      <c r="G13" s="20" t="s">
        <v>39</v>
      </c>
      <c r="H13" s="21"/>
      <c r="I13" s="20" t="s">
        <v>40</v>
      </c>
      <c r="J13" s="22"/>
      <c r="K13" s="13"/>
      <c r="L13" s="12"/>
      <c r="M13" s="46"/>
      <c r="N13" s="47"/>
    </row>
    <row r="14" spans="1:14" ht="18" customHeight="1">
      <c r="B14" s="31" t="s">
        <v>0</v>
      </c>
      <c r="C14" s="39"/>
      <c r="D14" s="40"/>
      <c r="E14" s="39" t="s">
        <v>0</v>
      </c>
      <c r="F14" s="40"/>
      <c r="G14" s="39"/>
      <c r="H14" s="40"/>
      <c r="I14" s="39" t="s">
        <v>0</v>
      </c>
      <c r="J14" s="41"/>
      <c r="K14" s="13"/>
      <c r="L14" s="12"/>
      <c r="M14" s="46"/>
      <c r="N14" s="47"/>
    </row>
    <row r="15" spans="1:14" ht="18" customHeight="1">
      <c r="B15" s="24" t="s">
        <v>41</v>
      </c>
      <c r="C15" s="42"/>
      <c r="D15" s="43"/>
      <c r="E15" s="42" t="s">
        <v>41</v>
      </c>
      <c r="F15" s="43"/>
      <c r="G15" s="42"/>
      <c r="H15" s="43"/>
      <c r="I15" s="64" t="s">
        <v>41</v>
      </c>
      <c r="J15" s="65"/>
      <c r="K15" s="25"/>
      <c r="L15" s="26"/>
      <c r="M15" s="50"/>
      <c r="N15" s="51"/>
    </row>
    <row r="16" spans="1:14" ht="18" customHeight="1">
      <c r="B16" s="31"/>
      <c r="C16" s="39" t="s">
        <v>1</v>
      </c>
      <c r="D16" s="40"/>
      <c r="E16" s="39"/>
      <c r="F16" s="40"/>
      <c r="G16" s="39" t="s">
        <v>1</v>
      </c>
      <c r="H16" s="40"/>
      <c r="I16" s="68"/>
      <c r="J16" s="69"/>
      <c r="K16" s="44" t="s">
        <v>38</v>
      </c>
      <c r="L16" s="10"/>
      <c r="M16" s="52"/>
      <c r="N16" s="53"/>
    </row>
    <row r="17" spans="2:14" ht="18" customHeight="1">
      <c r="B17" s="24"/>
      <c r="C17" s="42" t="s">
        <v>42</v>
      </c>
      <c r="D17" s="43"/>
      <c r="E17" s="42"/>
      <c r="F17" s="43"/>
      <c r="G17" s="42" t="s">
        <v>42</v>
      </c>
      <c r="H17" s="43"/>
      <c r="I17" s="64"/>
      <c r="J17" s="65"/>
      <c r="K17" s="45"/>
      <c r="L17" s="12"/>
      <c r="M17" s="46"/>
      <c r="N17" s="47"/>
    </row>
    <row r="18" spans="2:14" ht="18" customHeight="1">
      <c r="B18" s="32" t="s">
        <v>2</v>
      </c>
      <c r="C18" s="48"/>
      <c r="D18" s="49"/>
      <c r="E18" s="48" t="s">
        <v>2</v>
      </c>
      <c r="F18" s="49"/>
      <c r="G18" s="48"/>
      <c r="H18" s="49"/>
      <c r="I18" s="48" t="s">
        <v>2</v>
      </c>
      <c r="J18" s="63"/>
      <c r="K18" s="45"/>
      <c r="L18" s="12"/>
      <c r="M18" s="46"/>
      <c r="N18" s="47"/>
    </row>
    <row r="19" spans="2:14" ht="18" customHeight="1">
      <c r="B19" s="24" t="s">
        <v>43</v>
      </c>
      <c r="C19" s="42"/>
      <c r="D19" s="43"/>
      <c r="E19" s="42" t="s">
        <v>43</v>
      </c>
      <c r="F19" s="43"/>
      <c r="G19" s="42"/>
      <c r="H19" s="43"/>
      <c r="I19" s="64" t="s">
        <v>43</v>
      </c>
      <c r="J19" s="65"/>
      <c r="K19" s="13"/>
      <c r="L19" s="12"/>
      <c r="M19" s="46"/>
      <c r="N19" s="47"/>
    </row>
    <row r="20" spans="2:14" ht="18" customHeight="1">
      <c r="B20" s="31"/>
      <c r="C20" s="39"/>
      <c r="D20" s="40"/>
      <c r="E20" s="39"/>
      <c r="F20" s="40"/>
      <c r="G20" s="39"/>
      <c r="H20" s="40"/>
      <c r="I20" s="39"/>
      <c r="J20" s="41"/>
      <c r="K20" s="13"/>
      <c r="L20" s="12"/>
      <c r="M20" s="46"/>
      <c r="N20" s="47"/>
    </row>
    <row r="21" spans="2:14" ht="18" customHeight="1">
      <c r="B21" s="24"/>
      <c r="C21" s="42"/>
      <c r="D21" s="43"/>
      <c r="E21" s="42"/>
      <c r="F21" s="43"/>
      <c r="G21" s="42"/>
      <c r="H21" s="43"/>
      <c r="I21" s="42"/>
      <c r="J21" s="70"/>
      <c r="K21" s="25"/>
      <c r="L21" s="26"/>
      <c r="M21" s="50"/>
      <c r="N21" s="51"/>
    </row>
    <row r="22" spans="2:14" ht="18" customHeight="1">
      <c r="B22" s="31"/>
      <c r="C22" s="39"/>
      <c r="D22" s="40"/>
      <c r="E22" s="39"/>
      <c r="F22" s="40"/>
      <c r="G22" s="39"/>
      <c r="H22" s="40"/>
      <c r="I22" s="39"/>
      <c r="J22" s="41"/>
      <c r="K22" s="44" t="s">
        <v>39</v>
      </c>
      <c r="L22" s="10"/>
      <c r="M22" s="52"/>
      <c r="N22" s="53"/>
    </row>
    <row r="23" spans="2:14" ht="18" customHeight="1">
      <c r="B23" s="24"/>
      <c r="C23" s="42"/>
      <c r="D23" s="43"/>
      <c r="E23" s="42"/>
      <c r="F23" s="43"/>
      <c r="G23" s="42"/>
      <c r="H23" s="43"/>
      <c r="I23" s="64"/>
      <c r="J23" s="65"/>
      <c r="K23" s="45"/>
      <c r="L23" s="12"/>
      <c r="M23" s="46"/>
      <c r="N23" s="47"/>
    </row>
    <row r="24" spans="2:14" ht="18" customHeight="1">
      <c r="B24" s="31"/>
      <c r="C24" s="39"/>
      <c r="D24" s="40"/>
      <c r="E24" s="39"/>
      <c r="F24" s="40"/>
      <c r="G24" s="39"/>
      <c r="H24" s="40"/>
      <c r="I24" s="39"/>
      <c r="J24" s="41"/>
      <c r="K24" s="45"/>
      <c r="L24" s="12"/>
      <c r="M24" s="46"/>
      <c r="N24" s="47"/>
    </row>
    <row r="25" spans="2:14" ht="18" customHeight="1">
      <c r="B25" s="24"/>
      <c r="C25" s="42"/>
      <c r="D25" s="43"/>
      <c r="E25" s="42"/>
      <c r="F25" s="43"/>
      <c r="G25" s="42"/>
      <c r="H25" s="43"/>
      <c r="I25" s="64"/>
      <c r="J25" s="65"/>
      <c r="K25" s="45"/>
      <c r="L25" s="12"/>
      <c r="M25" s="46"/>
      <c r="N25" s="47"/>
    </row>
    <row r="26" spans="2:14" ht="18" customHeight="1">
      <c r="B26" s="38">
        <v>0.58333333333333337</v>
      </c>
      <c r="C26" s="39"/>
      <c r="D26" s="40"/>
      <c r="E26" s="84">
        <v>0.58333333333333337</v>
      </c>
      <c r="F26" s="40"/>
      <c r="G26" s="39"/>
      <c r="H26" s="40"/>
      <c r="I26" s="84">
        <v>0.58333333333333337</v>
      </c>
      <c r="J26" s="41"/>
      <c r="K26" s="13"/>
      <c r="L26" s="12"/>
      <c r="M26" s="46"/>
      <c r="N26" s="47"/>
    </row>
    <row r="27" spans="2:14" ht="18" customHeight="1">
      <c r="B27" s="24" t="s">
        <v>44</v>
      </c>
      <c r="C27" s="42"/>
      <c r="D27" s="43"/>
      <c r="E27" s="42" t="s">
        <v>44</v>
      </c>
      <c r="F27" s="43"/>
      <c r="G27" s="42"/>
      <c r="H27" s="43"/>
      <c r="I27" s="64" t="s">
        <v>44</v>
      </c>
      <c r="J27" s="65"/>
      <c r="K27" s="25"/>
      <c r="L27" s="26"/>
      <c r="M27" s="50"/>
      <c r="N27" s="51"/>
    </row>
    <row r="28" spans="2:14" ht="18" customHeight="1">
      <c r="B28" s="31"/>
      <c r="C28" s="39"/>
      <c r="D28" s="40"/>
      <c r="E28" s="39"/>
      <c r="F28" s="40"/>
      <c r="G28" s="39"/>
      <c r="H28" s="40"/>
      <c r="I28" s="39"/>
      <c r="J28" s="41"/>
      <c r="K28" s="44" t="s">
        <v>40</v>
      </c>
      <c r="L28" s="10"/>
      <c r="M28" s="52"/>
      <c r="N28" s="53"/>
    </row>
    <row r="29" spans="2:14" ht="18" customHeight="1">
      <c r="B29" s="24"/>
      <c r="C29" s="42"/>
      <c r="D29" s="43"/>
      <c r="E29" s="42"/>
      <c r="F29" s="43"/>
      <c r="G29" s="42"/>
      <c r="H29" s="43"/>
      <c r="I29" s="42"/>
      <c r="J29" s="70"/>
      <c r="K29" s="45"/>
      <c r="L29" s="12"/>
      <c r="M29" s="46"/>
      <c r="N29" s="47"/>
    </row>
    <row r="30" spans="2:14" ht="18" customHeight="1">
      <c r="B30" s="31"/>
      <c r="C30" s="39" t="s">
        <v>57</v>
      </c>
      <c r="D30" s="40"/>
      <c r="E30" s="39"/>
      <c r="F30" s="40"/>
      <c r="G30" s="39" t="s">
        <v>57</v>
      </c>
      <c r="H30" s="40"/>
      <c r="I30" s="39"/>
      <c r="J30" s="41"/>
      <c r="K30" s="45"/>
      <c r="L30" s="12"/>
      <c r="M30" s="46"/>
      <c r="N30" s="47"/>
    </row>
    <row r="31" spans="2:14" ht="18" customHeight="1">
      <c r="B31" s="24"/>
      <c r="C31" s="42" t="s">
        <v>45</v>
      </c>
      <c r="D31" s="43"/>
      <c r="E31" s="42"/>
      <c r="F31" s="43"/>
      <c r="G31" s="42" t="s">
        <v>45</v>
      </c>
      <c r="H31" s="43"/>
      <c r="I31" s="42"/>
      <c r="J31" s="70"/>
      <c r="K31" s="27"/>
      <c r="L31" s="12"/>
      <c r="M31" s="46"/>
      <c r="N31" s="47"/>
    </row>
    <row r="32" spans="2:14" ht="18" customHeight="1">
      <c r="B32" s="23"/>
      <c r="C32" s="85"/>
      <c r="D32" s="86"/>
      <c r="E32" s="85"/>
      <c r="F32" s="86"/>
      <c r="G32" s="85"/>
      <c r="H32" s="86"/>
      <c r="I32" s="87"/>
      <c r="J32" s="88"/>
      <c r="K32" s="27"/>
      <c r="L32" s="12"/>
      <c r="M32" s="46"/>
      <c r="N32" s="47"/>
    </row>
    <row r="33" spans="2:14" ht="18" customHeight="1">
      <c r="B33" s="28"/>
      <c r="C33" s="66"/>
      <c r="D33" s="67"/>
      <c r="E33" s="66"/>
      <c r="F33" s="67"/>
      <c r="G33" s="66"/>
      <c r="H33" s="67"/>
      <c r="I33" s="72"/>
      <c r="J33" s="73"/>
      <c r="K33" s="29"/>
      <c r="L33" s="30"/>
      <c r="M33" s="81"/>
      <c r="N33" s="82"/>
    </row>
  </sheetData>
  <mergeCells count="119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49" priority="5" stopIfTrue="1">
      <formula>DAY(C4)&gt;8</formula>
    </cfRule>
  </conditionalFormatting>
  <conditionalFormatting sqref="C8:I10">
    <cfRule type="expression" dxfId="48" priority="4" stopIfTrue="1">
      <formula>AND(DAY(C8)&gt;=1,DAY(C8)&lt;=15)</formula>
    </cfRule>
  </conditionalFormatting>
  <conditionalFormatting sqref="C4:I9">
    <cfRule type="expression" dxfId="47" priority="6">
      <formula>VLOOKUP(DAY(C4),AssignmentDays,1,FALSE)=DAY(C4)</formula>
    </cfRule>
  </conditionalFormatting>
  <conditionalFormatting sqref="B14:J29 B31:J33 B30 I30:J30 E30:F30">
    <cfRule type="expression" dxfId="46" priority="3">
      <formula>B14&lt;&gt;""</formula>
    </cfRule>
  </conditionalFormatting>
  <conditionalFormatting sqref="G30:H30">
    <cfRule type="expression" dxfId="45" priority="2">
      <formula>G30&lt;&gt;""</formula>
    </cfRule>
  </conditionalFormatting>
  <conditionalFormatting sqref="C30:D30">
    <cfRule type="expression" dxfId="44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/>
  <cols>
    <col min="1" max="1" width="2.25" style="1" customWidth="1"/>
    <col min="2" max="2" width="12.625" style="1" customWidth="1"/>
    <col min="3" max="10" width="6.625" style="1" customWidth="1"/>
    <col min="11" max="11" width="7.25" style="1" customWidth="1"/>
    <col min="12" max="12" width="3.75" style="1" customWidth="1"/>
    <col min="13" max="13" width="51.375" style="1" customWidth="1"/>
    <col min="14" max="14" width="13" style="1" bestFit="1" customWidth="1"/>
    <col min="15" max="15" width="2.25" style="1" customWidth="1"/>
    <col min="16" max="22" width="7.75" style="1" customWidth="1"/>
    <col min="23" max="16384" width="8.62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54" t="s">
        <v>12</v>
      </c>
      <c r="L2" s="55">
        <v>2013</v>
      </c>
      <c r="M2" s="55"/>
      <c r="N2" s="61">
        <f ca="1">CalendarYear</f>
        <v>2018</v>
      </c>
    </row>
    <row r="3" spans="1:14" ht="21" customHeight="1">
      <c r="A3" s="2"/>
      <c r="B3" s="71" t="s">
        <v>27</v>
      </c>
      <c r="C3" s="7" t="s">
        <v>50</v>
      </c>
      <c r="D3" s="7" t="s">
        <v>4</v>
      </c>
      <c r="E3" s="7" t="s">
        <v>8</v>
      </c>
      <c r="F3" s="7" t="s">
        <v>6</v>
      </c>
      <c r="G3" s="7" t="s">
        <v>5</v>
      </c>
      <c r="H3" s="7" t="s">
        <v>7</v>
      </c>
      <c r="I3" s="7" t="s">
        <v>3</v>
      </c>
      <c r="J3" s="8"/>
      <c r="K3" s="56"/>
      <c r="L3" s="57"/>
      <c r="M3" s="57"/>
      <c r="N3" s="62"/>
    </row>
    <row r="4" spans="1:14" ht="18" customHeight="1">
      <c r="A4" s="2"/>
      <c r="B4" s="71"/>
      <c r="C4" s="9">
        <f ca="1">IF(DAY(MaySun1)=1,MaySun1-6,MaySun1+1)</f>
        <v>43219</v>
      </c>
      <c r="D4" s="9">
        <f ca="1">IF(DAY(MaySun1)=1,MaySun1-5,MaySun1+2)</f>
        <v>43220</v>
      </c>
      <c r="E4" s="9">
        <f ca="1">IF(DAY(MaySun1)=1,MaySun1-4,MaySun1+3)</f>
        <v>43221</v>
      </c>
      <c r="F4" s="9">
        <f ca="1">IF(DAY(MaySun1)=1,MaySun1-3,MaySun1+4)</f>
        <v>43222</v>
      </c>
      <c r="G4" s="9">
        <f ca="1">IF(DAY(MaySun1)=1,MaySun1-2,MaySun1+5)</f>
        <v>43223</v>
      </c>
      <c r="H4" s="9">
        <f ca="1">IF(DAY(MaySun1)=1,MaySun1-1,MaySun1+6)</f>
        <v>43224</v>
      </c>
      <c r="I4" s="9">
        <f ca="1">IF(DAY(MaySun1)=1,MaySun1,MaySun1+7)</f>
        <v>43225</v>
      </c>
      <c r="J4" s="8"/>
      <c r="K4" s="58" t="s">
        <v>36</v>
      </c>
      <c r="L4" s="10"/>
      <c r="M4" s="59"/>
      <c r="N4" s="60"/>
    </row>
    <row r="5" spans="1:14" ht="18" customHeight="1">
      <c r="A5" s="2"/>
      <c r="B5" s="33"/>
      <c r="C5" s="9">
        <f ca="1">IF(DAY(MaySun1)=1,MaySun1+1,MaySun1+8)</f>
        <v>43226</v>
      </c>
      <c r="D5" s="9">
        <f ca="1">IF(DAY(MaySun1)=1,MaySun1+2,MaySun1+9)</f>
        <v>43227</v>
      </c>
      <c r="E5" s="9">
        <f ca="1">IF(DAY(MaySun1)=1,MaySun1+3,MaySun1+10)</f>
        <v>43228</v>
      </c>
      <c r="F5" s="9">
        <f ca="1">IF(DAY(MaySun1)=1,MaySun1+4,MaySun1+11)</f>
        <v>43229</v>
      </c>
      <c r="G5" s="9">
        <f ca="1">IF(DAY(MaySun1)=1,MaySun1+5,MaySun1+12)</f>
        <v>43230</v>
      </c>
      <c r="H5" s="9">
        <f ca="1">IF(DAY(MaySun1)=1,MaySun1+6,MaySun1+13)</f>
        <v>43231</v>
      </c>
      <c r="I5" s="9">
        <f ca="1">IF(DAY(MaySun1)=1,MaySun1+7,MaySun1+14)</f>
        <v>43232</v>
      </c>
      <c r="J5" s="8"/>
      <c r="K5" s="45"/>
      <c r="L5" s="12"/>
      <c r="M5" s="46"/>
      <c r="N5" s="47"/>
    </row>
    <row r="6" spans="1:14" ht="18" customHeight="1">
      <c r="A6" s="2"/>
      <c r="B6" s="33"/>
      <c r="C6" s="9">
        <f ca="1">IF(DAY(MaySun1)=1,MaySun1+8,MaySun1+15)</f>
        <v>43233</v>
      </c>
      <c r="D6" s="9">
        <f ca="1">IF(DAY(MaySun1)=1,MaySun1+9,MaySun1+16)</f>
        <v>43234</v>
      </c>
      <c r="E6" s="9">
        <f ca="1">IF(DAY(MaySun1)=1,MaySun1+10,MaySun1+17)</f>
        <v>43235</v>
      </c>
      <c r="F6" s="9">
        <f ca="1">IF(DAY(MaySun1)=1,MaySun1+11,MaySun1+18)</f>
        <v>43236</v>
      </c>
      <c r="G6" s="9">
        <f ca="1">IF(DAY(MaySun1)=1,MaySun1+12,MaySun1+19)</f>
        <v>43237</v>
      </c>
      <c r="H6" s="9">
        <f ca="1">IF(DAY(MaySun1)=1,MaySun1+13,MaySun1+20)</f>
        <v>43238</v>
      </c>
      <c r="I6" s="9">
        <f ca="1">IF(DAY(MaySun1)=1,MaySun1+14,MaySun1+21)</f>
        <v>43239</v>
      </c>
      <c r="J6" s="8"/>
      <c r="K6" s="45"/>
      <c r="L6" s="12"/>
      <c r="M6" s="46"/>
      <c r="N6" s="47"/>
    </row>
    <row r="7" spans="1:14" ht="18" customHeight="1">
      <c r="A7" s="2"/>
      <c r="B7" s="33"/>
      <c r="C7" s="9">
        <f ca="1">IF(DAY(MaySun1)=1,MaySun1+15,MaySun1+22)</f>
        <v>43240</v>
      </c>
      <c r="D7" s="9">
        <f ca="1">IF(DAY(MaySun1)=1,MaySun1+16,MaySun1+23)</f>
        <v>43241</v>
      </c>
      <c r="E7" s="9">
        <f ca="1">IF(DAY(MaySun1)=1,MaySun1+17,MaySun1+24)</f>
        <v>43242</v>
      </c>
      <c r="F7" s="9">
        <f ca="1">IF(DAY(MaySun1)=1,MaySun1+18,MaySun1+25)</f>
        <v>43243</v>
      </c>
      <c r="G7" s="9">
        <f ca="1">IF(DAY(MaySun1)=1,MaySun1+19,MaySun1+26)</f>
        <v>43244</v>
      </c>
      <c r="H7" s="9">
        <f ca="1">IF(DAY(MaySun1)=1,MaySun1+20,MaySun1+27)</f>
        <v>43245</v>
      </c>
      <c r="I7" s="9">
        <f ca="1">IF(DAY(MaySun1)=1,MaySun1+21,MaySun1+28)</f>
        <v>43246</v>
      </c>
      <c r="J7" s="8"/>
      <c r="K7" s="13"/>
      <c r="L7" s="12"/>
      <c r="M7" s="46"/>
      <c r="N7" s="47"/>
    </row>
    <row r="8" spans="1:14" ht="18.75" customHeight="1">
      <c r="A8" s="2"/>
      <c r="B8" s="33"/>
      <c r="C8" s="9">
        <f ca="1">IF(DAY(MaySun1)=1,MaySun1+22,MaySun1+29)</f>
        <v>43247</v>
      </c>
      <c r="D8" s="9">
        <f ca="1">IF(DAY(MaySun1)=1,MaySun1+23,MaySun1+30)</f>
        <v>43248</v>
      </c>
      <c r="E8" s="9">
        <f ca="1">IF(DAY(MaySun1)=1,MaySun1+24,MaySun1+31)</f>
        <v>43249</v>
      </c>
      <c r="F8" s="9">
        <f ca="1">IF(DAY(MaySun1)=1,MaySun1+25,MaySun1+32)</f>
        <v>43250</v>
      </c>
      <c r="G8" s="9">
        <f ca="1">IF(DAY(MaySun1)=1,MaySun1+26,MaySun1+33)</f>
        <v>43251</v>
      </c>
      <c r="H8" s="9">
        <f ca="1">IF(DAY(MaySun1)=1,MaySun1+27,MaySun1+34)</f>
        <v>43252</v>
      </c>
      <c r="I8" s="9">
        <f ca="1">IF(DAY(MaySun1)=1,MaySun1+28,MaySun1+35)</f>
        <v>43253</v>
      </c>
      <c r="J8" s="8"/>
      <c r="K8" s="13"/>
      <c r="L8" s="12"/>
      <c r="M8" s="46"/>
      <c r="N8" s="47"/>
    </row>
    <row r="9" spans="1:14" ht="18" customHeight="1">
      <c r="A9" s="2"/>
      <c r="B9" s="33"/>
      <c r="C9" s="9">
        <f ca="1">IF(DAY(MaySun1)=1,MaySun1+29,MaySun1+36)</f>
        <v>43254</v>
      </c>
      <c r="D9" s="9">
        <f ca="1">IF(DAY(MaySun1)=1,MaySun1+30,MaySun1+37)</f>
        <v>43255</v>
      </c>
      <c r="E9" s="9">
        <f ca="1">IF(DAY(MaySun1)=1,MaySun1+31,MaySun1+38)</f>
        <v>43256</v>
      </c>
      <c r="F9" s="9">
        <f ca="1">IF(DAY(MaySun1)=1,MaySun1+32,MaySun1+39)</f>
        <v>43257</v>
      </c>
      <c r="G9" s="9">
        <f ca="1">IF(DAY(MaySun1)=1,MaySun1+33,MaySun1+40)</f>
        <v>43258</v>
      </c>
      <c r="H9" s="9">
        <f ca="1">IF(DAY(MaySun1)=1,MaySun1+34,MaySun1+41)</f>
        <v>43259</v>
      </c>
      <c r="I9" s="9">
        <f ca="1">IF(DAY(MaySun1)=1,MaySun1+35,MaySun1+42)</f>
        <v>43260</v>
      </c>
      <c r="J9" s="8"/>
      <c r="K9" s="14"/>
      <c r="L9" s="15"/>
      <c r="M9" s="50"/>
      <c r="N9" s="51"/>
    </row>
    <row r="10" spans="1:14" ht="18" customHeight="1">
      <c r="A10" s="2"/>
      <c r="B10" s="34"/>
      <c r="C10" s="17"/>
      <c r="D10" s="17"/>
      <c r="E10" s="17"/>
      <c r="F10" s="17"/>
      <c r="G10" s="17"/>
      <c r="H10" s="17"/>
      <c r="I10" s="17"/>
      <c r="J10" s="18"/>
      <c r="K10" s="44" t="s">
        <v>37</v>
      </c>
      <c r="L10" s="10"/>
      <c r="M10" s="52"/>
      <c r="N10" s="53"/>
    </row>
    <row r="11" spans="1:14" ht="18" customHeight="1">
      <c r="A11" s="2"/>
      <c r="B11" s="78" t="s">
        <v>18</v>
      </c>
      <c r="C11" s="83"/>
      <c r="D11" s="83"/>
      <c r="E11" s="83"/>
      <c r="F11" s="83"/>
      <c r="G11" s="83"/>
      <c r="H11" s="83"/>
      <c r="I11" s="83"/>
      <c r="J11" s="80"/>
      <c r="K11" s="45"/>
      <c r="L11" s="12"/>
      <c r="M11" s="46"/>
      <c r="N11" s="47"/>
    </row>
    <row r="12" spans="1:14" ht="18" customHeight="1">
      <c r="A12" s="2"/>
      <c r="B12" s="78"/>
      <c r="C12" s="83"/>
      <c r="D12" s="83"/>
      <c r="E12" s="83"/>
      <c r="F12" s="83"/>
      <c r="G12" s="83"/>
      <c r="H12" s="83"/>
      <c r="I12" s="83"/>
      <c r="J12" s="80"/>
      <c r="K12" s="45"/>
      <c r="L12" s="12"/>
      <c r="M12" s="46"/>
      <c r="N12" s="47"/>
    </row>
    <row r="13" spans="1:14" ht="18" customHeight="1">
      <c r="B13" s="19" t="s">
        <v>36</v>
      </c>
      <c r="C13" s="20" t="s">
        <v>37</v>
      </c>
      <c r="D13" s="21"/>
      <c r="E13" s="20" t="s">
        <v>38</v>
      </c>
      <c r="F13" s="21"/>
      <c r="G13" s="20" t="s">
        <v>39</v>
      </c>
      <c r="H13" s="21"/>
      <c r="I13" s="20" t="s">
        <v>40</v>
      </c>
      <c r="J13" s="22"/>
      <c r="K13" s="13"/>
      <c r="L13" s="12"/>
      <c r="M13" s="46"/>
      <c r="N13" s="47"/>
    </row>
    <row r="14" spans="1:14" ht="18" customHeight="1">
      <c r="B14" s="31" t="s">
        <v>0</v>
      </c>
      <c r="C14" s="39"/>
      <c r="D14" s="40"/>
      <c r="E14" s="39" t="s">
        <v>0</v>
      </c>
      <c r="F14" s="40"/>
      <c r="G14" s="39"/>
      <c r="H14" s="40"/>
      <c r="I14" s="39" t="s">
        <v>0</v>
      </c>
      <c r="J14" s="41"/>
      <c r="K14" s="13"/>
      <c r="L14" s="12"/>
      <c r="M14" s="46"/>
      <c r="N14" s="47"/>
    </row>
    <row r="15" spans="1:14" ht="18" customHeight="1">
      <c r="B15" s="24" t="s">
        <v>41</v>
      </c>
      <c r="C15" s="42"/>
      <c r="D15" s="43"/>
      <c r="E15" s="42" t="s">
        <v>41</v>
      </c>
      <c r="F15" s="43"/>
      <c r="G15" s="42"/>
      <c r="H15" s="43"/>
      <c r="I15" s="64" t="s">
        <v>41</v>
      </c>
      <c r="J15" s="65"/>
      <c r="K15" s="25"/>
      <c r="L15" s="26"/>
      <c r="M15" s="50"/>
      <c r="N15" s="51"/>
    </row>
    <row r="16" spans="1:14" ht="18" customHeight="1">
      <c r="B16" s="31"/>
      <c r="C16" s="39" t="s">
        <v>1</v>
      </c>
      <c r="D16" s="40"/>
      <c r="E16" s="39"/>
      <c r="F16" s="40"/>
      <c r="G16" s="39" t="s">
        <v>1</v>
      </c>
      <c r="H16" s="40"/>
      <c r="I16" s="68"/>
      <c r="J16" s="69"/>
      <c r="K16" s="44" t="s">
        <v>38</v>
      </c>
      <c r="L16" s="10"/>
      <c r="M16" s="52"/>
      <c r="N16" s="53"/>
    </row>
    <row r="17" spans="2:14" ht="18" customHeight="1">
      <c r="B17" s="24"/>
      <c r="C17" s="42" t="s">
        <v>42</v>
      </c>
      <c r="D17" s="43"/>
      <c r="E17" s="42"/>
      <c r="F17" s="43"/>
      <c r="G17" s="42" t="s">
        <v>42</v>
      </c>
      <c r="H17" s="43"/>
      <c r="I17" s="64"/>
      <c r="J17" s="65"/>
      <c r="K17" s="45"/>
      <c r="L17" s="12"/>
      <c r="M17" s="46"/>
      <c r="N17" s="47"/>
    </row>
    <row r="18" spans="2:14" ht="18" customHeight="1">
      <c r="B18" s="32" t="s">
        <v>2</v>
      </c>
      <c r="C18" s="48"/>
      <c r="D18" s="49"/>
      <c r="E18" s="48" t="s">
        <v>2</v>
      </c>
      <c r="F18" s="49"/>
      <c r="G18" s="48"/>
      <c r="H18" s="49"/>
      <c r="I18" s="48" t="s">
        <v>2</v>
      </c>
      <c r="J18" s="63"/>
      <c r="K18" s="45"/>
      <c r="L18" s="12"/>
      <c r="M18" s="46"/>
      <c r="N18" s="47"/>
    </row>
    <row r="19" spans="2:14" ht="18" customHeight="1">
      <c r="B19" s="24" t="s">
        <v>43</v>
      </c>
      <c r="C19" s="42"/>
      <c r="D19" s="43"/>
      <c r="E19" s="42" t="s">
        <v>43</v>
      </c>
      <c r="F19" s="43"/>
      <c r="G19" s="42"/>
      <c r="H19" s="43"/>
      <c r="I19" s="64" t="s">
        <v>43</v>
      </c>
      <c r="J19" s="65"/>
      <c r="K19" s="13"/>
      <c r="L19" s="12"/>
      <c r="M19" s="46"/>
      <c r="N19" s="47"/>
    </row>
    <row r="20" spans="2:14" ht="18" customHeight="1">
      <c r="B20" s="31"/>
      <c r="C20" s="39"/>
      <c r="D20" s="40"/>
      <c r="E20" s="39"/>
      <c r="F20" s="40"/>
      <c r="G20" s="39"/>
      <c r="H20" s="40"/>
      <c r="I20" s="39"/>
      <c r="J20" s="41"/>
      <c r="K20" s="13"/>
      <c r="L20" s="12"/>
      <c r="M20" s="46"/>
      <c r="N20" s="47"/>
    </row>
    <row r="21" spans="2:14" ht="18" customHeight="1">
      <c r="B21" s="24"/>
      <c r="C21" s="42"/>
      <c r="D21" s="43"/>
      <c r="E21" s="42"/>
      <c r="F21" s="43"/>
      <c r="G21" s="42"/>
      <c r="H21" s="43"/>
      <c r="I21" s="42"/>
      <c r="J21" s="70"/>
      <c r="K21" s="25"/>
      <c r="L21" s="26"/>
      <c r="M21" s="50"/>
      <c r="N21" s="51"/>
    </row>
    <row r="22" spans="2:14" ht="18" customHeight="1">
      <c r="B22" s="31"/>
      <c r="C22" s="39"/>
      <c r="D22" s="40"/>
      <c r="E22" s="39"/>
      <c r="F22" s="40"/>
      <c r="G22" s="39"/>
      <c r="H22" s="40"/>
      <c r="I22" s="39"/>
      <c r="J22" s="41"/>
      <c r="K22" s="44" t="s">
        <v>39</v>
      </c>
      <c r="L22" s="10"/>
      <c r="M22" s="52"/>
      <c r="N22" s="53"/>
    </row>
    <row r="23" spans="2:14" ht="18" customHeight="1">
      <c r="B23" s="24"/>
      <c r="C23" s="42"/>
      <c r="D23" s="43"/>
      <c r="E23" s="42"/>
      <c r="F23" s="43"/>
      <c r="G23" s="42"/>
      <c r="H23" s="43"/>
      <c r="I23" s="64"/>
      <c r="J23" s="65"/>
      <c r="K23" s="45"/>
      <c r="L23" s="12"/>
      <c r="M23" s="46"/>
      <c r="N23" s="47"/>
    </row>
    <row r="24" spans="2:14" ht="18" customHeight="1">
      <c r="B24" s="31"/>
      <c r="C24" s="39"/>
      <c r="D24" s="40"/>
      <c r="E24" s="39"/>
      <c r="F24" s="40"/>
      <c r="G24" s="39"/>
      <c r="H24" s="40"/>
      <c r="I24" s="39"/>
      <c r="J24" s="41"/>
      <c r="K24" s="45"/>
      <c r="L24" s="12"/>
      <c r="M24" s="46"/>
      <c r="N24" s="47"/>
    </row>
    <row r="25" spans="2:14" ht="18" customHeight="1">
      <c r="B25" s="24"/>
      <c r="C25" s="42"/>
      <c r="D25" s="43"/>
      <c r="E25" s="42"/>
      <c r="F25" s="43"/>
      <c r="G25" s="42"/>
      <c r="H25" s="43"/>
      <c r="I25" s="64"/>
      <c r="J25" s="65"/>
      <c r="K25" s="45"/>
      <c r="L25" s="12"/>
      <c r="M25" s="46"/>
      <c r="N25" s="47"/>
    </row>
    <row r="26" spans="2:14" ht="18" customHeight="1">
      <c r="B26" s="38">
        <v>0.58333333333333337</v>
      </c>
      <c r="C26" s="39"/>
      <c r="D26" s="40"/>
      <c r="E26" s="84">
        <v>0.58333333333333337</v>
      </c>
      <c r="F26" s="40"/>
      <c r="G26" s="39"/>
      <c r="H26" s="40"/>
      <c r="I26" s="84">
        <v>0.58333333333333337</v>
      </c>
      <c r="J26" s="41"/>
      <c r="K26" s="13"/>
      <c r="L26" s="12"/>
      <c r="M26" s="46"/>
      <c r="N26" s="47"/>
    </row>
    <row r="27" spans="2:14" ht="18" customHeight="1">
      <c r="B27" s="24" t="s">
        <v>44</v>
      </c>
      <c r="C27" s="42"/>
      <c r="D27" s="43"/>
      <c r="E27" s="42" t="s">
        <v>44</v>
      </c>
      <c r="F27" s="43"/>
      <c r="G27" s="42"/>
      <c r="H27" s="43"/>
      <c r="I27" s="64" t="s">
        <v>44</v>
      </c>
      <c r="J27" s="65"/>
      <c r="K27" s="25"/>
      <c r="L27" s="26"/>
      <c r="M27" s="50"/>
      <c r="N27" s="51"/>
    </row>
    <row r="28" spans="2:14" ht="18" customHeight="1">
      <c r="B28" s="31"/>
      <c r="C28" s="39"/>
      <c r="D28" s="40"/>
      <c r="E28" s="39"/>
      <c r="F28" s="40"/>
      <c r="G28" s="39"/>
      <c r="H28" s="40"/>
      <c r="I28" s="39"/>
      <c r="J28" s="41"/>
      <c r="K28" s="44" t="s">
        <v>40</v>
      </c>
      <c r="L28" s="10"/>
      <c r="M28" s="52"/>
      <c r="N28" s="53"/>
    </row>
    <row r="29" spans="2:14" ht="18" customHeight="1">
      <c r="B29" s="24"/>
      <c r="C29" s="42"/>
      <c r="D29" s="43"/>
      <c r="E29" s="42"/>
      <c r="F29" s="43"/>
      <c r="G29" s="42"/>
      <c r="H29" s="43"/>
      <c r="I29" s="42"/>
      <c r="J29" s="70"/>
      <c r="K29" s="45"/>
      <c r="L29" s="12"/>
      <c r="M29" s="46"/>
      <c r="N29" s="47"/>
    </row>
    <row r="30" spans="2:14" ht="18" customHeight="1">
      <c r="B30" s="31"/>
      <c r="C30" s="39" t="s">
        <v>57</v>
      </c>
      <c r="D30" s="40"/>
      <c r="E30" s="39"/>
      <c r="F30" s="40"/>
      <c r="G30" s="39" t="s">
        <v>57</v>
      </c>
      <c r="H30" s="40"/>
      <c r="I30" s="39"/>
      <c r="J30" s="41"/>
      <c r="K30" s="45"/>
      <c r="L30" s="12"/>
      <c r="M30" s="46"/>
      <c r="N30" s="47"/>
    </row>
    <row r="31" spans="2:14" ht="18" customHeight="1">
      <c r="B31" s="24"/>
      <c r="C31" s="42" t="s">
        <v>45</v>
      </c>
      <c r="D31" s="43"/>
      <c r="E31" s="42"/>
      <c r="F31" s="43"/>
      <c r="G31" s="42" t="s">
        <v>45</v>
      </c>
      <c r="H31" s="43"/>
      <c r="I31" s="42"/>
      <c r="J31" s="70"/>
      <c r="K31" s="27"/>
      <c r="L31" s="12"/>
      <c r="M31" s="46"/>
      <c r="N31" s="47"/>
    </row>
    <row r="32" spans="2:14" ht="18" customHeight="1">
      <c r="B32" s="31"/>
      <c r="C32" s="39"/>
      <c r="D32" s="40"/>
      <c r="E32" s="39"/>
      <c r="F32" s="40"/>
      <c r="G32" s="39"/>
      <c r="H32" s="40"/>
      <c r="I32" s="68"/>
      <c r="J32" s="69"/>
      <c r="K32" s="27"/>
      <c r="L32" s="12"/>
      <c r="M32" s="46"/>
      <c r="N32" s="47"/>
    </row>
    <row r="33" spans="2:14" ht="18" customHeight="1">
      <c r="B33" s="28"/>
      <c r="C33" s="66"/>
      <c r="D33" s="67"/>
      <c r="E33" s="66"/>
      <c r="F33" s="67"/>
      <c r="G33" s="66"/>
      <c r="H33" s="67"/>
      <c r="I33" s="72"/>
      <c r="J33" s="73"/>
      <c r="K33" s="29"/>
      <c r="L33" s="30"/>
      <c r="M33" s="81"/>
      <c r="N33" s="82"/>
    </row>
  </sheetData>
  <mergeCells count="119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43" priority="5" stopIfTrue="1">
      <formula>DAY(C4)&gt;8</formula>
    </cfRule>
  </conditionalFormatting>
  <conditionalFormatting sqref="C8:I10">
    <cfRule type="expression" dxfId="42" priority="4" stopIfTrue="1">
      <formula>AND(DAY(C8)&gt;=1,DAY(C8)&lt;=15)</formula>
    </cfRule>
  </conditionalFormatting>
  <conditionalFormatting sqref="C4:I9">
    <cfRule type="expression" dxfId="41" priority="6">
      <formula>VLOOKUP(DAY(C4),AssignmentDays,1,FALSE)=DAY(C4)</formula>
    </cfRule>
  </conditionalFormatting>
  <conditionalFormatting sqref="B14:J29 B31:J33 B30 I30:J30 E30:F30">
    <cfRule type="expression" dxfId="40" priority="3">
      <formula>B14&lt;&gt;""</formula>
    </cfRule>
  </conditionalFormatting>
  <conditionalFormatting sqref="G30:H30">
    <cfRule type="expression" dxfId="39" priority="2">
      <formula>G30&lt;&gt;""</formula>
    </cfRule>
  </conditionalFormatting>
  <conditionalFormatting sqref="C30:D30">
    <cfRule type="expression" dxfId="38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/>
  <cols>
    <col min="1" max="1" width="2.25" style="1" customWidth="1"/>
    <col min="2" max="2" width="12.625" style="1" customWidth="1"/>
    <col min="3" max="10" width="6.625" style="1" customWidth="1"/>
    <col min="11" max="11" width="7.25" style="1" customWidth="1"/>
    <col min="12" max="12" width="3.75" style="1" customWidth="1"/>
    <col min="13" max="13" width="51.375" style="1" customWidth="1"/>
    <col min="14" max="14" width="13" style="1" bestFit="1" customWidth="1"/>
    <col min="15" max="15" width="2.25" style="1" customWidth="1"/>
    <col min="16" max="22" width="7.75" style="1" customWidth="1"/>
    <col min="23" max="16384" width="8.62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54" t="s">
        <v>13</v>
      </c>
      <c r="L2" s="55">
        <v>2013</v>
      </c>
      <c r="M2" s="55"/>
      <c r="N2" s="61">
        <f ca="1">CalendarYear</f>
        <v>2018</v>
      </c>
    </row>
    <row r="3" spans="1:14" ht="21" customHeight="1">
      <c r="A3" s="2"/>
      <c r="B3" s="71" t="s">
        <v>28</v>
      </c>
      <c r="C3" s="7" t="s">
        <v>50</v>
      </c>
      <c r="D3" s="7" t="s">
        <v>4</v>
      </c>
      <c r="E3" s="7" t="s">
        <v>8</v>
      </c>
      <c r="F3" s="7" t="s">
        <v>6</v>
      </c>
      <c r="G3" s="7" t="s">
        <v>5</v>
      </c>
      <c r="H3" s="7" t="s">
        <v>7</v>
      </c>
      <c r="I3" s="7" t="s">
        <v>3</v>
      </c>
      <c r="J3" s="8"/>
      <c r="K3" s="56"/>
      <c r="L3" s="57"/>
      <c r="M3" s="57"/>
      <c r="N3" s="62"/>
    </row>
    <row r="4" spans="1:14" ht="18" customHeight="1">
      <c r="A4" s="2"/>
      <c r="B4" s="71"/>
      <c r="C4" s="9">
        <f ca="1">IF(DAY(JunSun1)=1,JunSun1-6,JunSun1+1)</f>
        <v>43247</v>
      </c>
      <c r="D4" s="9">
        <f ca="1">IF(DAY(JunSun1)=1,JunSun1-5,JunSun1+2)</f>
        <v>43248</v>
      </c>
      <c r="E4" s="9">
        <f ca="1">IF(DAY(JunSun1)=1,JunSun1-4,JunSun1+3)</f>
        <v>43249</v>
      </c>
      <c r="F4" s="9">
        <f ca="1">IF(DAY(JunSun1)=1,JunSun1-3,JunSun1+4)</f>
        <v>43250</v>
      </c>
      <c r="G4" s="9">
        <f ca="1">IF(DAY(JunSun1)=1,JunSun1-2,JunSun1+5)</f>
        <v>43251</v>
      </c>
      <c r="H4" s="9">
        <f ca="1">IF(DAY(JunSun1)=1,JunSun1-1,JunSun1+6)</f>
        <v>43252</v>
      </c>
      <c r="I4" s="9">
        <f ca="1">IF(DAY(JunSun1)=1,JunSun1,JunSun1+7)</f>
        <v>43253</v>
      </c>
      <c r="J4" s="8"/>
      <c r="K4" s="58" t="s">
        <v>36</v>
      </c>
      <c r="L4" s="10"/>
      <c r="M4" s="59"/>
      <c r="N4" s="60"/>
    </row>
    <row r="5" spans="1:14" ht="18" customHeight="1">
      <c r="A5" s="2"/>
      <c r="B5" s="33"/>
      <c r="C5" s="9">
        <f ca="1">IF(DAY(JunSun1)=1,JunSun1+1,JunSun1+8)</f>
        <v>43254</v>
      </c>
      <c r="D5" s="9">
        <f ca="1">IF(DAY(JunSun1)=1,JunSun1+2,JunSun1+9)</f>
        <v>43255</v>
      </c>
      <c r="E5" s="9">
        <f ca="1">IF(DAY(JunSun1)=1,JunSun1+3,JunSun1+10)</f>
        <v>43256</v>
      </c>
      <c r="F5" s="9">
        <f ca="1">IF(DAY(JunSun1)=1,JunSun1+4,JunSun1+11)</f>
        <v>43257</v>
      </c>
      <c r="G5" s="9">
        <f ca="1">IF(DAY(JunSun1)=1,JunSun1+5,JunSun1+12)</f>
        <v>43258</v>
      </c>
      <c r="H5" s="9">
        <f ca="1">IF(DAY(JunSun1)=1,JunSun1+6,JunSun1+13)</f>
        <v>43259</v>
      </c>
      <c r="I5" s="9">
        <f ca="1">IF(DAY(JunSun1)=1,JunSun1+7,JunSun1+14)</f>
        <v>43260</v>
      </c>
      <c r="J5" s="8"/>
      <c r="K5" s="45"/>
      <c r="L5" s="12"/>
      <c r="M5" s="46"/>
      <c r="N5" s="47"/>
    </row>
    <row r="6" spans="1:14" ht="18" customHeight="1">
      <c r="A6" s="2"/>
      <c r="B6" s="33"/>
      <c r="C6" s="9">
        <f ca="1">IF(DAY(JunSun1)=1,JunSun1+8,JunSun1+15)</f>
        <v>43261</v>
      </c>
      <c r="D6" s="9">
        <f ca="1">IF(DAY(JunSun1)=1,JunSun1+9,JunSun1+16)</f>
        <v>43262</v>
      </c>
      <c r="E6" s="9">
        <f ca="1">IF(DAY(JunSun1)=1,JunSun1+10,JunSun1+17)</f>
        <v>43263</v>
      </c>
      <c r="F6" s="9">
        <f ca="1">IF(DAY(JunSun1)=1,JunSun1+11,JunSun1+18)</f>
        <v>43264</v>
      </c>
      <c r="G6" s="9">
        <f ca="1">IF(DAY(JunSun1)=1,JunSun1+12,JunSun1+19)</f>
        <v>43265</v>
      </c>
      <c r="H6" s="9">
        <f ca="1">IF(DAY(JunSun1)=1,JunSun1+13,JunSun1+20)</f>
        <v>43266</v>
      </c>
      <c r="I6" s="9">
        <f ca="1">IF(DAY(JunSun1)=1,JunSun1+14,JunSun1+21)</f>
        <v>43267</v>
      </c>
      <c r="J6" s="8"/>
      <c r="K6" s="45"/>
      <c r="L6" s="12"/>
      <c r="M6" s="46"/>
      <c r="N6" s="47"/>
    </row>
    <row r="7" spans="1:14" ht="18" customHeight="1">
      <c r="A7" s="2"/>
      <c r="B7" s="33"/>
      <c r="C7" s="9">
        <f ca="1">IF(DAY(JunSun1)=1,JunSun1+15,JunSun1+22)</f>
        <v>43268</v>
      </c>
      <c r="D7" s="9">
        <f ca="1">IF(DAY(JunSun1)=1,JunSun1+16,JunSun1+23)</f>
        <v>43269</v>
      </c>
      <c r="E7" s="9">
        <f ca="1">IF(DAY(JunSun1)=1,JunSun1+17,JunSun1+24)</f>
        <v>43270</v>
      </c>
      <c r="F7" s="9">
        <f ca="1">IF(DAY(JunSun1)=1,JunSun1+18,JunSun1+25)</f>
        <v>43271</v>
      </c>
      <c r="G7" s="9">
        <f ca="1">IF(DAY(JunSun1)=1,JunSun1+19,JunSun1+26)</f>
        <v>43272</v>
      </c>
      <c r="H7" s="9">
        <f ca="1">IF(DAY(JunSun1)=1,JunSun1+20,JunSun1+27)</f>
        <v>43273</v>
      </c>
      <c r="I7" s="9">
        <f ca="1">IF(DAY(JunSun1)=1,JunSun1+21,JunSun1+28)</f>
        <v>43274</v>
      </c>
      <c r="J7" s="8"/>
      <c r="K7" s="13"/>
      <c r="L7" s="12"/>
      <c r="M7" s="46"/>
      <c r="N7" s="47"/>
    </row>
    <row r="8" spans="1:14" ht="18.75" customHeight="1">
      <c r="A8" s="2"/>
      <c r="B8" s="33"/>
      <c r="C8" s="9">
        <f ca="1">IF(DAY(JunSun1)=1,JunSun1+22,JunSun1+29)</f>
        <v>43275</v>
      </c>
      <c r="D8" s="9">
        <f ca="1">IF(DAY(JunSun1)=1,JunSun1+23,JunSun1+30)</f>
        <v>43276</v>
      </c>
      <c r="E8" s="9">
        <f ca="1">IF(DAY(JunSun1)=1,JunSun1+24,JunSun1+31)</f>
        <v>43277</v>
      </c>
      <c r="F8" s="9">
        <f ca="1">IF(DAY(JunSun1)=1,JunSun1+25,JunSun1+32)</f>
        <v>43278</v>
      </c>
      <c r="G8" s="9">
        <f ca="1">IF(DAY(JunSun1)=1,JunSun1+26,JunSun1+33)</f>
        <v>43279</v>
      </c>
      <c r="H8" s="9">
        <f ca="1">IF(DAY(JunSun1)=1,JunSun1+27,JunSun1+34)</f>
        <v>43280</v>
      </c>
      <c r="I8" s="9">
        <f ca="1">IF(DAY(JunSun1)=1,JunSun1+28,JunSun1+35)</f>
        <v>43281</v>
      </c>
      <c r="J8" s="8"/>
      <c r="K8" s="13"/>
      <c r="L8" s="12"/>
      <c r="M8" s="46"/>
      <c r="N8" s="47"/>
    </row>
    <row r="9" spans="1:14" ht="18" customHeight="1">
      <c r="A9" s="2"/>
      <c r="B9" s="33"/>
      <c r="C9" s="9">
        <f ca="1">IF(DAY(JunSun1)=1,JunSun1+29,JunSun1+36)</f>
        <v>43282</v>
      </c>
      <c r="D9" s="9">
        <f ca="1">IF(DAY(JunSun1)=1,JunSun1+30,JunSun1+37)</f>
        <v>43283</v>
      </c>
      <c r="E9" s="9">
        <f ca="1">IF(DAY(JunSun1)=1,JunSun1+31,JunSun1+38)</f>
        <v>43284</v>
      </c>
      <c r="F9" s="9">
        <f ca="1">IF(DAY(JunSun1)=1,JunSun1+32,JunSun1+39)</f>
        <v>43285</v>
      </c>
      <c r="G9" s="9">
        <f ca="1">IF(DAY(JunSun1)=1,JunSun1+33,JunSun1+40)</f>
        <v>43286</v>
      </c>
      <c r="H9" s="9">
        <f ca="1">IF(DAY(JunSun1)=1,JunSun1+34,JunSun1+41)</f>
        <v>43287</v>
      </c>
      <c r="I9" s="9">
        <f ca="1">IF(DAY(JunSun1)=1,JunSun1+35,JunSun1+42)</f>
        <v>43288</v>
      </c>
      <c r="J9" s="8"/>
      <c r="K9" s="14"/>
      <c r="L9" s="15"/>
      <c r="M9" s="50"/>
      <c r="N9" s="51"/>
    </row>
    <row r="10" spans="1:14" ht="18" customHeight="1">
      <c r="A10" s="2"/>
      <c r="B10" s="34"/>
      <c r="C10" s="17"/>
      <c r="D10" s="17"/>
      <c r="E10" s="17"/>
      <c r="F10" s="17"/>
      <c r="G10" s="17"/>
      <c r="H10" s="17"/>
      <c r="I10" s="17"/>
      <c r="J10" s="18"/>
      <c r="K10" s="44" t="s">
        <v>37</v>
      </c>
      <c r="L10" s="10"/>
      <c r="M10" s="52"/>
      <c r="N10" s="53"/>
    </row>
    <row r="11" spans="1:14" ht="18" customHeight="1">
      <c r="A11" s="2"/>
      <c r="B11" s="78" t="s">
        <v>19</v>
      </c>
      <c r="C11" s="83"/>
      <c r="D11" s="83"/>
      <c r="E11" s="83"/>
      <c r="F11" s="83"/>
      <c r="G11" s="83"/>
      <c r="H11" s="83"/>
      <c r="I11" s="83"/>
      <c r="J11" s="80"/>
      <c r="K11" s="45"/>
      <c r="L11" s="12"/>
      <c r="M11" s="46"/>
      <c r="N11" s="47"/>
    </row>
    <row r="12" spans="1:14" ht="18" customHeight="1">
      <c r="A12" s="2"/>
      <c r="B12" s="78"/>
      <c r="C12" s="83"/>
      <c r="D12" s="83"/>
      <c r="E12" s="83"/>
      <c r="F12" s="83"/>
      <c r="G12" s="83"/>
      <c r="H12" s="83"/>
      <c r="I12" s="83"/>
      <c r="J12" s="80"/>
      <c r="K12" s="45"/>
      <c r="L12" s="12"/>
      <c r="M12" s="46"/>
      <c r="N12" s="47"/>
    </row>
    <row r="13" spans="1:14" ht="18" customHeight="1">
      <c r="B13" s="19" t="s">
        <v>36</v>
      </c>
      <c r="C13" s="20" t="s">
        <v>37</v>
      </c>
      <c r="D13" s="21"/>
      <c r="E13" s="20" t="s">
        <v>38</v>
      </c>
      <c r="F13" s="21"/>
      <c r="G13" s="20" t="s">
        <v>39</v>
      </c>
      <c r="H13" s="21"/>
      <c r="I13" s="20" t="s">
        <v>40</v>
      </c>
      <c r="J13" s="22"/>
      <c r="K13" s="13"/>
      <c r="L13" s="12"/>
      <c r="M13" s="46"/>
      <c r="N13" s="47"/>
    </row>
    <row r="14" spans="1:14" ht="18" customHeight="1">
      <c r="B14" s="31" t="s">
        <v>0</v>
      </c>
      <c r="C14" s="39"/>
      <c r="D14" s="40"/>
      <c r="E14" s="39" t="s">
        <v>0</v>
      </c>
      <c r="F14" s="40"/>
      <c r="G14" s="39"/>
      <c r="H14" s="40"/>
      <c r="I14" s="39" t="s">
        <v>0</v>
      </c>
      <c r="J14" s="41"/>
      <c r="K14" s="13"/>
      <c r="L14" s="12"/>
      <c r="M14" s="46"/>
      <c r="N14" s="47"/>
    </row>
    <row r="15" spans="1:14" ht="18" customHeight="1">
      <c r="B15" s="24" t="s">
        <v>41</v>
      </c>
      <c r="C15" s="42"/>
      <c r="D15" s="43"/>
      <c r="E15" s="42" t="s">
        <v>41</v>
      </c>
      <c r="F15" s="43"/>
      <c r="G15" s="42"/>
      <c r="H15" s="43"/>
      <c r="I15" s="64" t="s">
        <v>41</v>
      </c>
      <c r="J15" s="65"/>
      <c r="K15" s="25"/>
      <c r="L15" s="26"/>
      <c r="M15" s="50"/>
      <c r="N15" s="51"/>
    </row>
    <row r="16" spans="1:14" ht="18" customHeight="1">
      <c r="B16" s="31"/>
      <c r="C16" s="39" t="s">
        <v>1</v>
      </c>
      <c r="D16" s="40"/>
      <c r="E16" s="39"/>
      <c r="F16" s="40"/>
      <c r="G16" s="39" t="s">
        <v>1</v>
      </c>
      <c r="H16" s="40"/>
      <c r="I16" s="68"/>
      <c r="J16" s="69"/>
      <c r="K16" s="44" t="s">
        <v>38</v>
      </c>
      <c r="L16" s="10"/>
      <c r="M16" s="52"/>
      <c r="N16" s="53"/>
    </row>
    <row r="17" spans="2:14" ht="18" customHeight="1">
      <c r="B17" s="24"/>
      <c r="C17" s="42" t="s">
        <v>42</v>
      </c>
      <c r="D17" s="43"/>
      <c r="E17" s="42"/>
      <c r="F17" s="43"/>
      <c r="G17" s="42" t="s">
        <v>42</v>
      </c>
      <c r="H17" s="43"/>
      <c r="I17" s="64"/>
      <c r="J17" s="65"/>
      <c r="K17" s="45"/>
      <c r="L17" s="12"/>
      <c r="M17" s="46"/>
      <c r="N17" s="47"/>
    </row>
    <row r="18" spans="2:14" ht="18" customHeight="1">
      <c r="B18" s="32" t="s">
        <v>2</v>
      </c>
      <c r="C18" s="48"/>
      <c r="D18" s="49"/>
      <c r="E18" s="48" t="s">
        <v>2</v>
      </c>
      <c r="F18" s="49"/>
      <c r="G18" s="48"/>
      <c r="H18" s="49"/>
      <c r="I18" s="48" t="s">
        <v>2</v>
      </c>
      <c r="J18" s="63"/>
      <c r="K18" s="45"/>
      <c r="L18" s="12"/>
      <c r="M18" s="46"/>
      <c r="N18" s="47"/>
    </row>
    <row r="19" spans="2:14" ht="18" customHeight="1">
      <c r="B19" s="24" t="s">
        <v>43</v>
      </c>
      <c r="C19" s="42"/>
      <c r="D19" s="43"/>
      <c r="E19" s="42" t="s">
        <v>43</v>
      </c>
      <c r="F19" s="43"/>
      <c r="G19" s="42"/>
      <c r="H19" s="43"/>
      <c r="I19" s="64" t="s">
        <v>43</v>
      </c>
      <c r="J19" s="65"/>
      <c r="K19" s="13"/>
      <c r="L19" s="12"/>
      <c r="M19" s="46"/>
      <c r="N19" s="47"/>
    </row>
    <row r="20" spans="2:14" ht="18" customHeight="1">
      <c r="B20" s="31"/>
      <c r="C20" s="39"/>
      <c r="D20" s="40"/>
      <c r="E20" s="39"/>
      <c r="F20" s="40"/>
      <c r="G20" s="39"/>
      <c r="H20" s="40"/>
      <c r="I20" s="39"/>
      <c r="J20" s="41"/>
      <c r="K20" s="13"/>
      <c r="L20" s="12"/>
      <c r="M20" s="46"/>
      <c r="N20" s="47"/>
    </row>
    <row r="21" spans="2:14" ht="18" customHeight="1">
      <c r="B21" s="24"/>
      <c r="C21" s="42"/>
      <c r="D21" s="43"/>
      <c r="E21" s="42"/>
      <c r="F21" s="43"/>
      <c r="G21" s="42"/>
      <c r="H21" s="43"/>
      <c r="I21" s="42"/>
      <c r="J21" s="70"/>
      <c r="K21" s="25"/>
      <c r="L21" s="26"/>
      <c r="M21" s="50"/>
      <c r="N21" s="51"/>
    </row>
    <row r="22" spans="2:14" ht="18" customHeight="1">
      <c r="B22" s="31"/>
      <c r="C22" s="39"/>
      <c r="D22" s="40"/>
      <c r="E22" s="39"/>
      <c r="F22" s="40"/>
      <c r="G22" s="39"/>
      <c r="H22" s="40"/>
      <c r="I22" s="39"/>
      <c r="J22" s="41"/>
      <c r="K22" s="44" t="s">
        <v>39</v>
      </c>
      <c r="L22" s="10"/>
      <c r="M22" s="52"/>
      <c r="N22" s="53"/>
    </row>
    <row r="23" spans="2:14" ht="18" customHeight="1">
      <c r="B23" s="24"/>
      <c r="C23" s="42"/>
      <c r="D23" s="43"/>
      <c r="E23" s="42"/>
      <c r="F23" s="43"/>
      <c r="G23" s="42"/>
      <c r="H23" s="43"/>
      <c r="I23" s="64"/>
      <c r="J23" s="65"/>
      <c r="K23" s="45"/>
      <c r="L23" s="12"/>
      <c r="M23" s="46"/>
      <c r="N23" s="47"/>
    </row>
    <row r="24" spans="2:14" ht="18" customHeight="1">
      <c r="B24" s="31"/>
      <c r="C24" s="39"/>
      <c r="D24" s="40"/>
      <c r="E24" s="39"/>
      <c r="F24" s="40"/>
      <c r="G24" s="39"/>
      <c r="H24" s="40"/>
      <c r="I24" s="39"/>
      <c r="J24" s="41"/>
      <c r="K24" s="45"/>
      <c r="L24" s="12"/>
      <c r="M24" s="46"/>
      <c r="N24" s="47"/>
    </row>
    <row r="25" spans="2:14" ht="18" customHeight="1">
      <c r="B25" s="24"/>
      <c r="C25" s="42"/>
      <c r="D25" s="43"/>
      <c r="E25" s="42"/>
      <c r="F25" s="43"/>
      <c r="G25" s="42"/>
      <c r="H25" s="43"/>
      <c r="I25" s="64"/>
      <c r="J25" s="65"/>
      <c r="K25" s="45"/>
      <c r="L25" s="12"/>
      <c r="M25" s="46"/>
      <c r="N25" s="47"/>
    </row>
    <row r="26" spans="2:14" ht="18" customHeight="1">
      <c r="B26" s="38">
        <v>0.58333333333333337</v>
      </c>
      <c r="C26" s="39"/>
      <c r="D26" s="40"/>
      <c r="E26" s="84">
        <v>0.58333333333333337</v>
      </c>
      <c r="F26" s="40"/>
      <c r="G26" s="39"/>
      <c r="H26" s="40"/>
      <c r="I26" s="84">
        <v>0.58333333333333337</v>
      </c>
      <c r="J26" s="41"/>
      <c r="K26" s="13"/>
      <c r="L26" s="12"/>
      <c r="M26" s="46"/>
      <c r="N26" s="47"/>
    </row>
    <row r="27" spans="2:14" ht="18" customHeight="1">
      <c r="B27" s="24" t="s">
        <v>44</v>
      </c>
      <c r="C27" s="42"/>
      <c r="D27" s="43"/>
      <c r="E27" s="42" t="s">
        <v>44</v>
      </c>
      <c r="F27" s="43"/>
      <c r="G27" s="42"/>
      <c r="H27" s="43"/>
      <c r="I27" s="64" t="s">
        <v>44</v>
      </c>
      <c r="J27" s="65"/>
      <c r="K27" s="25"/>
      <c r="L27" s="26"/>
      <c r="M27" s="50"/>
      <c r="N27" s="51"/>
    </row>
    <row r="28" spans="2:14" ht="18" customHeight="1">
      <c r="B28" s="31"/>
      <c r="C28" s="39"/>
      <c r="D28" s="40"/>
      <c r="E28" s="39"/>
      <c r="F28" s="40"/>
      <c r="G28" s="39"/>
      <c r="H28" s="40"/>
      <c r="I28" s="39"/>
      <c r="J28" s="41"/>
      <c r="K28" s="44" t="s">
        <v>40</v>
      </c>
      <c r="L28" s="10"/>
      <c r="M28" s="52"/>
      <c r="N28" s="53"/>
    </row>
    <row r="29" spans="2:14" ht="18" customHeight="1">
      <c r="B29" s="24"/>
      <c r="C29" s="42"/>
      <c r="D29" s="43"/>
      <c r="E29" s="42"/>
      <c r="F29" s="43"/>
      <c r="G29" s="42"/>
      <c r="H29" s="43"/>
      <c r="I29" s="42"/>
      <c r="J29" s="70"/>
      <c r="K29" s="45"/>
      <c r="L29" s="12"/>
      <c r="M29" s="46"/>
      <c r="N29" s="47"/>
    </row>
    <row r="30" spans="2:14" ht="18" customHeight="1">
      <c r="B30" s="31"/>
      <c r="C30" s="39" t="s">
        <v>57</v>
      </c>
      <c r="D30" s="40"/>
      <c r="E30" s="39"/>
      <c r="F30" s="40"/>
      <c r="G30" s="39" t="s">
        <v>57</v>
      </c>
      <c r="H30" s="40"/>
      <c r="I30" s="39"/>
      <c r="J30" s="41"/>
      <c r="K30" s="45"/>
      <c r="L30" s="12"/>
      <c r="M30" s="46"/>
      <c r="N30" s="47"/>
    </row>
    <row r="31" spans="2:14" ht="18" customHeight="1">
      <c r="B31" s="24"/>
      <c r="C31" s="42" t="s">
        <v>45</v>
      </c>
      <c r="D31" s="43"/>
      <c r="E31" s="42"/>
      <c r="F31" s="43"/>
      <c r="G31" s="42" t="s">
        <v>45</v>
      </c>
      <c r="H31" s="43"/>
      <c r="I31" s="42"/>
      <c r="J31" s="70"/>
      <c r="K31" s="27"/>
      <c r="L31" s="12"/>
      <c r="M31" s="46"/>
      <c r="N31" s="47"/>
    </row>
    <row r="32" spans="2:14" ht="18" customHeight="1">
      <c r="B32" s="31"/>
      <c r="C32" s="39"/>
      <c r="D32" s="40"/>
      <c r="E32" s="39"/>
      <c r="F32" s="40"/>
      <c r="G32" s="39"/>
      <c r="H32" s="40"/>
      <c r="I32" s="68"/>
      <c r="J32" s="69"/>
      <c r="K32" s="27"/>
      <c r="L32" s="12"/>
      <c r="M32" s="46"/>
      <c r="N32" s="47"/>
    </row>
    <row r="33" spans="2:14" ht="18" customHeight="1">
      <c r="B33" s="28"/>
      <c r="C33" s="66"/>
      <c r="D33" s="67"/>
      <c r="E33" s="66"/>
      <c r="F33" s="67"/>
      <c r="G33" s="66"/>
      <c r="H33" s="67"/>
      <c r="I33" s="72"/>
      <c r="J33" s="73"/>
      <c r="K33" s="29"/>
      <c r="L33" s="30"/>
      <c r="M33" s="81"/>
      <c r="N33" s="82"/>
    </row>
  </sheetData>
  <mergeCells count="119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37" priority="5" stopIfTrue="1">
      <formula>DAY(C4)&gt;8</formula>
    </cfRule>
  </conditionalFormatting>
  <conditionalFormatting sqref="C8:I10">
    <cfRule type="expression" dxfId="36" priority="4" stopIfTrue="1">
      <formula>AND(DAY(C8)&gt;=1,DAY(C8)&lt;=15)</formula>
    </cfRule>
  </conditionalFormatting>
  <conditionalFormatting sqref="C4:I9">
    <cfRule type="expression" dxfId="35" priority="6">
      <formula>VLOOKUP(DAY(C4),AssignmentDays,1,FALSE)=DAY(C4)</formula>
    </cfRule>
  </conditionalFormatting>
  <conditionalFormatting sqref="B14:J29 B31:J33 B30 I30:J30 E30:F30">
    <cfRule type="expression" dxfId="34" priority="3">
      <formula>B14&lt;&gt;""</formula>
    </cfRule>
  </conditionalFormatting>
  <conditionalFormatting sqref="G30:H30">
    <cfRule type="expression" dxfId="33" priority="2">
      <formula>G30&lt;&gt;""</formula>
    </cfRule>
  </conditionalFormatting>
  <conditionalFormatting sqref="C30:D30">
    <cfRule type="expression" dxfId="32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/>
  <cols>
    <col min="1" max="1" width="2.25" style="1" customWidth="1"/>
    <col min="2" max="2" width="12.625" style="1" customWidth="1"/>
    <col min="3" max="10" width="6.625" style="1" customWidth="1"/>
    <col min="11" max="11" width="7.25" style="1" customWidth="1"/>
    <col min="12" max="12" width="3.75" style="1" customWidth="1"/>
    <col min="13" max="13" width="51.375" style="1" customWidth="1"/>
    <col min="14" max="14" width="13" style="1" bestFit="1" customWidth="1"/>
    <col min="15" max="15" width="2.25" style="1" customWidth="1"/>
    <col min="16" max="22" width="7.75" style="1" customWidth="1"/>
    <col min="23" max="16384" width="8.62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54" t="s">
        <v>13</v>
      </c>
      <c r="L2" s="55">
        <v>2013</v>
      </c>
      <c r="M2" s="55"/>
      <c r="N2" s="61">
        <f ca="1">CalendarYear</f>
        <v>2018</v>
      </c>
    </row>
    <row r="3" spans="1:14" ht="21" customHeight="1">
      <c r="A3" s="2"/>
      <c r="B3" s="71" t="s">
        <v>29</v>
      </c>
      <c r="C3" s="7" t="s">
        <v>50</v>
      </c>
      <c r="D3" s="7" t="s">
        <v>4</v>
      </c>
      <c r="E3" s="7" t="s">
        <v>8</v>
      </c>
      <c r="F3" s="7" t="s">
        <v>6</v>
      </c>
      <c r="G3" s="7" t="s">
        <v>5</v>
      </c>
      <c r="H3" s="7" t="s">
        <v>7</v>
      </c>
      <c r="I3" s="7" t="s">
        <v>3</v>
      </c>
      <c r="J3" s="8"/>
      <c r="K3" s="56"/>
      <c r="L3" s="57"/>
      <c r="M3" s="57"/>
      <c r="N3" s="62"/>
    </row>
    <row r="4" spans="1:14" ht="18" customHeight="1">
      <c r="A4" s="2"/>
      <c r="B4" s="71"/>
      <c r="C4" s="9">
        <f ca="1">IF(DAY(JulSun1)=1,JulSun1-6,JulSun1+1)</f>
        <v>43282</v>
      </c>
      <c r="D4" s="9">
        <f ca="1">IF(DAY(JulSun1)=1,JulSun1-5,JulSun1+2)</f>
        <v>43283</v>
      </c>
      <c r="E4" s="9">
        <f ca="1">IF(DAY(JulSun1)=1,JulSun1-4,JulSun1+3)</f>
        <v>43284</v>
      </c>
      <c r="F4" s="9">
        <f ca="1">IF(DAY(JulSun1)=1,JulSun1-3,JulSun1+4)</f>
        <v>43285</v>
      </c>
      <c r="G4" s="9">
        <f ca="1">IF(DAY(JulSun1)=1,JulSun1-2,JulSun1+5)</f>
        <v>43286</v>
      </c>
      <c r="H4" s="9">
        <f ca="1">IF(DAY(JulSun1)=1,JulSun1-1,JulSun1+6)</f>
        <v>43287</v>
      </c>
      <c r="I4" s="9">
        <f ca="1">IF(DAY(JulSun1)=1,JulSun1,JulSun1+7)</f>
        <v>43288</v>
      </c>
      <c r="J4" s="8"/>
      <c r="K4" s="58" t="s">
        <v>36</v>
      </c>
      <c r="L4" s="10"/>
      <c r="M4" s="59"/>
      <c r="N4" s="60"/>
    </row>
    <row r="5" spans="1:14" ht="18" customHeight="1">
      <c r="A5" s="2"/>
      <c r="B5" s="33"/>
      <c r="C5" s="9">
        <f ca="1">IF(DAY(JulSun1)=1,JulSun1+1,JulSun1+8)</f>
        <v>43289</v>
      </c>
      <c r="D5" s="9">
        <f ca="1">IF(DAY(JulSun1)=1,JulSun1+2,JulSun1+9)</f>
        <v>43290</v>
      </c>
      <c r="E5" s="9">
        <f ca="1">IF(DAY(JulSun1)=1,JulSun1+3,JulSun1+10)</f>
        <v>43291</v>
      </c>
      <c r="F5" s="9">
        <f ca="1">IF(DAY(JulSun1)=1,JulSun1+4,JulSun1+11)</f>
        <v>43292</v>
      </c>
      <c r="G5" s="9">
        <f ca="1">IF(DAY(JulSun1)=1,JulSun1+5,JulSun1+12)</f>
        <v>43293</v>
      </c>
      <c r="H5" s="9">
        <f ca="1">IF(DAY(JulSun1)=1,JulSun1+6,JulSun1+13)</f>
        <v>43294</v>
      </c>
      <c r="I5" s="9">
        <f ca="1">IF(DAY(JulSun1)=1,JulSun1+7,JulSun1+14)</f>
        <v>43295</v>
      </c>
      <c r="J5" s="8"/>
      <c r="K5" s="45"/>
      <c r="L5" s="12"/>
      <c r="M5" s="46"/>
      <c r="N5" s="47"/>
    </row>
    <row r="6" spans="1:14" ht="18" customHeight="1">
      <c r="A6" s="2"/>
      <c r="B6" s="33"/>
      <c r="C6" s="9">
        <f ca="1">IF(DAY(JulSun1)=1,JulSun1+8,JulSun1+15)</f>
        <v>43296</v>
      </c>
      <c r="D6" s="9">
        <f ca="1">IF(DAY(JulSun1)=1,JulSun1+9,JulSun1+16)</f>
        <v>43297</v>
      </c>
      <c r="E6" s="9">
        <f ca="1">IF(DAY(JulSun1)=1,JulSun1+10,JulSun1+17)</f>
        <v>43298</v>
      </c>
      <c r="F6" s="9">
        <f ca="1">IF(DAY(JulSun1)=1,JulSun1+11,JulSun1+18)</f>
        <v>43299</v>
      </c>
      <c r="G6" s="9">
        <f ca="1">IF(DAY(JulSun1)=1,JulSun1+12,JulSun1+19)</f>
        <v>43300</v>
      </c>
      <c r="H6" s="9">
        <f ca="1">IF(DAY(JulSun1)=1,JulSun1+13,JulSun1+20)</f>
        <v>43301</v>
      </c>
      <c r="I6" s="9">
        <f ca="1">IF(DAY(JulSun1)=1,JulSun1+14,JulSun1+21)</f>
        <v>43302</v>
      </c>
      <c r="J6" s="8"/>
      <c r="K6" s="45"/>
      <c r="L6" s="12"/>
      <c r="M6" s="46"/>
      <c r="N6" s="47"/>
    </row>
    <row r="7" spans="1:14" ht="18" customHeight="1">
      <c r="A7" s="2"/>
      <c r="B7" s="33"/>
      <c r="C7" s="9">
        <f ca="1">IF(DAY(JulSun1)=1,JulSun1+15,JulSun1+22)</f>
        <v>43303</v>
      </c>
      <c r="D7" s="9">
        <f ca="1">IF(DAY(JulSun1)=1,JulSun1+16,JulSun1+23)</f>
        <v>43304</v>
      </c>
      <c r="E7" s="9">
        <f ca="1">IF(DAY(JulSun1)=1,JulSun1+17,JulSun1+24)</f>
        <v>43305</v>
      </c>
      <c r="F7" s="9">
        <f ca="1">IF(DAY(JulSun1)=1,JulSun1+18,JulSun1+25)</f>
        <v>43306</v>
      </c>
      <c r="G7" s="9">
        <f ca="1">IF(DAY(JulSun1)=1,JulSun1+19,JulSun1+26)</f>
        <v>43307</v>
      </c>
      <c r="H7" s="9">
        <f ca="1">IF(DAY(JulSun1)=1,JulSun1+20,JulSun1+27)</f>
        <v>43308</v>
      </c>
      <c r="I7" s="9">
        <f ca="1">IF(DAY(JulSun1)=1,JulSun1+21,JulSun1+28)</f>
        <v>43309</v>
      </c>
      <c r="J7" s="8"/>
      <c r="K7" s="13"/>
      <c r="L7" s="12"/>
      <c r="M7" s="46"/>
      <c r="N7" s="47"/>
    </row>
    <row r="8" spans="1:14" ht="18.75" customHeight="1">
      <c r="A8" s="2"/>
      <c r="B8" s="33"/>
      <c r="C8" s="9">
        <f ca="1">IF(DAY(JulSun1)=1,JulSun1+22,JulSun1+29)</f>
        <v>43310</v>
      </c>
      <c r="D8" s="9">
        <f ca="1">IF(DAY(JulSun1)=1,JulSun1+23,JulSun1+30)</f>
        <v>43311</v>
      </c>
      <c r="E8" s="9">
        <f ca="1">IF(DAY(JulSun1)=1,JulSun1+24,JulSun1+31)</f>
        <v>43312</v>
      </c>
      <c r="F8" s="9">
        <f ca="1">IF(DAY(JulSun1)=1,JulSun1+25,JulSun1+32)</f>
        <v>43313</v>
      </c>
      <c r="G8" s="9">
        <f ca="1">IF(DAY(JulSun1)=1,JulSun1+26,JulSun1+33)</f>
        <v>43314</v>
      </c>
      <c r="H8" s="9">
        <f ca="1">IF(DAY(JulSun1)=1,JulSun1+27,JulSun1+34)</f>
        <v>43315</v>
      </c>
      <c r="I8" s="9">
        <f ca="1">IF(DAY(JulSun1)=1,JulSun1+28,JulSun1+35)</f>
        <v>43316</v>
      </c>
      <c r="J8" s="8"/>
      <c r="K8" s="13"/>
      <c r="L8" s="12"/>
      <c r="M8" s="46"/>
      <c r="N8" s="47"/>
    </row>
    <row r="9" spans="1:14" ht="18" customHeight="1">
      <c r="A9" s="2"/>
      <c r="B9" s="33"/>
      <c r="C9" s="9">
        <f ca="1">IF(DAY(JulSun1)=1,JulSun1+29,JulSun1+36)</f>
        <v>43317</v>
      </c>
      <c r="D9" s="9">
        <f ca="1">IF(DAY(JulSun1)=1,JulSun1+30,JulSun1+37)</f>
        <v>43318</v>
      </c>
      <c r="E9" s="9">
        <f ca="1">IF(DAY(JulSun1)=1,JulSun1+31,JulSun1+38)</f>
        <v>43319</v>
      </c>
      <c r="F9" s="9">
        <f ca="1">IF(DAY(JulSun1)=1,JulSun1+32,JulSun1+39)</f>
        <v>43320</v>
      </c>
      <c r="G9" s="9">
        <f ca="1">IF(DAY(JulSun1)=1,JulSun1+33,JulSun1+40)</f>
        <v>43321</v>
      </c>
      <c r="H9" s="9">
        <f ca="1">IF(DAY(JulSun1)=1,JulSun1+34,JulSun1+41)</f>
        <v>43322</v>
      </c>
      <c r="I9" s="9">
        <f ca="1">IF(DAY(JulSun1)=1,JulSun1+35,JulSun1+42)</f>
        <v>43323</v>
      </c>
      <c r="J9" s="8"/>
      <c r="K9" s="14"/>
      <c r="L9" s="15"/>
      <c r="M9" s="50"/>
      <c r="N9" s="51"/>
    </row>
    <row r="10" spans="1:14" ht="18" customHeight="1">
      <c r="A10" s="2"/>
      <c r="B10" s="34"/>
      <c r="C10" s="17"/>
      <c r="D10" s="17"/>
      <c r="E10" s="17"/>
      <c r="F10" s="17"/>
      <c r="G10" s="17"/>
      <c r="H10" s="17"/>
      <c r="I10" s="17"/>
      <c r="J10" s="18"/>
      <c r="K10" s="44" t="s">
        <v>37</v>
      </c>
      <c r="L10" s="10"/>
      <c r="M10" s="52"/>
      <c r="N10" s="53"/>
    </row>
    <row r="11" spans="1:14" ht="18" customHeight="1">
      <c r="A11" s="2"/>
      <c r="B11" s="78" t="s">
        <v>20</v>
      </c>
      <c r="C11" s="83"/>
      <c r="D11" s="83"/>
      <c r="E11" s="83"/>
      <c r="F11" s="83"/>
      <c r="G11" s="83"/>
      <c r="H11" s="83"/>
      <c r="I11" s="83"/>
      <c r="J11" s="80"/>
      <c r="K11" s="45"/>
      <c r="L11" s="12"/>
      <c r="M11" s="46"/>
      <c r="N11" s="47"/>
    </row>
    <row r="12" spans="1:14" ht="18" customHeight="1">
      <c r="A12" s="2"/>
      <c r="B12" s="78"/>
      <c r="C12" s="83"/>
      <c r="D12" s="83"/>
      <c r="E12" s="83"/>
      <c r="F12" s="83"/>
      <c r="G12" s="83"/>
      <c r="H12" s="83"/>
      <c r="I12" s="83"/>
      <c r="J12" s="80"/>
      <c r="K12" s="45"/>
      <c r="L12" s="12"/>
      <c r="M12" s="46"/>
      <c r="N12" s="47"/>
    </row>
    <row r="13" spans="1:14" ht="18" customHeight="1">
      <c r="B13" s="19" t="s">
        <v>36</v>
      </c>
      <c r="C13" s="20" t="s">
        <v>37</v>
      </c>
      <c r="D13" s="21"/>
      <c r="E13" s="20" t="s">
        <v>38</v>
      </c>
      <c r="F13" s="21"/>
      <c r="G13" s="20" t="s">
        <v>39</v>
      </c>
      <c r="H13" s="21"/>
      <c r="I13" s="20" t="s">
        <v>40</v>
      </c>
      <c r="J13" s="22"/>
      <c r="K13" s="13"/>
      <c r="L13" s="12"/>
      <c r="M13" s="46"/>
      <c r="N13" s="47"/>
    </row>
    <row r="14" spans="1:14" ht="18" customHeight="1">
      <c r="B14" s="31" t="s">
        <v>0</v>
      </c>
      <c r="C14" s="39"/>
      <c r="D14" s="40"/>
      <c r="E14" s="39" t="s">
        <v>0</v>
      </c>
      <c r="F14" s="40"/>
      <c r="G14" s="39"/>
      <c r="H14" s="40"/>
      <c r="I14" s="39" t="s">
        <v>0</v>
      </c>
      <c r="J14" s="41"/>
      <c r="K14" s="13"/>
      <c r="L14" s="12"/>
      <c r="M14" s="46"/>
      <c r="N14" s="47"/>
    </row>
    <row r="15" spans="1:14" ht="18" customHeight="1">
      <c r="B15" s="24" t="s">
        <v>41</v>
      </c>
      <c r="C15" s="42"/>
      <c r="D15" s="43"/>
      <c r="E15" s="42" t="s">
        <v>41</v>
      </c>
      <c r="F15" s="43"/>
      <c r="G15" s="42"/>
      <c r="H15" s="43"/>
      <c r="I15" s="64" t="s">
        <v>41</v>
      </c>
      <c r="J15" s="65"/>
      <c r="K15" s="25"/>
      <c r="L15" s="26"/>
      <c r="M15" s="50"/>
      <c r="N15" s="51"/>
    </row>
    <row r="16" spans="1:14" ht="18" customHeight="1">
      <c r="B16" s="31"/>
      <c r="C16" s="39" t="s">
        <v>1</v>
      </c>
      <c r="D16" s="40"/>
      <c r="E16" s="39"/>
      <c r="F16" s="40"/>
      <c r="G16" s="39" t="s">
        <v>1</v>
      </c>
      <c r="H16" s="40"/>
      <c r="I16" s="68"/>
      <c r="J16" s="69"/>
      <c r="K16" s="44" t="s">
        <v>38</v>
      </c>
      <c r="L16" s="10"/>
      <c r="M16" s="52"/>
      <c r="N16" s="53"/>
    </row>
    <row r="17" spans="2:14" ht="18" customHeight="1">
      <c r="B17" s="24"/>
      <c r="C17" s="42" t="s">
        <v>42</v>
      </c>
      <c r="D17" s="43"/>
      <c r="E17" s="42"/>
      <c r="F17" s="43"/>
      <c r="G17" s="42" t="s">
        <v>42</v>
      </c>
      <c r="H17" s="43"/>
      <c r="I17" s="64"/>
      <c r="J17" s="65"/>
      <c r="K17" s="45"/>
      <c r="L17" s="12"/>
      <c r="M17" s="46"/>
      <c r="N17" s="47"/>
    </row>
    <row r="18" spans="2:14" ht="18" customHeight="1">
      <c r="B18" s="32" t="s">
        <v>2</v>
      </c>
      <c r="C18" s="48"/>
      <c r="D18" s="49"/>
      <c r="E18" s="48" t="s">
        <v>2</v>
      </c>
      <c r="F18" s="49"/>
      <c r="G18" s="48"/>
      <c r="H18" s="49"/>
      <c r="I18" s="48" t="s">
        <v>2</v>
      </c>
      <c r="J18" s="63"/>
      <c r="K18" s="45"/>
      <c r="L18" s="12"/>
      <c r="M18" s="46"/>
      <c r="N18" s="47"/>
    </row>
    <row r="19" spans="2:14" ht="18" customHeight="1">
      <c r="B19" s="24" t="s">
        <v>43</v>
      </c>
      <c r="C19" s="42"/>
      <c r="D19" s="43"/>
      <c r="E19" s="42" t="s">
        <v>43</v>
      </c>
      <c r="F19" s="43"/>
      <c r="G19" s="42"/>
      <c r="H19" s="43"/>
      <c r="I19" s="64" t="s">
        <v>43</v>
      </c>
      <c r="J19" s="65"/>
      <c r="K19" s="13"/>
      <c r="L19" s="12"/>
      <c r="M19" s="46"/>
      <c r="N19" s="47"/>
    </row>
    <row r="20" spans="2:14" ht="18" customHeight="1">
      <c r="B20" s="31"/>
      <c r="C20" s="39"/>
      <c r="D20" s="40"/>
      <c r="E20" s="39"/>
      <c r="F20" s="40"/>
      <c r="G20" s="39"/>
      <c r="H20" s="40"/>
      <c r="I20" s="39"/>
      <c r="J20" s="41"/>
      <c r="K20" s="13"/>
      <c r="L20" s="12"/>
      <c r="M20" s="46"/>
      <c r="N20" s="47"/>
    </row>
    <row r="21" spans="2:14" ht="18" customHeight="1">
      <c r="B21" s="24"/>
      <c r="C21" s="42"/>
      <c r="D21" s="43"/>
      <c r="E21" s="42"/>
      <c r="F21" s="43"/>
      <c r="G21" s="42"/>
      <c r="H21" s="43"/>
      <c r="I21" s="42"/>
      <c r="J21" s="70"/>
      <c r="K21" s="25"/>
      <c r="L21" s="26"/>
      <c r="M21" s="50"/>
      <c r="N21" s="51"/>
    </row>
    <row r="22" spans="2:14" ht="18" customHeight="1">
      <c r="B22" s="31"/>
      <c r="C22" s="39"/>
      <c r="D22" s="40"/>
      <c r="E22" s="39"/>
      <c r="F22" s="40"/>
      <c r="G22" s="39"/>
      <c r="H22" s="40"/>
      <c r="I22" s="39"/>
      <c r="J22" s="41"/>
      <c r="K22" s="44" t="s">
        <v>39</v>
      </c>
      <c r="L22" s="10"/>
      <c r="M22" s="52"/>
      <c r="N22" s="53"/>
    </row>
    <row r="23" spans="2:14" ht="18" customHeight="1">
      <c r="B23" s="24"/>
      <c r="C23" s="42"/>
      <c r="D23" s="43"/>
      <c r="E23" s="42"/>
      <c r="F23" s="43"/>
      <c r="G23" s="42"/>
      <c r="H23" s="43"/>
      <c r="I23" s="64"/>
      <c r="J23" s="65"/>
      <c r="K23" s="45"/>
      <c r="L23" s="12"/>
      <c r="M23" s="46"/>
      <c r="N23" s="47"/>
    </row>
    <row r="24" spans="2:14" ht="18" customHeight="1">
      <c r="B24" s="31"/>
      <c r="C24" s="39"/>
      <c r="D24" s="40"/>
      <c r="E24" s="39"/>
      <c r="F24" s="40"/>
      <c r="G24" s="39"/>
      <c r="H24" s="40"/>
      <c r="I24" s="39"/>
      <c r="J24" s="41"/>
      <c r="K24" s="45"/>
      <c r="L24" s="12"/>
      <c r="M24" s="46"/>
      <c r="N24" s="47"/>
    </row>
    <row r="25" spans="2:14" ht="18" customHeight="1">
      <c r="B25" s="24"/>
      <c r="C25" s="42"/>
      <c r="D25" s="43"/>
      <c r="E25" s="42"/>
      <c r="F25" s="43"/>
      <c r="G25" s="42"/>
      <c r="H25" s="43"/>
      <c r="I25" s="64"/>
      <c r="J25" s="65"/>
      <c r="K25" s="45"/>
      <c r="L25" s="12"/>
      <c r="M25" s="46"/>
      <c r="N25" s="47"/>
    </row>
    <row r="26" spans="2:14" ht="18" customHeight="1">
      <c r="B26" s="38">
        <v>0.58333333333333337</v>
      </c>
      <c r="C26" s="39"/>
      <c r="D26" s="40"/>
      <c r="E26" s="84">
        <v>0.58333333333333337</v>
      </c>
      <c r="F26" s="40"/>
      <c r="G26" s="39"/>
      <c r="H26" s="40"/>
      <c r="I26" s="84">
        <v>0.58333333333333337</v>
      </c>
      <c r="J26" s="41"/>
      <c r="K26" s="13"/>
      <c r="L26" s="12"/>
      <c r="M26" s="46"/>
      <c r="N26" s="47"/>
    </row>
    <row r="27" spans="2:14" ht="18" customHeight="1">
      <c r="B27" s="24" t="s">
        <v>44</v>
      </c>
      <c r="C27" s="42"/>
      <c r="D27" s="43"/>
      <c r="E27" s="42" t="s">
        <v>44</v>
      </c>
      <c r="F27" s="43"/>
      <c r="G27" s="42"/>
      <c r="H27" s="43"/>
      <c r="I27" s="64" t="s">
        <v>44</v>
      </c>
      <c r="J27" s="65"/>
      <c r="K27" s="25"/>
      <c r="L27" s="26"/>
      <c r="M27" s="50"/>
      <c r="N27" s="51"/>
    </row>
    <row r="28" spans="2:14" ht="18" customHeight="1">
      <c r="B28" s="31"/>
      <c r="C28" s="39"/>
      <c r="D28" s="40"/>
      <c r="E28" s="39"/>
      <c r="F28" s="40"/>
      <c r="G28" s="39"/>
      <c r="H28" s="40"/>
      <c r="I28" s="39"/>
      <c r="J28" s="41"/>
      <c r="K28" s="44" t="s">
        <v>40</v>
      </c>
      <c r="L28" s="10"/>
      <c r="M28" s="52"/>
      <c r="N28" s="53"/>
    </row>
    <row r="29" spans="2:14" ht="18" customHeight="1">
      <c r="B29" s="24"/>
      <c r="C29" s="42"/>
      <c r="D29" s="43"/>
      <c r="E29" s="42"/>
      <c r="F29" s="43"/>
      <c r="G29" s="42"/>
      <c r="H29" s="43"/>
      <c r="I29" s="42"/>
      <c r="J29" s="70"/>
      <c r="K29" s="45"/>
      <c r="L29" s="12"/>
      <c r="M29" s="46"/>
      <c r="N29" s="47"/>
    </row>
    <row r="30" spans="2:14" ht="18" customHeight="1">
      <c r="B30" s="31"/>
      <c r="C30" s="39" t="s">
        <v>57</v>
      </c>
      <c r="D30" s="40"/>
      <c r="E30" s="39"/>
      <c r="F30" s="40"/>
      <c r="G30" s="39" t="s">
        <v>57</v>
      </c>
      <c r="H30" s="40"/>
      <c r="I30" s="39"/>
      <c r="J30" s="41"/>
      <c r="K30" s="45"/>
      <c r="L30" s="12"/>
      <c r="M30" s="46"/>
      <c r="N30" s="47"/>
    </row>
    <row r="31" spans="2:14" ht="18" customHeight="1">
      <c r="B31" s="24"/>
      <c r="C31" s="42" t="s">
        <v>45</v>
      </c>
      <c r="D31" s="43"/>
      <c r="E31" s="42"/>
      <c r="F31" s="43"/>
      <c r="G31" s="42" t="s">
        <v>45</v>
      </c>
      <c r="H31" s="43"/>
      <c r="I31" s="42"/>
      <c r="J31" s="70"/>
      <c r="K31" s="27"/>
      <c r="L31" s="12"/>
      <c r="M31" s="46"/>
      <c r="N31" s="47"/>
    </row>
    <row r="32" spans="2:14" ht="18" customHeight="1">
      <c r="B32" s="31"/>
      <c r="C32" s="39"/>
      <c r="D32" s="40"/>
      <c r="E32" s="39"/>
      <c r="F32" s="40"/>
      <c r="G32" s="39"/>
      <c r="H32" s="40"/>
      <c r="I32" s="68"/>
      <c r="J32" s="69"/>
      <c r="K32" s="27"/>
      <c r="L32" s="12"/>
      <c r="M32" s="46"/>
      <c r="N32" s="47"/>
    </row>
    <row r="33" spans="2:14" ht="18" customHeight="1">
      <c r="B33" s="28"/>
      <c r="C33" s="66"/>
      <c r="D33" s="67"/>
      <c r="E33" s="66"/>
      <c r="F33" s="67"/>
      <c r="G33" s="66"/>
      <c r="H33" s="67"/>
      <c r="I33" s="72"/>
      <c r="J33" s="73"/>
      <c r="K33" s="29"/>
      <c r="L33" s="30"/>
      <c r="M33" s="81"/>
      <c r="N33" s="82"/>
    </row>
  </sheetData>
  <mergeCells count="119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31" priority="5" stopIfTrue="1">
      <formula>DAY(C4)&gt;8</formula>
    </cfRule>
  </conditionalFormatting>
  <conditionalFormatting sqref="C8:I10">
    <cfRule type="expression" dxfId="30" priority="4" stopIfTrue="1">
      <formula>AND(DAY(C8)&gt;=1,DAY(C8)&lt;=15)</formula>
    </cfRule>
  </conditionalFormatting>
  <conditionalFormatting sqref="C4:I9">
    <cfRule type="expression" dxfId="29" priority="6">
      <formula>VLOOKUP(DAY(C4),AssignmentDays,1,FALSE)=DAY(C4)</formula>
    </cfRule>
  </conditionalFormatting>
  <conditionalFormatting sqref="B14:J29 B31:J33 B30 I30:J30 E30:F30">
    <cfRule type="expression" dxfId="28" priority="3">
      <formula>B14&lt;&gt;""</formula>
    </cfRule>
  </conditionalFormatting>
  <conditionalFormatting sqref="G30:H30">
    <cfRule type="expression" dxfId="27" priority="2">
      <formula>G30&lt;&gt;""</formula>
    </cfRule>
  </conditionalFormatting>
  <conditionalFormatting sqref="C30:D30">
    <cfRule type="expression" dxfId="26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/>
  <cols>
    <col min="1" max="1" width="2.25" style="1" customWidth="1"/>
    <col min="2" max="2" width="12.625" style="1" customWidth="1"/>
    <col min="3" max="10" width="6.625" style="1" customWidth="1"/>
    <col min="11" max="11" width="7.25" style="1" customWidth="1"/>
    <col min="12" max="12" width="3.75" style="1" customWidth="1"/>
    <col min="13" max="13" width="51.375" style="1" customWidth="1"/>
    <col min="14" max="14" width="13" style="1" bestFit="1" customWidth="1"/>
    <col min="15" max="15" width="2.25" style="1" customWidth="1"/>
    <col min="16" max="22" width="7.75" style="1" customWidth="1"/>
    <col min="23" max="16384" width="8.62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54" t="s">
        <v>13</v>
      </c>
      <c r="L2" s="55">
        <v>2013</v>
      </c>
      <c r="M2" s="55"/>
      <c r="N2" s="61">
        <f ca="1">CalendarYear</f>
        <v>2018</v>
      </c>
    </row>
    <row r="3" spans="1:14" ht="21" customHeight="1">
      <c r="A3" s="2"/>
      <c r="B3" s="71" t="s">
        <v>30</v>
      </c>
      <c r="C3" s="7" t="s">
        <v>50</v>
      </c>
      <c r="D3" s="7" t="s">
        <v>4</v>
      </c>
      <c r="E3" s="7" t="s">
        <v>8</v>
      </c>
      <c r="F3" s="7" t="s">
        <v>6</v>
      </c>
      <c r="G3" s="7" t="s">
        <v>5</v>
      </c>
      <c r="H3" s="7" t="s">
        <v>7</v>
      </c>
      <c r="I3" s="7" t="s">
        <v>3</v>
      </c>
      <c r="J3" s="8"/>
      <c r="K3" s="56"/>
      <c r="L3" s="57"/>
      <c r="M3" s="57"/>
      <c r="N3" s="62"/>
    </row>
    <row r="4" spans="1:14" ht="18" customHeight="1">
      <c r="A4" s="2"/>
      <c r="B4" s="71"/>
      <c r="C4" s="9">
        <f ca="1">IF(DAY(AugSun1)=1,AugSun1-6,AugSun1+1)</f>
        <v>43310</v>
      </c>
      <c r="D4" s="9">
        <f ca="1">IF(DAY(AugSun1)=1,AugSun1-5,AugSun1+2)</f>
        <v>43311</v>
      </c>
      <c r="E4" s="9">
        <f ca="1">IF(DAY(AugSun1)=1,AugSun1-4,AugSun1+3)</f>
        <v>43312</v>
      </c>
      <c r="F4" s="9">
        <f ca="1">IF(DAY(AugSun1)=1,AugSun1-3,AugSun1+4)</f>
        <v>43313</v>
      </c>
      <c r="G4" s="9">
        <f ca="1">IF(DAY(AugSun1)=1,AugSun1-2,AugSun1+5)</f>
        <v>43314</v>
      </c>
      <c r="H4" s="9">
        <f ca="1">IF(DAY(AugSun1)=1,AugSun1-1,AugSun1+6)</f>
        <v>43315</v>
      </c>
      <c r="I4" s="9">
        <f ca="1">IF(DAY(AugSun1)=1,AugSun1,AugSun1+7)</f>
        <v>43316</v>
      </c>
      <c r="J4" s="8"/>
      <c r="K4" s="58" t="s">
        <v>36</v>
      </c>
      <c r="L4" s="10"/>
      <c r="M4" s="59"/>
      <c r="N4" s="60"/>
    </row>
    <row r="5" spans="1:14" ht="18" customHeight="1">
      <c r="A5" s="2"/>
      <c r="B5" s="33"/>
      <c r="C5" s="9">
        <f ca="1">IF(DAY(AugSun1)=1,AugSun1+1,AugSun1+8)</f>
        <v>43317</v>
      </c>
      <c r="D5" s="9">
        <f ca="1">IF(DAY(AugSun1)=1,AugSun1+2,AugSun1+9)</f>
        <v>43318</v>
      </c>
      <c r="E5" s="9">
        <f ca="1">IF(DAY(AugSun1)=1,AugSun1+3,AugSun1+10)</f>
        <v>43319</v>
      </c>
      <c r="F5" s="9">
        <f ca="1">IF(DAY(AugSun1)=1,AugSun1+4,AugSun1+11)</f>
        <v>43320</v>
      </c>
      <c r="G5" s="9">
        <f ca="1">IF(DAY(AugSun1)=1,AugSun1+5,AugSun1+12)</f>
        <v>43321</v>
      </c>
      <c r="H5" s="9">
        <f ca="1">IF(DAY(AugSun1)=1,AugSun1+6,AugSun1+13)</f>
        <v>43322</v>
      </c>
      <c r="I5" s="9">
        <f ca="1">IF(DAY(AugSun1)=1,AugSun1+7,AugSun1+14)</f>
        <v>43323</v>
      </c>
      <c r="J5" s="8"/>
      <c r="K5" s="45"/>
      <c r="L5" s="12"/>
      <c r="M5" s="46"/>
      <c r="N5" s="47"/>
    </row>
    <row r="6" spans="1:14" ht="18" customHeight="1">
      <c r="A6" s="2"/>
      <c r="B6" s="33"/>
      <c r="C6" s="9">
        <f ca="1">IF(DAY(AugSun1)=1,AugSun1+8,AugSun1+15)</f>
        <v>43324</v>
      </c>
      <c r="D6" s="9">
        <f ca="1">IF(DAY(AugSun1)=1,AugSun1+9,AugSun1+16)</f>
        <v>43325</v>
      </c>
      <c r="E6" s="9">
        <f ca="1">IF(DAY(AugSun1)=1,AugSun1+10,AugSun1+17)</f>
        <v>43326</v>
      </c>
      <c r="F6" s="9">
        <f ca="1">IF(DAY(AugSun1)=1,AugSun1+11,AugSun1+18)</f>
        <v>43327</v>
      </c>
      <c r="G6" s="9">
        <f ca="1">IF(DAY(AugSun1)=1,AugSun1+12,AugSun1+19)</f>
        <v>43328</v>
      </c>
      <c r="H6" s="9">
        <f ca="1">IF(DAY(AugSun1)=1,AugSun1+13,AugSun1+20)</f>
        <v>43329</v>
      </c>
      <c r="I6" s="9">
        <f ca="1">IF(DAY(AugSun1)=1,AugSun1+14,AugSun1+21)</f>
        <v>43330</v>
      </c>
      <c r="J6" s="8"/>
      <c r="K6" s="45"/>
      <c r="L6" s="12"/>
      <c r="M6" s="46"/>
      <c r="N6" s="47"/>
    </row>
    <row r="7" spans="1:14" ht="18" customHeight="1">
      <c r="A7" s="2"/>
      <c r="B7" s="33"/>
      <c r="C7" s="9">
        <f ca="1">IF(DAY(AugSun1)=1,AugSun1+15,AugSun1+22)</f>
        <v>43331</v>
      </c>
      <c r="D7" s="9">
        <f ca="1">IF(DAY(AugSun1)=1,AugSun1+16,AugSun1+23)</f>
        <v>43332</v>
      </c>
      <c r="E7" s="9">
        <f ca="1">IF(DAY(AugSun1)=1,AugSun1+17,AugSun1+24)</f>
        <v>43333</v>
      </c>
      <c r="F7" s="9">
        <f ca="1">IF(DAY(AugSun1)=1,AugSun1+18,AugSun1+25)</f>
        <v>43334</v>
      </c>
      <c r="G7" s="9">
        <f ca="1">IF(DAY(AugSun1)=1,AugSun1+19,AugSun1+26)</f>
        <v>43335</v>
      </c>
      <c r="H7" s="9">
        <f ca="1">IF(DAY(AugSun1)=1,AugSun1+20,AugSun1+27)</f>
        <v>43336</v>
      </c>
      <c r="I7" s="9">
        <f ca="1">IF(DAY(AugSun1)=1,AugSun1+21,AugSun1+28)</f>
        <v>43337</v>
      </c>
      <c r="J7" s="8"/>
      <c r="K7" s="13"/>
      <c r="L7" s="12"/>
      <c r="M7" s="46"/>
      <c r="N7" s="47"/>
    </row>
    <row r="8" spans="1:14" ht="18.75" customHeight="1">
      <c r="A8" s="2"/>
      <c r="B8" s="33"/>
      <c r="C8" s="9">
        <f ca="1">IF(DAY(AugSun1)=1,AugSun1+22,AugSun1+29)</f>
        <v>43338</v>
      </c>
      <c r="D8" s="9">
        <f ca="1">IF(DAY(AugSun1)=1,AugSun1+23,AugSun1+30)</f>
        <v>43339</v>
      </c>
      <c r="E8" s="9">
        <f ca="1">IF(DAY(AugSun1)=1,AugSun1+24,AugSun1+31)</f>
        <v>43340</v>
      </c>
      <c r="F8" s="9">
        <f ca="1">IF(DAY(AugSun1)=1,AugSun1+25,AugSun1+32)</f>
        <v>43341</v>
      </c>
      <c r="G8" s="9">
        <f ca="1">IF(DAY(AugSun1)=1,AugSun1+26,AugSun1+33)</f>
        <v>43342</v>
      </c>
      <c r="H8" s="9">
        <f ca="1">IF(DAY(AugSun1)=1,AugSun1+27,AugSun1+34)</f>
        <v>43343</v>
      </c>
      <c r="I8" s="9">
        <f ca="1">IF(DAY(AugSun1)=1,AugSun1+28,AugSun1+35)</f>
        <v>43344</v>
      </c>
      <c r="J8" s="8"/>
      <c r="K8" s="13"/>
      <c r="L8" s="12"/>
      <c r="M8" s="46"/>
      <c r="N8" s="47"/>
    </row>
    <row r="9" spans="1:14" ht="18" customHeight="1">
      <c r="A9" s="2"/>
      <c r="B9" s="33"/>
      <c r="C9" s="9">
        <f ca="1">IF(DAY(AugSun1)=1,AugSun1+29,AugSun1+36)</f>
        <v>43345</v>
      </c>
      <c r="D9" s="9">
        <f ca="1">IF(DAY(AugSun1)=1,AugSun1+30,AugSun1+37)</f>
        <v>43346</v>
      </c>
      <c r="E9" s="9">
        <f ca="1">IF(DAY(AugSun1)=1,AugSun1+31,AugSun1+38)</f>
        <v>43347</v>
      </c>
      <c r="F9" s="9">
        <f ca="1">IF(DAY(AugSun1)=1,AugSun1+32,AugSun1+39)</f>
        <v>43348</v>
      </c>
      <c r="G9" s="9">
        <f ca="1">IF(DAY(AugSun1)=1,AugSun1+33,AugSun1+40)</f>
        <v>43349</v>
      </c>
      <c r="H9" s="9">
        <f ca="1">IF(DAY(AugSun1)=1,AugSun1+34,AugSun1+41)</f>
        <v>43350</v>
      </c>
      <c r="I9" s="9">
        <f ca="1">IF(DAY(AugSun1)=1,AugSun1+35,AugSun1+42)</f>
        <v>43351</v>
      </c>
      <c r="J9" s="8"/>
      <c r="K9" s="14"/>
      <c r="L9" s="15"/>
      <c r="M9" s="50"/>
      <c r="N9" s="51"/>
    </row>
    <row r="10" spans="1:14" ht="18" customHeight="1">
      <c r="A10" s="2"/>
      <c r="B10" s="34"/>
      <c r="C10" s="17"/>
      <c r="D10" s="17"/>
      <c r="E10" s="17"/>
      <c r="F10" s="17"/>
      <c r="G10" s="17"/>
      <c r="H10" s="17"/>
      <c r="I10" s="17"/>
      <c r="J10" s="18"/>
      <c r="K10" s="44" t="s">
        <v>37</v>
      </c>
      <c r="L10" s="10"/>
      <c r="M10" s="52"/>
      <c r="N10" s="53"/>
    </row>
    <row r="11" spans="1:14" ht="18" customHeight="1">
      <c r="A11" s="2"/>
      <c r="B11" s="78" t="s">
        <v>20</v>
      </c>
      <c r="C11" s="83"/>
      <c r="D11" s="83"/>
      <c r="E11" s="83"/>
      <c r="F11" s="83"/>
      <c r="G11" s="83"/>
      <c r="H11" s="83"/>
      <c r="I11" s="83"/>
      <c r="J11" s="80"/>
      <c r="K11" s="45"/>
      <c r="L11" s="12"/>
      <c r="M11" s="46"/>
      <c r="N11" s="47"/>
    </row>
    <row r="12" spans="1:14" ht="18" customHeight="1">
      <c r="A12" s="2"/>
      <c r="B12" s="78"/>
      <c r="C12" s="83"/>
      <c r="D12" s="83"/>
      <c r="E12" s="83"/>
      <c r="F12" s="83"/>
      <c r="G12" s="83"/>
      <c r="H12" s="83"/>
      <c r="I12" s="83"/>
      <c r="J12" s="80"/>
      <c r="K12" s="45"/>
      <c r="L12" s="12"/>
      <c r="M12" s="46"/>
      <c r="N12" s="47"/>
    </row>
    <row r="13" spans="1:14" ht="18" customHeight="1">
      <c r="B13" s="19" t="s">
        <v>36</v>
      </c>
      <c r="C13" s="20" t="s">
        <v>37</v>
      </c>
      <c r="D13" s="21"/>
      <c r="E13" s="20" t="s">
        <v>38</v>
      </c>
      <c r="F13" s="21"/>
      <c r="G13" s="20" t="s">
        <v>39</v>
      </c>
      <c r="H13" s="21"/>
      <c r="I13" s="20" t="s">
        <v>40</v>
      </c>
      <c r="J13" s="22"/>
      <c r="K13" s="13"/>
      <c r="L13" s="12"/>
      <c r="M13" s="46"/>
      <c r="N13" s="47"/>
    </row>
    <row r="14" spans="1:14" ht="18" customHeight="1">
      <c r="B14" s="31" t="s">
        <v>0</v>
      </c>
      <c r="C14" s="39"/>
      <c r="D14" s="40"/>
      <c r="E14" s="39" t="s">
        <v>0</v>
      </c>
      <c r="F14" s="40"/>
      <c r="G14" s="39"/>
      <c r="H14" s="40"/>
      <c r="I14" s="39" t="s">
        <v>0</v>
      </c>
      <c r="J14" s="41"/>
      <c r="K14" s="13"/>
      <c r="L14" s="12"/>
      <c r="M14" s="46"/>
      <c r="N14" s="47"/>
    </row>
    <row r="15" spans="1:14" ht="18" customHeight="1">
      <c r="B15" s="24" t="s">
        <v>41</v>
      </c>
      <c r="C15" s="42"/>
      <c r="D15" s="43"/>
      <c r="E15" s="42" t="s">
        <v>41</v>
      </c>
      <c r="F15" s="43"/>
      <c r="G15" s="42"/>
      <c r="H15" s="43"/>
      <c r="I15" s="64" t="s">
        <v>41</v>
      </c>
      <c r="J15" s="65"/>
      <c r="K15" s="25"/>
      <c r="L15" s="26"/>
      <c r="M15" s="50"/>
      <c r="N15" s="51"/>
    </row>
    <row r="16" spans="1:14" ht="18" customHeight="1">
      <c r="B16" s="31"/>
      <c r="C16" s="39" t="s">
        <v>1</v>
      </c>
      <c r="D16" s="40"/>
      <c r="E16" s="39"/>
      <c r="F16" s="40"/>
      <c r="G16" s="39" t="s">
        <v>1</v>
      </c>
      <c r="H16" s="40"/>
      <c r="I16" s="68"/>
      <c r="J16" s="69"/>
      <c r="K16" s="44" t="s">
        <v>38</v>
      </c>
      <c r="L16" s="10"/>
      <c r="M16" s="52"/>
      <c r="N16" s="53"/>
    </row>
    <row r="17" spans="2:14" ht="18" customHeight="1">
      <c r="B17" s="24"/>
      <c r="C17" s="42" t="s">
        <v>42</v>
      </c>
      <c r="D17" s="43"/>
      <c r="E17" s="42"/>
      <c r="F17" s="43"/>
      <c r="G17" s="42" t="s">
        <v>42</v>
      </c>
      <c r="H17" s="43"/>
      <c r="I17" s="64"/>
      <c r="J17" s="65"/>
      <c r="K17" s="45"/>
      <c r="L17" s="12"/>
      <c r="M17" s="46"/>
      <c r="N17" s="47"/>
    </row>
    <row r="18" spans="2:14" ht="18" customHeight="1">
      <c r="B18" s="32" t="s">
        <v>2</v>
      </c>
      <c r="C18" s="48"/>
      <c r="D18" s="49"/>
      <c r="E18" s="48" t="s">
        <v>2</v>
      </c>
      <c r="F18" s="49"/>
      <c r="G18" s="48"/>
      <c r="H18" s="49"/>
      <c r="I18" s="48" t="s">
        <v>2</v>
      </c>
      <c r="J18" s="63"/>
      <c r="K18" s="45"/>
      <c r="L18" s="12"/>
      <c r="M18" s="46"/>
      <c r="N18" s="47"/>
    </row>
    <row r="19" spans="2:14" ht="18" customHeight="1">
      <c r="B19" s="24" t="s">
        <v>43</v>
      </c>
      <c r="C19" s="42"/>
      <c r="D19" s="43"/>
      <c r="E19" s="42" t="s">
        <v>43</v>
      </c>
      <c r="F19" s="43"/>
      <c r="G19" s="42"/>
      <c r="H19" s="43"/>
      <c r="I19" s="64" t="s">
        <v>43</v>
      </c>
      <c r="J19" s="65"/>
      <c r="K19" s="13"/>
      <c r="L19" s="12"/>
      <c r="M19" s="46"/>
      <c r="N19" s="47"/>
    </row>
    <row r="20" spans="2:14" ht="18" customHeight="1">
      <c r="B20" s="31"/>
      <c r="C20" s="39"/>
      <c r="D20" s="40"/>
      <c r="E20" s="39"/>
      <c r="F20" s="40"/>
      <c r="G20" s="39"/>
      <c r="H20" s="40"/>
      <c r="I20" s="39"/>
      <c r="J20" s="41"/>
      <c r="K20" s="13"/>
      <c r="L20" s="12"/>
      <c r="M20" s="46"/>
      <c r="N20" s="47"/>
    </row>
    <row r="21" spans="2:14" ht="18" customHeight="1">
      <c r="B21" s="24"/>
      <c r="C21" s="42"/>
      <c r="D21" s="43"/>
      <c r="E21" s="42"/>
      <c r="F21" s="43"/>
      <c r="G21" s="42"/>
      <c r="H21" s="43"/>
      <c r="I21" s="42"/>
      <c r="J21" s="70"/>
      <c r="K21" s="25"/>
      <c r="L21" s="26"/>
      <c r="M21" s="50"/>
      <c r="N21" s="51"/>
    </row>
    <row r="22" spans="2:14" ht="18" customHeight="1">
      <c r="B22" s="31"/>
      <c r="C22" s="39"/>
      <c r="D22" s="40"/>
      <c r="E22" s="39"/>
      <c r="F22" s="40"/>
      <c r="G22" s="39"/>
      <c r="H22" s="40"/>
      <c r="I22" s="39"/>
      <c r="J22" s="41"/>
      <c r="K22" s="44" t="s">
        <v>39</v>
      </c>
      <c r="L22" s="10"/>
      <c r="M22" s="52"/>
      <c r="N22" s="53"/>
    </row>
    <row r="23" spans="2:14" ht="18" customHeight="1">
      <c r="B23" s="24"/>
      <c r="C23" s="42"/>
      <c r="D23" s="43"/>
      <c r="E23" s="42"/>
      <c r="F23" s="43"/>
      <c r="G23" s="42"/>
      <c r="H23" s="43"/>
      <c r="I23" s="64"/>
      <c r="J23" s="65"/>
      <c r="K23" s="45"/>
      <c r="L23" s="12"/>
      <c r="M23" s="46"/>
      <c r="N23" s="47"/>
    </row>
    <row r="24" spans="2:14" ht="18" customHeight="1">
      <c r="B24" s="31"/>
      <c r="C24" s="39"/>
      <c r="D24" s="40"/>
      <c r="E24" s="39"/>
      <c r="F24" s="40"/>
      <c r="G24" s="39"/>
      <c r="H24" s="40"/>
      <c r="I24" s="39"/>
      <c r="J24" s="41"/>
      <c r="K24" s="45"/>
      <c r="L24" s="12"/>
      <c r="M24" s="46"/>
      <c r="N24" s="47"/>
    </row>
    <row r="25" spans="2:14" ht="18" customHeight="1">
      <c r="B25" s="24"/>
      <c r="C25" s="42"/>
      <c r="D25" s="43"/>
      <c r="E25" s="42"/>
      <c r="F25" s="43"/>
      <c r="G25" s="42"/>
      <c r="H25" s="43"/>
      <c r="I25" s="64"/>
      <c r="J25" s="65"/>
      <c r="K25" s="45"/>
      <c r="L25" s="12"/>
      <c r="M25" s="46"/>
      <c r="N25" s="47"/>
    </row>
    <row r="26" spans="2:14" ht="18" customHeight="1">
      <c r="B26" s="38">
        <v>0.58333333333333337</v>
      </c>
      <c r="C26" s="39"/>
      <c r="D26" s="40"/>
      <c r="E26" s="84">
        <v>0.58333333333333337</v>
      </c>
      <c r="F26" s="40"/>
      <c r="G26" s="39"/>
      <c r="H26" s="40"/>
      <c r="I26" s="84">
        <v>0.58333333333333337</v>
      </c>
      <c r="J26" s="41"/>
      <c r="K26" s="13"/>
      <c r="L26" s="12"/>
      <c r="M26" s="46"/>
      <c r="N26" s="47"/>
    </row>
    <row r="27" spans="2:14" ht="18" customHeight="1">
      <c r="B27" s="24" t="s">
        <v>44</v>
      </c>
      <c r="C27" s="42"/>
      <c r="D27" s="43"/>
      <c r="E27" s="42" t="s">
        <v>44</v>
      </c>
      <c r="F27" s="43"/>
      <c r="G27" s="42"/>
      <c r="H27" s="43"/>
      <c r="I27" s="64" t="s">
        <v>44</v>
      </c>
      <c r="J27" s="65"/>
      <c r="K27" s="25"/>
      <c r="L27" s="26"/>
      <c r="M27" s="50"/>
      <c r="N27" s="51"/>
    </row>
    <row r="28" spans="2:14" ht="18" customHeight="1">
      <c r="B28" s="31"/>
      <c r="C28" s="39"/>
      <c r="D28" s="40"/>
      <c r="E28" s="39"/>
      <c r="F28" s="40"/>
      <c r="G28" s="39"/>
      <c r="H28" s="40"/>
      <c r="I28" s="39"/>
      <c r="J28" s="41"/>
      <c r="K28" s="44" t="s">
        <v>40</v>
      </c>
      <c r="L28" s="10"/>
      <c r="M28" s="52"/>
      <c r="N28" s="53"/>
    </row>
    <row r="29" spans="2:14" ht="18" customHeight="1">
      <c r="B29" s="24"/>
      <c r="C29" s="42"/>
      <c r="D29" s="43"/>
      <c r="E29" s="42"/>
      <c r="F29" s="43"/>
      <c r="G29" s="42"/>
      <c r="H29" s="43"/>
      <c r="I29" s="42"/>
      <c r="J29" s="70"/>
      <c r="K29" s="45"/>
      <c r="L29" s="12"/>
      <c r="M29" s="46"/>
      <c r="N29" s="47"/>
    </row>
    <row r="30" spans="2:14" ht="18" customHeight="1">
      <c r="B30" s="31"/>
      <c r="C30" s="39" t="s">
        <v>57</v>
      </c>
      <c r="D30" s="40"/>
      <c r="E30" s="39"/>
      <c r="F30" s="40"/>
      <c r="G30" s="39" t="s">
        <v>57</v>
      </c>
      <c r="H30" s="40"/>
      <c r="I30" s="39"/>
      <c r="J30" s="41"/>
      <c r="K30" s="45"/>
      <c r="L30" s="12"/>
      <c r="M30" s="46"/>
      <c r="N30" s="47"/>
    </row>
    <row r="31" spans="2:14" ht="18" customHeight="1">
      <c r="B31" s="24"/>
      <c r="C31" s="42" t="s">
        <v>45</v>
      </c>
      <c r="D31" s="43"/>
      <c r="E31" s="42"/>
      <c r="F31" s="43"/>
      <c r="G31" s="42" t="s">
        <v>45</v>
      </c>
      <c r="H31" s="43"/>
      <c r="I31" s="42"/>
      <c r="J31" s="70"/>
      <c r="K31" s="27"/>
      <c r="L31" s="12"/>
      <c r="M31" s="46"/>
      <c r="N31" s="47"/>
    </row>
    <row r="32" spans="2:14" ht="18" customHeight="1">
      <c r="B32" s="23"/>
      <c r="C32" s="85"/>
      <c r="D32" s="86"/>
      <c r="E32" s="85"/>
      <c r="F32" s="86"/>
      <c r="G32" s="85"/>
      <c r="H32" s="86"/>
      <c r="I32" s="87"/>
      <c r="J32" s="88"/>
      <c r="K32" s="27"/>
      <c r="L32" s="12"/>
      <c r="M32" s="46"/>
      <c r="N32" s="47"/>
    </row>
    <row r="33" spans="2:14" ht="18" customHeight="1">
      <c r="B33" s="28"/>
      <c r="C33" s="66"/>
      <c r="D33" s="67"/>
      <c r="E33" s="66"/>
      <c r="F33" s="67"/>
      <c r="G33" s="66"/>
      <c r="H33" s="67"/>
      <c r="I33" s="72"/>
      <c r="J33" s="73"/>
      <c r="K33" s="29"/>
      <c r="L33" s="30"/>
      <c r="M33" s="81"/>
      <c r="N33" s="82"/>
    </row>
  </sheetData>
  <mergeCells count="119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25" priority="5" stopIfTrue="1">
      <formula>DAY(C4)&gt;8</formula>
    </cfRule>
  </conditionalFormatting>
  <conditionalFormatting sqref="C8:I10">
    <cfRule type="expression" dxfId="24" priority="4" stopIfTrue="1">
      <formula>AND(DAY(C8)&gt;=1,DAY(C8)&lt;=15)</formula>
    </cfRule>
  </conditionalFormatting>
  <conditionalFormatting sqref="C4:I9">
    <cfRule type="expression" dxfId="23" priority="6">
      <formula>VLOOKUP(DAY(C4),AssignmentDays,1,FALSE)=DAY(C4)</formula>
    </cfRule>
  </conditionalFormatting>
  <conditionalFormatting sqref="B14:J29 B31:J33 B30 I30:J30 E30:F30">
    <cfRule type="expression" dxfId="22" priority="3">
      <formula>B14&lt;&gt;""</formula>
    </cfRule>
  </conditionalFormatting>
  <conditionalFormatting sqref="G30:H30">
    <cfRule type="expression" dxfId="21" priority="2">
      <formula>G30&lt;&gt;""</formula>
    </cfRule>
  </conditionalFormatting>
  <conditionalFormatting sqref="C30:D30">
    <cfRule type="expression" dxfId="20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/>
  <cols>
    <col min="1" max="1" width="2.25" style="1" customWidth="1"/>
    <col min="2" max="2" width="12.625" style="1" customWidth="1"/>
    <col min="3" max="10" width="6.625" style="1" customWidth="1"/>
    <col min="11" max="11" width="7.25" style="1" customWidth="1"/>
    <col min="12" max="12" width="3.75" style="1" customWidth="1"/>
    <col min="13" max="13" width="51.375" style="1" customWidth="1"/>
    <col min="14" max="14" width="13" style="1" bestFit="1" customWidth="1"/>
    <col min="15" max="15" width="2.25" style="1" customWidth="1"/>
    <col min="16" max="22" width="7.75" style="1" customWidth="1"/>
    <col min="23" max="16384" width="8.625" style="1"/>
  </cols>
  <sheetData>
    <row r="1" spans="1:14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54" t="s">
        <v>13</v>
      </c>
      <c r="L2" s="55">
        <v>2013</v>
      </c>
      <c r="M2" s="55"/>
      <c r="N2" s="61">
        <f ca="1">CalendarYear</f>
        <v>2018</v>
      </c>
    </row>
    <row r="3" spans="1:14" ht="21" customHeight="1">
      <c r="A3" s="2"/>
      <c r="B3" s="71" t="s">
        <v>31</v>
      </c>
      <c r="C3" s="7" t="s">
        <v>50</v>
      </c>
      <c r="D3" s="7" t="s">
        <v>4</v>
      </c>
      <c r="E3" s="7" t="s">
        <v>8</v>
      </c>
      <c r="F3" s="7" t="s">
        <v>6</v>
      </c>
      <c r="G3" s="7" t="s">
        <v>5</v>
      </c>
      <c r="H3" s="7" t="s">
        <v>7</v>
      </c>
      <c r="I3" s="7" t="s">
        <v>3</v>
      </c>
      <c r="J3" s="8"/>
      <c r="K3" s="56"/>
      <c r="L3" s="57"/>
      <c r="M3" s="57"/>
      <c r="N3" s="62"/>
    </row>
    <row r="4" spans="1:14" ht="18" customHeight="1">
      <c r="A4" s="2"/>
      <c r="B4" s="71"/>
      <c r="C4" s="9">
        <f ca="1">IF(DAY(SepSun1)=1,SepSun1-6,SepSun1+1)</f>
        <v>43338</v>
      </c>
      <c r="D4" s="9">
        <f ca="1">IF(DAY(SepSun1)=1,SepSun1-5,SepSun1+2)</f>
        <v>43339</v>
      </c>
      <c r="E4" s="9">
        <f ca="1">IF(DAY(SepSun1)=1,SepSun1-4,SepSun1+3)</f>
        <v>43340</v>
      </c>
      <c r="F4" s="9">
        <f ca="1">IF(DAY(SepSun1)=1,SepSun1-3,SepSun1+4)</f>
        <v>43341</v>
      </c>
      <c r="G4" s="9">
        <f ca="1">IF(DAY(SepSun1)=1,SepSun1-2,SepSun1+5)</f>
        <v>43342</v>
      </c>
      <c r="H4" s="9">
        <f ca="1">IF(DAY(SepSun1)=1,SepSun1-1,SepSun1+6)</f>
        <v>43343</v>
      </c>
      <c r="I4" s="9">
        <f ca="1">IF(DAY(SepSun1)=1,SepSun1,SepSun1+7)</f>
        <v>43344</v>
      </c>
      <c r="J4" s="8"/>
      <c r="K4" s="58" t="s">
        <v>36</v>
      </c>
      <c r="L4" s="10"/>
      <c r="M4" s="59"/>
      <c r="N4" s="60"/>
    </row>
    <row r="5" spans="1:14" ht="18" customHeight="1">
      <c r="A5" s="2"/>
      <c r="B5" s="33"/>
      <c r="C5" s="9">
        <f ca="1">IF(DAY(SepSun1)=1,SepSun1+1,SepSun1+8)</f>
        <v>43345</v>
      </c>
      <c r="D5" s="9">
        <f ca="1">IF(DAY(SepSun1)=1,SepSun1+2,SepSun1+9)</f>
        <v>43346</v>
      </c>
      <c r="E5" s="9">
        <f ca="1">IF(DAY(SepSun1)=1,SepSun1+3,SepSun1+10)</f>
        <v>43347</v>
      </c>
      <c r="F5" s="9">
        <f ca="1">IF(DAY(SepSun1)=1,SepSun1+4,SepSun1+11)</f>
        <v>43348</v>
      </c>
      <c r="G5" s="9">
        <f ca="1">IF(DAY(SepSun1)=1,SepSun1+5,SepSun1+12)</f>
        <v>43349</v>
      </c>
      <c r="H5" s="9">
        <f ca="1">IF(DAY(SepSun1)=1,SepSun1+6,SepSun1+13)</f>
        <v>43350</v>
      </c>
      <c r="I5" s="9">
        <f ca="1">IF(DAY(SepSun1)=1,SepSun1+7,SepSun1+14)</f>
        <v>43351</v>
      </c>
      <c r="J5" s="8"/>
      <c r="K5" s="45"/>
      <c r="L5" s="12"/>
      <c r="M5" s="46"/>
      <c r="N5" s="47"/>
    </row>
    <row r="6" spans="1:14" ht="18" customHeight="1">
      <c r="A6" s="2"/>
      <c r="B6" s="33"/>
      <c r="C6" s="9">
        <f ca="1">IF(DAY(SepSun1)=1,SepSun1+8,SepSun1+15)</f>
        <v>43352</v>
      </c>
      <c r="D6" s="9">
        <f ca="1">IF(DAY(SepSun1)=1,SepSun1+9,SepSun1+16)</f>
        <v>43353</v>
      </c>
      <c r="E6" s="9">
        <f ca="1">IF(DAY(SepSun1)=1,SepSun1+10,SepSun1+17)</f>
        <v>43354</v>
      </c>
      <c r="F6" s="9">
        <f ca="1">IF(DAY(SepSun1)=1,SepSun1+11,SepSun1+18)</f>
        <v>43355</v>
      </c>
      <c r="G6" s="9">
        <f ca="1">IF(DAY(SepSun1)=1,SepSun1+12,SepSun1+19)</f>
        <v>43356</v>
      </c>
      <c r="H6" s="9">
        <f ca="1">IF(DAY(SepSun1)=1,SepSun1+13,SepSun1+20)</f>
        <v>43357</v>
      </c>
      <c r="I6" s="9">
        <f ca="1">IF(DAY(SepSun1)=1,SepSun1+14,SepSun1+21)</f>
        <v>43358</v>
      </c>
      <c r="J6" s="8"/>
      <c r="K6" s="45"/>
      <c r="L6" s="12"/>
      <c r="M6" s="46"/>
      <c r="N6" s="47"/>
    </row>
    <row r="7" spans="1:14" ht="18" customHeight="1">
      <c r="A7" s="2"/>
      <c r="B7" s="33"/>
      <c r="C7" s="9">
        <f ca="1">IF(DAY(SepSun1)=1,SepSun1+15,SepSun1+22)</f>
        <v>43359</v>
      </c>
      <c r="D7" s="9">
        <f ca="1">IF(DAY(SepSun1)=1,SepSun1+16,SepSun1+23)</f>
        <v>43360</v>
      </c>
      <c r="E7" s="9">
        <f ca="1">IF(DAY(SepSun1)=1,SepSun1+17,SepSun1+24)</f>
        <v>43361</v>
      </c>
      <c r="F7" s="9">
        <f ca="1">IF(DAY(SepSun1)=1,SepSun1+18,SepSun1+25)</f>
        <v>43362</v>
      </c>
      <c r="G7" s="9">
        <f ca="1">IF(DAY(SepSun1)=1,SepSun1+19,SepSun1+26)</f>
        <v>43363</v>
      </c>
      <c r="H7" s="9">
        <f ca="1">IF(DAY(SepSun1)=1,SepSun1+20,SepSun1+27)</f>
        <v>43364</v>
      </c>
      <c r="I7" s="9">
        <f ca="1">IF(DAY(SepSun1)=1,SepSun1+21,SepSun1+28)</f>
        <v>43365</v>
      </c>
      <c r="J7" s="8"/>
      <c r="K7" s="13"/>
      <c r="L7" s="12"/>
      <c r="M7" s="46"/>
      <c r="N7" s="47"/>
    </row>
    <row r="8" spans="1:14" ht="18.75" customHeight="1">
      <c r="A8" s="2"/>
      <c r="B8" s="33"/>
      <c r="C8" s="9">
        <f ca="1">IF(DAY(SepSun1)=1,SepSun1+22,SepSun1+29)</f>
        <v>43366</v>
      </c>
      <c r="D8" s="9">
        <f ca="1">IF(DAY(SepSun1)=1,SepSun1+23,SepSun1+30)</f>
        <v>43367</v>
      </c>
      <c r="E8" s="9">
        <f ca="1">IF(DAY(SepSun1)=1,SepSun1+24,SepSun1+31)</f>
        <v>43368</v>
      </c>
      <c r="F8" s="9">
        <f ca="1">IF(DAY(SepSun1)=1,SepSun1+25,SepSun1+32)</f>
        <v>43369</v>
      </c>
      <c r="G8" s="9">
        <f ca="1">IF(DAY(SepSun1)=1,SepSun1+26,SepSun1+33)</f>
        <v>43370</v>
      </c>
      <c r="H8" s="9">
        <f ca="1">IF(DAY(SepSun1)=1,SepSun1+27,SepSun1+34)</f>
        <v>43371</v>
      </c>
      <c r="I8" s="9">
        <f ca="1">IF(DAY(SepSun1)=1,SepSun1+28,SepSun1+35)</f>
        <v>43372</v>
      </c>
      <c r="J8" s="8"/>
      <c r="K8" s="13"/>
      <c r="L8" s="12"/>
      <c r="M8" s="46"/>
      <c r="N8" s="47"/>
    </row>
    <row r="9" spans="1:14" ht="18" customHeight="1">
      <c r="A9" s="2"/>
      <c r="B9" s="33"/>
      <c r="C9" s="9">
        <f ca="1">IF(DAY(SepSun1)=1,SepSun1+29,SepSun1+36)</f>
        <v>43373</v>
      </c>
      <c r="D9" s="9">
        <f ca="1">IF(DAY(SepSun1)=1,SepSun1+30,SepSun1+37)</f>
        <v>43374</v>
      </c>
      <c r="E9" s="9">
        <f ca="1">IF(DAY(SepSun1)=1,SepSun1+31,SepSun1+38)</f>
        <v>43375</v>
      </c>
      <c r="F9" s="9">
        <f ca="1">IF(DAY(SepSun1)=1,SepSun1+32,SepSun1+39)</f>
        <v>43376</v>
      </c>
      <c r="G9" s="9">
        <f ca="1">IF(DAY(SepSun1)=1,SepSun1+33,SepSun1+40)</f>
        <v>43377</v>
      </c>
      <c r="H9" s="9">
        <f ca="1">IF(DAY(SepSun1)=1,SepSun1+34,SepSun1+41)</f>
        <v>43378</v>
      </c>
      <c r="I9" s="9">
        <f ca="1">IF(DAY(SepSun1)=1,SepSun1+35,SepSun1+42)</f>
        <v>43379</v>
      </c>
      <c r="J9" s="8"/>
      <c r="K9" s="14"/>
      <c r="L9" s="15"/>
      <c r="M9" s="50"/>
      <c r="N9" s="51"/>
    </row>
    <row r="10" spans="1:14" ht="18" customHeight="1">
      <c r="A10" s="2"/>
      <c r="B10" s="34"/>
      <c r="C10" s="17"/>
      <c r="D10" s="17"/>
      <c r="E10" s="17"/>
      <c r="F10" s="17"/>
      <c r="G10" s="17"/>
      <c r="H10" s="17"/>
      <c r="I10" s="17"/>
      <c r="J10" s="18"/>
      <c r="K10" s="44" t="s">
        <v>37</v>
      </c>
      <c r="L10" s="10"/>
      <c r="M10" s="52"/>
      <c r="N10" s="53"/>
    </row>
    <row r="11" spans="1:14" ht="18" customHeight="1">
      <c r="A11" s="2"/>
      <c r="B11" s="78" t="s">
        <v>21</v>
      </c>
      <c r="C11" s="83"/>
      <c r="D11" s="83"/>
      <c r="E11" s="83"/>
      <c r="F11" s="83"/>
      <c r="G11" s="83"/>
      <c r="H11" s="83"/>
      <c r="I11" s="83"/>
      <c r="J11" s="80"/>
      <c r="K11" s="45"/>
      <c r="L11" s="12"/>
      <c r="M11" s="46"/>
      <c r="N11" s="47"/>
    </row>
    <row r="12" spans="1:14" ht="18" customHeight="1">
      <c r="A12" s="2"/>
      <c r="B12" s="78"/>
      <c r="C12" s="83"/>
      <c r="D12" s="83"/>
      <c r="E12" s="83"/>
      <c r="F12" s="83"/>
      <c r="G12" s="83"/>
      <c r="H12" s="83"/>
      <c r="I12" s="83"/>
      <c r="J12" s="80"/>
      <c r="K12" s="45"/>
      <c r="L12" s="12"/>
      <c r="M12" s="46"/>
      <c r="N12" s="47"/>
    </row>
    <row r="13" spans="1:14" ht="18" customHeight="1">
      <c r="B13" s="19" t="s">
        <v>36</v>
      </c>
      <c r="C13" s="20" t="s">
        <v>37</v>
      </c>
      <c r="D13" s="21"/>
      <c r="E13" s="20" t="s">
        <v>38</v>
      </c>
      <c r="F13" s="21"/>
      <c r="G13" s="20" t="s">
        <v>39</v>
      </c>
      <c r="H13" s="21"/>
      <c r="I13" s="20" t="s">
        <v>40</v>
      </c>
      <c r="J13" s="22"/>
      <c r="K13" s="13"/>
      <c r="L13" s="12"/>
      <c r="M13" s="46"/>
      <c r="N13" s="47"/>
    </row>
    <row r="14" spans="1:14" ht="18" customHeight="1">
      <c r="B14" s="31" t="s">
        <v>0</v>
      </c>
      <c r="C14" s="39"/>
      <c r="D14" s="40"/>
      <c r="E14" s="39" t="s">
        <v>0</v>
      </c>
      <c r="F14" s="40"/>
      <c r="G14" s="39"/>
      <c r="H14" s="40"/>
      <c r="I14" s="39" t="s">
        <v>0</v>
      </c>
      <c r="J14" s="41"/>
      <c r="K14" s="13"/>
      <c r="L14" s="12"/>
      <c r="M14" s="46"/>
      <c r="N14" s="47"/>
    </row>
    <row r="15" spans="1:14" ht="18" customHeight="1">
      <c r="B15" s="24" t="s">
        <v>41</v>
      </c>
      <c r="C15" s="42"/>
      <c r="D15" s="43"/>
      <c r="E15" s="42" t="s">
        <v>41</v>
      </c>
      <c r="F15" s="43"/>
      <c r="G15" s="42"/>
      <c r="H15" s="43"/>
      <c r="I15" s="64" t="s">
        <v>41</v>
      </c>
      <c r="J15" s="65"/>
      <c r="K15" s="25"/>
      <c r="L15" s="26"/>
      <c r="M15" s="50"/>
      <c r="N15" s="51"/>
    </row>
    <row r="16" spans="1:14" ht="18" customHeight="1">
      <c r="B16" s="31"/>
      <c r="C16" s="39" t="s">
        <v>1</v>
      </c>
      <c r="D16" s="40"/>
      <c r="E16" s="39"/>
      <c r="F16" s="40"/>
      <c r="G16" s="39" t="s">
        <v>1</v>
      </c>
      <c r="H16" s="40"/>
      <c r="I16" s="68"/>
      <c r="J16" s="69"/>
      <c r="K16" s="44" t="s">
        <v>38</v>
      </c>
      <c r="L16" s="10"/>
      <c r="M16" s="52"/>
      <c r="N16" s="53"/>
    </row>
    <row r="17" spans="2:14" ht="18" customHeight="1">
      <c r="B17" s="24"/>
      <c r="C17" s="42" t="s">
        <v>42</v>
      </c>
      <c r="D17" s="43"/>
      <c r="E17" s="42"/>
      <c r="F17" s="43"/>
      <c r="G17" s="42" t="s">
        <v>42</v>
      </c>
      <c r="H17" s="43"/>
      <c r="I17" s="64"/>
      <c r="J17" s="65"/>
      <c r="K17" s="45"/>
      <c r="L17" s="12"/>
      <c r="M17" s="46"/>
      <c r="N17" s="47"/>
    </row>
    <row r="18" spans="2:14" ht="18" customHeight="1">
      <c r="B18" s="32" t="s">
        <v>2</v>
      </c>
      <c r="C18" s="48"/>
      <c r="D18" s="49"/>
      <c r="E18" s="48" t="s">
        <v>2</v>
      </c>
      <c r="F18" s="49"/>
      <c r="G18" s="48"/>
      <c r="H18" s="49"/>
      <c r="I18" s="48" t="s">
        <v>2</v>
      </c>
      <c r="J18" s="63"/>
      <c r="K18" s="45"/>
      <c r="L18" s="12"/>
      <c r="M18" s="46"/>
      <c r="N18" s="47"/>
    </row>
    <row r="19" spans="2:14" ht="18" customHeight="1">
      <c r="B19" s="24" t="s">
        <v>43</v>
      </c>
      <c r="C19" s="42"/>
      <c r="D19" s="43"/>
      <c r="E19" s="42" t="s">
        <v>43</v>
      </c>
      <c r="F19" s="43"/>
      <c r="G19" s="42"/>
      <c r="H19" s="43"/>
      <c r="I19" s="64" t="s">
        <v>43</v>
      </c>
      <c r="J19" s="65"/>
      <c r="K19" s="13"/>
      <c r="L19" s="12"/>
      <c r="M19" s="46"/>
      <c r="N19" s="47"/>
    </row>
    <row r="20" spans="2:14" ht="18" customHeight="1">
      <c r="B20" s="31"/>
      <c r="C20" s="39"/>
      <c r="D20" s="40"/>
      <c r="E20" s="39"/>
      <c r="F20" s="40"/>
      <c r="G20" s="39"/>
      <c r="H20" s="40"/>
      <c r="I20" s="39"/>
      <c r="J20" s="41"/>
      <c r="K20" s="13"/>
      <c r="L20" s="12"/>
      <c r="M20" s="46"/>
      <c r="N20" s="47"/>
    </row>
    <row r="21" spans="2:14" ht="18" customHeight="1">
      <c r="B21" s="24"/>
      <c r="C21" s="42"/>
      <c r="D21" s="43"/>
      <c r="E21" s="42"/>
      <c r="F21" s="43"/>
      <c r="G21" s="42"/>
      <c r="H21" s="43"/>
      <c r="I21" s="42"/>
      <c r="J21" s="70"/>
      <c r="K21" s="25"/>
      <c r="L21" s="26"/>
      <c r="M21" s="50"/>
      <c r="N21" s="51"/>
    </row>
    <row r="22" spans="2:14" ht="18" customHeight="1">
      <c r="B22" s="31"/>
      <c r="C22" s="39"/>
      <c r="D22" s="40"/>
      <c r="E22" s="39"/>
      <c r="F22" s="40"/>
      <c r="G22" s="39"/>
      <c r="H22" s="40"/>
      <c r="I22" s="39"/>
      <c r="J22" s="41"/>
      <c r="K22" s="44" t="s">
        <v>39</v>
      </c>
      <c r="L22" s="10"/>
      <c r="M22" s="52"/>
      <c r="N22" s="53"/>
    </row>
    <row r="23" spans="2:14" ht="18" customHeight="1">
      <c r="B23" s="24"/>
      <c r="C23" s="42"/>
      <c r="D23" s="43"/>
      <c r="E23" s="42"/>
      <c r="F23" s="43"/>
      <c r="G23" s="42"/>
      <c r="H23" s="43"/>
      <c r="I23" s="64"/>
      <c r="J23" s="65"/>
      <c r="K23" s="45"/>
      <c r="L23" s="12"/>
      <c r="M23" s="46"/>
      <c r="N23" s="47"/>
    </row>
    <row r="24" spans="2:14" ht="18" customHeight="1">
      <c r="B24" s="31"/>
      <c r="C24" s="39"/>
      <c r="D24" s="40"/>
      <c r="E24" s="39"/>
      <c r="F24" s="40"/>
      <c r="G24" s="39"/>
      <c r="H24" s="40"/>
      <c r="I24" s="39"/>
      <c r="J24" s="41"/>
      <c r="K24" s="45"/>
      <c r="L24" s="12"/>
      <c r="M24" s="46"/>
      <c r="N24" s="47"/>
    </row>
    <row r="25" spans="2:14" ht="18" customHeight="1">
      <c r="B25" s="24"/>
      <c r="C25" s="42"/>
      <c r="D25" s="43"/>
      <c r="E25" s="42"/>
      <c r="F25" s="43"/>
      <c r="G25" s="42"/>
      <c r="H25" s="43"/>
      <c r="I25" s="64"/>
      <c r="J25" s="65"/>
      <c r="K25" s="45"/>
      <c r="L25" s="12"/>
      <c r="M25" s="46"/>
      <c r="N25" s="47"/>
    </row>
    <row r="26" spans="2:14" ht="18" customHeight="1">
      <c r="B26" s="38">
        <v>0.58333333333333337</v>
      </c>
      <c r="C26" s="39"/>
      <c r="D26" s="40"/>
      <c r="E26" s="84">
        <v>0.58333333333333337</v>
      </c>
      <c r="F26" s="40"/>
      <c r="G26" s="39"/>
      <c r="H26" s="40"/>
      <c r="I26" s="84">
        <v>0.58333333333333337</v>
      </c>
      <c r="J26" s="41"/>
      <c r="K26" s="13"/>
      <c r="L26" s="12"/>
      <c r="M26" s="46"/>
      <c r="N26" s="47"/>
    </row>
    <row r="27" spans="2:14" ht="18" customHeight="1">
      <c r="B27" s="24" t="s">
        <v>44</v>
      </c>
      <c r="C27" s="42"/>
      <c r="D27" s="43"/>
      <c r="E27" s="42" t="s">
        <v>44</v>
      </c>
      <c r="F27" s="43"/>
      <c r="G27" s="42"/>
      <c r="H27" s="43"/>
      <c r="I27" s="64" t="s">
        <v>44</v>
      </c>
      <c r="J27" s="65"/>
      <c r="K27" s="25"/>
      <c r="L27" s="26"/>
      <c r="M27" s="50"/>
      <c r="N27" s="51"/>
    </row>
    <row r="28" spans="2:14" ht="18" customHeight="1">
      <c r="B28" s="31"/>
      <c r="C28" s="39"/>
      <c r="D28" s="40"/>
      <c r="E28" s="39"/>
      <c r="F28" s="40"/>
      <c r="G28" s="39"/>
      <c r="H28" s="40"/>
      <c r="I28" s="39"/>
      <c r="J28" s="41"/>
      <c r="K28" s="44" t="s">
        <v>40</v>
      </c>
      <c r="L28" s="10"/>
      <c r="M28" s="52"/>
      <c r="N28" s="53"/>
    </row>
    <row r="29" spans="2:14" ht="18" customHeight="1">
      <c r="B29" s="24"/>
      <c r="C29" s="42"/>
      <c r="D29" s="43"/>
      <c r="E29" s="42"/>
      <c r="F29" s="43"/>
      <c r="G29" s="42"/>
      <c r="H29" s="43"/>
      <c r="I29" s="42"/>
      <c r="J29" s="70"/>
      <c r="K29" s="45"/>
      <c r="L29" s="12"/>
      <c r="M29" s="46"/>
      <c r="N29" s="47"/>
    </row>
    <row r="30" spans="2:14" ht="18" customHeight="1">
      <c r="B30" s="31"/>
      <c r="C30" s="39" t="s">
        <v>57</v>
      </c>
      <c r="D30" s="40"/>
      <c r="E30" s="39"/>
      <c r="F30" s="40"/>
      <c r="G30" s="39" t="s">
        <v>57</v>
      </c>
      <c r="H30" s="40"/>
      <c r="I30" s="39"/>
      <c r="J30" s="41"/>
      <c r="K30" s="45"/>
      <c r="L30" s="12"/>
      <c r="M30" s="46"/>
      <c r="N30" s="47"/>
    </row>
    <row r="31" spans="2:14" ht="18" customHeight="1">
      <c r="B31" s="24"/>
      <c r="C31" s="42" t="s">
        <v>45</v>
      </c>
      <c r="D31" s="43"/>
      <c r="E31" s="42"/>
      <c r="F31" s="43"/>
      <c r="G31" s="42" t="s">
        <v>45</v>
      </c>
      <c r="H31" s="43"/>
      <c r="I31" s="42"/>
      <c r="J31" s="70"/>
      <c r="K31" s="27"/>
      <c r="L31" s="12"/>
      <c r="M31" s="46"/>
      <c r="N31" s="47"/>
    </row>
    <row r="32" spans="2:14" ht="18" customHeight="1">
      <c r="B32" s="31"/>
      <c r="C32" s="39"/>
      <c r="D32" s="40"/>
      <c r="E32" s="39"/>
      <c r="F32" s="40"/>
      <c r="G32" s="39"/>
      <c r="H32" s="40"/>
      <c r="I32" s="68"/>
      <c r="J32" s="69"/>
      <c r="K32" s="27"/>
      <c r="L32" s="12"/>
      <c r="M32" s="46"/>
      <c r="N32" s="47"/>
    </row>
    <row r="33" spans="2:14" ht="18" customHeight="1">
      <c r="B33" s="28"/>
      <c r="C33" s="66"/>
      <c r="D33" s="67"/>
      <c r="E33" s="66"/>
      <c r="F33" s="67"/>
      <c r="G33" s="66"/>
      <c r="H33" s="67"/>
      <c r="I33" s="72"/>
      <c r="J33" s="73"/>
      <c r="K33" s="29"/>
      <c r="L33" s="30"/>
      <c r="M33" s="81"/>
      <c r="N33" s="82"/>
    </row>
  </sheetData>
  <mergeCells count="119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" type="noConversion"/>
  <conditionalFormatting sqref="C4:H4">
    <cfRule type="expression" dxfId="19" priority="5" stopIfTrue="1">
      <formula>DAY(C4)&gt;8</formula>
    </cfRule>
  </conditionalFormatting>
  <conditionalFormatting sqref="C8:I10">
    <cfRule type="expression" dxfId="18" priority="4" stopIfTrue="1">
      <formula>AND(DAY(C8)&gt;=1,DAY(C8)&lt;=15)</formula>
    </cfRule>
  </conditionalFormatting>
  <conditionalFormatting sqref="C4:I9">
    <cfRule type="expression" dxfId="17" priority="6">
      <formula>VLOOKUP(DAY(C4),AssignmentDays,1,FALSE)=DAY(C4)</formula>
    </cfRule>
  </conditionalFormatting>
  <conditionalFormatting sqref="B14:J29 B31:J33 B30 I30:J30 E30:F30">
    <cfRule type="expression" dxfId="16" priority="3">
      <formula>B14&lt;&gt;""</formula>
    </cfRule>
  </conditionalFormatting>
  <conditionalFormatting sqref="G30:H30">
    <cfRule type="expression" dxfId="15" priority="2">
      <formula>G30&lt;&gt;""</formula>
    </cfRule>
  </conditionalFormatting>
  <conditionalFormatting sqref="C30:D30">
    <cfRule type="expression" dxfId="14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一月</vt:lpstr>
      <vt:lpstr>二月</vt:lpstr>
      <vt:lpstr>三月</vt:lpstr>
      <vt:lpstr>四月</vt:lpstr>
      <vt:lpstr>五月</vt:lpstr>
      <vt:lpstr>六月</vt:lpstr>
      <vt:lpstr>七月</vt:lpstr>
      <vt:lpstr>八月</vt:lpstr>
      <vt:lpstr>九月</vt:lpstr>
      <vt:lpstr>十月</vt:lpstr>
      <vt:lpstr>十一月</vt:lpstr>
      <vt:lpstr>十二月</vt:lpstr>
      <vt:lpstr>七月!AssignmentDays</vt:lpstr>
      <vt:lpstr>三月!AssignmentDays</vt:lpstr>
      <vt:lpstr>九月!AssignmentDays</vt:lpstr>
      <vt:lpstr>二月!AssignmentDays</vt:lpstr>
      <vt:lpstr>五月!AssignmentDays</vt:lpstr>
      <vt:lpstr>八月!AssignmentDays</vt:lpstr>
      <vt:lpstr>六月!AssignmentDays</vt:lpstr>
      <vt:lpstr>十一月!AssignmentDays</vt:lpstr>
      <vt:lpstr>十二月!AssignmentDays</vt:lpstr>
      <vt:lpstr>十月!AssignmentDays</vt:lpstr>
      <vt:lpstr>四月!AssignmentDays</vt:lpstr>
      <vt:lpstr>AssignmentDays</vt:lpstr>
      <vt:lpstr>CalendarYear</vt:lpstr>
      <vt:lpstr>七月!ImportantDatesTable</vt:lpstr>
      <vt:lpstr>三月!ImportantDatesTable</vt:lpstr>
      <vt:lpstr>九月!ImportantDatesTable</vt:lpstr>
      <vt:lpstr>二月!ImportantDatesTable</vt:lpstr>
      <vt:lpstr>五月!ImportantDatesTable</vt:lpstr>
      <vt:lpstr>八月!ImportantDatesTable</vt:lpstr>
      <vt:lpstr>六月!ImportantDatesTable</vt:lpstr>
      <vt:lpstr>十一月!ImportantDatesTable</vt:lpstr>
      <vt:lpstr>十二月!ImportantDatesTable</vt:lpstr>
      <vt:lpstr>十月!ImportantDatesTable</vt:lpstr>
      <vt:lpstr>四月!ImportantDatesTable</vt:lpstr>
      <vt:lpstr>ImportantDatesTable</vt:lpstr>
      <vt:lpstr>一月!Print_Area</vt:lpstr>
      <vt:lpstr>七月!Print_Area</vt:lpstr>
      <vt:lpstr>三月!Print_Area</vt:lpstr>
      <vt:lpstr>九月!Print_Area</vt:lpstr>
      <vt:lpstr>二月!Print_Area</vt:lpstr>
      <vt:lpstr>五月!Print_Area</vt:lpstr>
      <vt:lpstr>八月!Print_Area</vt:lpstr>
      <vt:lpstr>六月!Print_Area</vt:lpstr>
      <vt:lpstr>十一月!Print_Area</vt:lpstr>
      <vt:lpstr>十二月!Print_Area</vt:lpstr>
      <vt:lpstr>十月!Print_Area</vt:lpstr>
      <vt:lpstr>四月!Print_Area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2013-12-24T07:57:00Z</dcterms:created>
  <dcterms:modified xsi:type="dcterms:W3CDTF">2018-10-31T15:56:43Z</dcterms:modified>
</cp:coreProperties>
</file>