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19"/>
  <workbookPr/>
  <mc:AlternateContent xmlns:mc="http://schemas.openxmlformats.org/markup-compatibility/2006">
    <mc:Choice Requires="x15">
      <x15ac:absPath xmlns:x15ac="http://schemas.microsoft.com/office/spreadsheetml/2010/11/ac" url="C:\Users\admin\Desktop\"/>
    </mc:Choice>
  </mc:AlternateContent>
  <xr:revisionPtr revIDLastSave="4" documentId="13_ncr:1_{8901B22D-CEDD-45D6-A76F-1C14F130A9D1}" xr6:coauthVersionLast="44" xr6:coauthVersionMax="44" xr10:uidLastSave="{8439E19F-2163-4513-97AD-BE6913B22930}"/>
  <bookViews>
    <workbookView xWindow="-120" yWindow="-120" windowWidth="28890" windowHeight="14415" tabRatio="686" xr2:uid="{00000000-000D-0000-FFFF-FFFF00000000}"/>
  </bookViews>
  <sheets>
    <sheet name="Tháng Một" sheetId="4" r:id="rId1"/>
    <sheet name="Tháng Hai" sheetId="5" r:id="rId2"/>
    <sheet name="Tháng Ba" sheetId="17" r:id="rId3"/>
    <sheet name="Tháng Tư" sheetId="18" r:id="rId4"/>
    <sheet name="Tháng Năm" sheetId="19" r:id="rId5"/>
    <sheet name="Tháng Sáu" sheetId="20" r:id="rId6"/>
    <sheet name="Tháng Bảy" sheetId="21" r:id="rId7"/>
    <sheet name="Tháng Tám" sheetId="22" r:id="rId8"/>
    <sheet name="Tháng Chín" sheetId="23" r:id="rId9"/>
    <sheet name="Tháng Mười" sheetId="24" r:id="rId10"/>
    <sheet name="Tháng Mười Một" sheetId="25" r:id="rId11"/>
    <sheet name="Tháng Mười Hai" sheetId="15" r:id="rId12"/>
    <sheet name="Tên Nhân viên" sheetId="16" r:id="rId13"/>
  </sheets>
  <definedNames>
    <definedName name="Khóa_Nghỉ_phép">'Tháng Một'!$C$2</definedName>
    <definedName name="Khóa_Ốm">'Tháng Một'!$K$2</definedName>
    <definedName name="Khóa_Tùy_chỉnh_1">'Tháng Một'!$N$2</definedName>
    <definedName name="Khóa_Tùy_chỉnh_2">'Tháng Một'!$R$2</definedName>
    <definedName name="Khóa_Việc_riêng">'Tháng Một'!$G$2</definedName>
    <definedName name="Năm_trên_Lịch">'Tháng Một'!$AH$4</definedName>
    <definedName name="Nhãn_Khóa_Nghỉ_phép">'Tháng Một'!$D$2</definedName>
    <definedName name="Nhãn_Khóa_Ốm">'Tháng Một'!$L$2</definedName>
    <definedName name="Nhãn_Khóa_Tùy_chỉnh_1">'Tháng Một'!$O$2</definedName>
    <definedName name="Nhãn_Khóa_Tùy_chỉnh_2">'Tháng Một'!$S$2</definedName>
    <definedName name="Nhãn_Khóa_Việc_riêng">'Tháng Một'!$H$2</definedName>
    <definedName name="_xlnm.Print_Titles" localSheetId="2">'Tháng Ba'!$4:$6</definedName>
    <definedName name="_xlnm.Print_Titles" localSheetId="6">'Tháng Bảy'!$4:$6</definedName>
    <definedName name="_xlnm.Print_Titles" localSheetId="8">'Tháng Chín'!$4:$6</definedName>
    <definedName name="_xlnm.Print_Titles" localSheetId="1">'Tháng Hai'!$4:$6</definedName>
    <definedName name="_xlnm.Print_Titles" localSheetId="0">'Tháng Một'!$4:$6</definedName>
    <definedName name="_xlnm.Print_Titles" localSheetId="9">'Tháng Mười'!$4:$6</definedName>
    <definedName name="_xlnm.Print_Titles" localSheetId="11">'Tháng Mười Hai'!$4:$6</definedName>
    <definedName name="_xlnm.Print_Titles" localSheetId="10">'Tháng Mười Một'!$4:$6</definedName>
    <definedName name="_xlnm.Print_Titles" localSheetId="4">'Tháng Năm'!$4:$6</definedName>
    <definedName name="_xlnm.Print_Titles" localSheetId="5">'Tháng Sáu'!$4:$6</definedName>
    <definedName name="_xlnm.Print_Titles" localSheetId="7">'Tháng Tám'!$4:$6</definedName>
    <definedName name="_xlnm.Print_Titles" localSheetId="3">'Tháng Tư'!$4:$6</definedName>
    <definedName name="Tên_khóa">'Tháng Một'!$B$2</definedName>
    <definedName name="Tên_Tháng" localSheetId="2">'Tháng Ba'!$B$4</definedName>
    <definedName name="Tên_Tháng" localSheetId="6">'Tháng Bảy'!$B$4</definedName>
    <definedName name="Tên_Tháng" localSheetId="8">'Tháng Chín'!$B$4</definedName>
    <definedName name="Tên_Tháng" localSheetId="1">'Tháng Hai'!$B$4</definedName>
    <definedName name="Tên_Tháng" localSheetId="0">'Tháng Một'!$B$4</definedName>
    <definedName name="Tên_Tháng" localSheetId="9">'Tháng Mười'!$B$4</definedName>
    <definedName name="Tên_Tháng" localSheetId="11">'Tháng Mười Hai'!$B$4</definedName>
    <definedName name="Tên_Tháng" localSheetId="10">'Tháng Mười Một'!$B$4</definedName>
    <definedName name="Tên_Tháng" localSheetId="4">'Tháng Năm'!$B$4</definedName>
    <definedName name="Tên_Tháng" localSheetId="5">'Tháng Sáu'!$B$4</definedName>
    <definedName name="Tên_Tháng" localSheetId="7">'Tháng Tám'!$B$4</definedName>
    <definedName name="Tên_Tháng" localSheetId="3">'Tháng Tư'!$B$4</definedName>
    <definedName name="Tiêu_đề_1">Tháng_Một[[#Headers],[Tên Nhân viên]]</definedName>
    <definedName name="Tiêu_đề_10">Tháng_Mười[[#Headers],[Tên Nhân viên]]</definedName>
    <definedName name="Tiêu_đề_11">Tháng_Mười_Một[[#Headers],[Tên Nhân viên]]</definedName>
    <definedName name="Tiêu_đề_12">Tháng_Mười_Hai[[#Headers],[Tên Nhân viên]]</definedName>
    <definedName name="Tiêu_đề_2">Tháng_Hai[[#Headers],[Tên Nhân viên]]</definedName>
    <definedName name="Tiêu_đề_3">Tháng_Ba[[#Headers],[Tên Nhân viên]]</definedName>
    <definedName name="Tiêu_đề_4">Tháng_Tư[[#Headers],[Tên Nhân viên]]</definedName>
    <definedName name="Tiêu_đề_5">Tháng_Năm[[#Headers],[Tên Nhân viên]]</definedName>
    <definedName name="Tiêu_đề_6">Tháng_Sáu[[#Headers],[Tên Nhân viên]]</definedName>
    <definedName name="Tiêu_đề_7">Tháng_Bảy[[#Headers],[Tên Nhân viên]]</definedName>
    <definedName name="Tiêu_đề_8">Tháng_Tám[[#Headers],[Tên Nhân viên]]</definedName>
    <definedName name="Tiêu_đề_9">Tháng_Chín[[#Headers],[Tên Nhân viên]]</definedName>
    <definedName name="Tiêu_đề_Cột_13">Tên_Nhân_viên[[#Headers],[Tên Nhân viên]]</definedName>
    <definedName name="Tiêu_đề_Vắng_mặt_Nhân_viên">'Tháng Một'!$B$1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 i="15" l="1"/>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H12"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H12" i="18"/>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AH12" i="5"/>
  <c r="AE5" i="5"/>
  <c r="AD5" i="5"/>
  <c r="AC5" i="5"/>
  <c r="AB5" i="5"/>
  <c r="AA5" i="5"/>
  <c r="Z5" i="5"/>
  <c r="Y5" i="5"/>
  <c r="X5" i="5"/>
  <c r="W5" i="5"/>
  <c r="V5" i="5"/>
  <c r="U5" i="5"/>
  <c r="T5" i="5"/>
  <c r="S5" i="5"/>
  <c r="R5" i="5"/>
  <c r="Q5" i="5"/>
  <c r="P5" i="5"/>
  <c r="O5" i="5"/>
  <c r="N5" i="5"/>
  <c r="M5" i="5"/>
  <c r="L5" i="5"/>
  <c r="K5" i="5"/>
  <c r="J5" i="5"/>
  <c r="I5" i="5"/>
  <c r="H5" i="5"/>
  <c r="G5" i="5"/>
  <c r="F5" i="5"/>
  <c r="E5" i="5"/>
  <c r="D5" i="5"/>
  <c r="C5" i="5"/>
  <c r="B12" i="15"/>
  <c r="B12" i="25"/>
  <c r="B12" i="24"/>
  <c r="B12" i="23"/>
  <c r="B12" i="22"/>
  <c r="B12" i="21"/>
  <c r="B12" i="20"/>
  <c r="B12" i="19"/>
  <c r="B12" i="4"/>
  <c r="B12" i="18"/>
  <c r="B12" i="17"/>
  <c r="B12" i="5"/>
  <c r="AH12"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AH7" i="25" l="1"/>
  <c r="AH8" i="25"/>
  <c r="AH9" i="25"/>
  <c r="AH10" i="25"/>
  <c r="AH11" i="25"/>
  <c r="AH7" i="23"/>
  <c r="AH8" i="23"/>
  <c r="AH9" i="23"/>
  <c r="AH10" i="23"/>
  <c r="AH11" i="23"/>
  <c r="AH7" i="20"/>
  <c r="AH8" i="20"/>
  <c r="AH9" i="20"/>
  <c r="AH10" i="20"/>
  <c r="AH11" i="20"/>
  <c r="AH7" i="18"/>
  <c r="AH8" i="18"/>
  <c r="AH9" i="18"/>
  <c r="AH10" i="18"/>
  <c r="AH11" i="18"/>
  <c r="AD12" i="15"/>
  <c r="AE12" i="15"/>
  <c r="AF12" i="15"/>
  <c r="AG12" i="15"/>
  <c r="AE12" i="25"/>
  <c r="AF12" i="25"/>
  <c r="AG12" i="25"/>
  <c r="AE12" i="24"/>
  <c r="AF12" i="24"/>
  <c r="AG12" i="24"/>
  <c r="AE12" i="23"/>
  <c r="AF12" i="23"/>
  <c r="AG12" i="23"/>
  <c r="AF12" i="22"/>
  <c r="AG12" i="22"/>
  <c r="AF12" i="21"/>
  <c r="AG12" i="21"/>
  <c r="AF12" i="20"/>
  <c r="AG12" i="20"/>
  <c r="AF12" i="19"/>
  <c r="AG12" i="19"/>
  <c r="AG12" i="18"/>
  <c r="AF12" i="18"/>
  <c r="AF12" i="17"/>
  <c r="AG12" i="17"/>
  <c r="AH9" i="4" l="1"/>
  <c r="AH10" i="4"/>
  <c r="AD12" i="25" l="1"/>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AH4" i="25"/>
  <c r="B1" i="25"/>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AH11" i="24"/>
  <c r="AH10" i="24"/>
  <c r="AH9" i="24"/>
  <c r="AH8" i="24"/>
  <c r="AH7" i="24"/>
  <c r="AH4" i="24"/>
  <c r="B1" i="24"/>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2" i="23"/>
  <c r="AH4" i="23"/>
  <c r="B1" i="23"/>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AH11" i="22"/>
  <c r="AH10" i="22"/>
  <c r="AH9" i="22"/>
  <c r="AH8" i="22"/>
  <c r="AH7" i="22"/>
  <c r="AH4" i="22"/>
  <c r="B1" i="22"/>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AH11" i="21"/>
  <c r="AH10" i="21"/>
  <c r="AH9" i="21"/>
  <c r="AH8" i="21"/>
  <c r="AH7" i="21"/>
  <c r="AH12" i="21" s="1"/>
  <c r="AH4" i="21"/>
  <c r="B1" i="21"/>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AH4" i="20"/>
  <c r="B1" i="20"/>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AH11" i="19"/>
  <c r="AH10" i="19"/>
  <c r="AH9" i="19"/>
  <c r="AH8" i="19"/>
  <c r="AH7" i="19"/>
  <c r="AH4" i="19"/>
  <c r="B1" i="19"/>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AH4" i="18"/>
  <c r="B1" i="18"/>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AH11" i="17"/>
  <c r="AH10" i="17"/>
  <c r="AH9" i="17"/>
  <c r="AH8" i="17"/>
  <c r="AH7" i="17"/>
  <c r="AH4" i="17"/>
  <c r="B1" i="17"/>
  <c r="B1" i="15"/>
  <c r="B1" i="5"/>
  <c r="AH12" i="17" l="1"/>
  <c r="AH12" i="22"/>
  <c r="AH12" i="25"/>
  <c r="AH12" i="20"/>
  <c r="AH12" i="24"/>
  <c r="AH4" i="5" l="1"/>
  <c r="AH4" i="15" l="1"/>
  <c r="C12" i="4" l="1"/>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7" i="15" l="1"/>
  <c r="AH8" i="15"/>
  <c r="AH9" i="15"/>
  <c r="AH10" i="15"/>
  <c r="AH11" i="15"/>
  <c r="AH12" i="15" l="1"/>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H11" i="5" l="1"/>
  <c r="AH10" i="5"/>
  <c r="AH9" i="5"/>
  <c r="AH11" i="4"/>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AH8" i="5"/>
  <c r="AH7" i="5"/>
  <c r="AH7" i="4" l="1"/>
  <c r="AH8" i="4"/>
</calcChain>
</file>

<file path=xl/sharedStrings.xml><?xml version="1.0" encoding="utf-8"?>
<sst xmlns="http://schemas.openxmlformats.org/spreadsheetml/2006/main" count="643" uniqueCount="64">
  <si>
    <t>Lịch biểu Vắng mặt Nhân viên</t>
  </si>
  <si>
    <t>Khóa Loại Vắng mặt</t>
  </si>
  <si>
    <t>Tháng Một</t>
  </si>
  <si>
    <t>Tên Nhân viên</t>
  </si>
  <si>
    <t>Nhân viên 1</t>
  </si>
  <si>
    <t>Nhân viên 2</t>
  </si>
  <si>
    <t>Nhân viên 3</t>
  </si>
  <si>
    <t>Nhân viên 4</t>
  </si>
  <si>
    <t>Nhân viên 5</t>
  </si>
  <si>
    <t>N</t>
  </si>
  <si>
    <t>Ngày Vắng mặt</t>
  </si>
  <si>
    <t>1</t>
  </si>
  <si>
    <t>Nghỉ phép</t>
  </si>
  <si>
    <t>2</t>
  </si>
  <si>
    <t>3</t>
  </si>
  <si>
    <t>V</t>
  </si>
  <si>
    <t>4</t>
  </si>
  <si>
    <t>Ô</t>
  </si>
  <si>
    <t>5</t>
  </si>
  <si>
    <t>Việc riêng</t>
  </si>
  <si>
    <t>6</t>
  </si>
  <si>
    <t>7</t>
  </si>
  <si>
    <t>8</t>
  </si>
  <si>
    <t>9</t>
  </si>
  <si>
    <t>Ốm</t>
  </si>
  <si>
    <t>10</t>
  </si>
  <si>
    <t>11</t>
  </si>
  <si>
    <t>12</t>
  </si>
  <si>
    <t>Tùy chỉnh 1</t>
  </si>
  <si>
    <t>13</t>
  </si>
  <si>
    <t>14</t>
  </si>
  <si>
    <t>15</t>
  </si>
  <si>
    <t>16</t>
  </si>
  <si>
    <t>Tùy chỉnh 2</t>
  </si>
  <si>
    <t>17</t>
  </si>
  <si>
    <t>18</t>
  </si>
  <si>
    <t>19</t>
  </si>
  <si>
    <t>20</t>
  </si>
  <si>
    <t>21</t>
  </si>
  <si>
    <t>22</t>
  </si>
  <si>
    <t>23</t>
  </si>
  <si>
    <t>24</t>
  </si>
  <si>
    <t>25</t>
  </si>
  <si>
    <t>26</t>
  </si>
  <si>
    <t>27</t>
  </si>
  <si>
    <t>28</t>
  </si>
  <si>
    <t>29</t>
  </si>
  <si>
    <t>30</t>
  </si>
  <si>
    <t>31</t>
  </si>
  <si>
    <t>Nhập năm:</t>
  </si>
  <si>
    <t>Tổng số Ngày</t>
  </si>
  <si>
    <t>Tháng Hai</t>
  </si>
  <si>
    <t xml:space="preserve"> </t>
  </si>
  <si>
    <t xml:space="preserve">  </t>
  </si>
  <si>
    <t>Tháng Ba</t>
  </si>
  <si>
    <t>Tháng Sáu</t>
  </si>
  <si>
    <t>Tháng Mười</t>
  </si>
  <si>
    <t>Tháng Mười Một</t>
  </si>
  <si>
    <t>Tháng Mười Hai</t>
  </si>
  <si>
    <t>Tháng Tư</t>
  </si>
  <si>
    <t>Tháng Năm</t>
  </si>
  <si>
    <t>Tháng Bảy</t>
  </si>
  <si>
    <t>Tháng Tám</t>
  </si>
  <si>
    <t>Tháng Chín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</si>
</sst>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3">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5" tint="0.79998168889431442"/>
        <bgColor indexed="65"/>
      </patternFill>
    </fill>
    <fill>
      <patternFill patternType="solid">
        <fgColor theme="5"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vertical="center"/>
    </xf>
    <xf numFmtId="0" fontId="6" fillId="0" borderId="0" applyNumberFormat="0" applyFill="0" applyBorder="0" applyProtection="0">
      <alignment vertical="top"/>
    </xf>
    <xf numFmtId="0" fontId="4" fillId="0" borderId="0" applyNumberFormat="0" applyFill="0" applyBorder="0" applyProtection="0">
      <alignment vertical="top"/>
    </xf>
    <xf numFmtId="0" fontId="5" fillId="2" borderId="0" applyNumberFormat="0" applyBorder="0" applyProtection="0">
      <alignment horizontal="center" vertical="center"/>
    </xf>
    <xf numFmtId="0" fontId="2" fillId="20" borderId="0" applyNumberFormat="0" applyProtection="0">
      <alignment horizontal="right" vertical="center" indent="1"/>
    </xf>
    <xf numFmtId="0" fontId="1" fillId="0" borderId="0" applyNumberFormat="0" applyFill="0" applyBorder="0" applyProtection="0">
      <alignment horizontal="left" vertical="center" indent="2"/>
    </xf>
    <xf numFmtId="0" fontId="3"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3"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3"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2" fillId="10" borderId="0" applyNumberFormat="0" applyBorder="0" applyAlignment="0" applyProtection="0"/>
    <xf numFmtId="0" fontId="3"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7" fillId="0" borderId="0">
      <alignment horizontal="center"/>
    </xf>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9"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12" fillId="24" borderId="1" applyNumberFormat="0" applyAlignment="0" applyProtection="0"/>
    <xf numFmtId="0" fontId="13" fillId="25" borderId="2" applyNumberFormat="0" applyAlignment="0" applyProtection="0"/>
    <xf numFmtId="0" fontId="14" fillId="25" borderId="1" applyNumberFormat="0" applyAlignment="0" applyProtection="0"/>
    <xf numFmtId="0" fontId="15" fillId="0" borderId="3" applyNumberFormat="0" applyFill="0" applyAlignment="0" applyProtection="0"/>
    <xf numFmtId="0" fontId="16" fillId="26" borderId="4" applyNumberFormat="0" applyAlignment="0" applyProtection="0"/>
    <xf numFmtId="0" fontId="17" fillId="0" borderId="0" applyNumberFormat="0" applyFill="0" applyBorder="0" applyAlignment="0" applyProtection="0"/>
    <xf numFmtId="0" fontId="1" fillId="27" borderId="5" applyNumberFormat="0" applyFont="0" applyAlignment="0" applyProtection="0"/>
    <xf numFmtId="0" fontId="18" fillId="0" borderId="0" applyNumberFormat="0" applyFill="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1">
    <xf numFmtId="0" fontId="0" fillId="0" borderId="0" xfId="0">
      <alignment horizontal="left" vertical="center"/>
    </xf>
    <xf numFmtId="0" fontId="1" fillId="0" borderId="0" xfId="26">
      <alignment horizontal="left" vertical="center" wrapText="1" indent="2"/>
    </xf>
    <xf numFmtId="0" fontId="0" fillId="0" borderId="0" xfId="0" applyAlignment="1">
      <alignment horizontal="center" vertical="center"/>
    </xf>
    <xf numFmtId="0" fontId="2" fillId="15" borderId="0" xfId="12" applyAlignment="1">
      <alignment horizontal="center" vertical="center"/>
    </xf>
    <xf numFmtId="0" fontId="2" fillId="10" borderId="0" xfId="19" applyAlignment="1">
      <alignment horizontal="center" vertical="center"/>
    </xf>
    <xf numFmtId="0" fontId="2" fillId="13" borderId="0" xfId="23" applyAlignment="1">
      <alignment horizontal="center" vertical="center"/>
    </xf>
    <xf numFmtId="166" fontId="2" fillId="9" borderId="0" xfId="8" applyNumberFormat="1" applyAlignment="1">
      <alignment horizontal="center" vertical="center"/>
    </xf>
    <xf numFmtId="166" fontId="2" fillId="14" borderId="0" xfId="24" applyNumberFormat="1" applyAlignment="1">
      <alignment horizontal="center" vertical="center"/>
    </xf>
    <xf numFmtId="1" fontId="1" fillId="0" borderId="0" xfId="25">
      <alignment horizontal="center" vertical="center"/>
    </xf>
    <xf numFmtId="0" fontId="5" fillId="2" borderId="0" xfId="3">
      <alignment horizontal="center" vertical="center"/>
    </xf>
    <xf numFmtId="166" fontId="0" fillId="0" borderId="0" xfId="0" applyNumberFormat="1" applyAlignment="1">
      <alignment horizontal="center" vertical="center"/>
    </xf>
    <xf numFmtId="0" fontId="6" fillId="0" borderId="0" xfId="1">
      <alignment vertical="top"/>
    </xf>
    <xf numFmtId="0" fontId="1" fillId="2" borderId="0" xfId="21" applyAlignment="1">
      <alignment horizontal="left" vertical="center" indent="1"/>
    </xf>
    <xf numFmtId="0" fontId="0" fillId="0" borderId="0" xfId="21" applyFont="1" applyFill="1" applyAlignment="1">
      <alignment horizontal="center" vertical="center"/>
    </xf>
    <xf numFmtId="0" fontId="0" fillId="0" borderId="0" xfId="0" applyAlignment="1">
      <alignment horizontal="left" vertical="center" wrapText="1"/>
    </xf>
    <xf numFmtId="0" fontId="2" fillId="20" borderId="0" xfId="4">
      <alignment horizontal="right" vertical="center" indent="1"/>
    </xf>
    <xf numFmtId="0" fontId="7" fillId="0" borderId="0" xfId="27">
      <alignment horizontal="center"/>
    </xf>
    <xf numFmtId="0" fontId="0" fillId="0" borderId="0" xfId="0" applyAlignment="1">
      <alignment horizontal="left" vertical="center" indent="1"/>
    </xf>
    <xf numFmtId="0" fontId="8" fillId="0" borderId="0" xfId="0" applyFont="1" applyAlignment="1">
      <alignment horizontal="center" vertical="center"/>
    </xf>
    <xf numFmtId="0" fontId="5" fillId="2" borderId="0" xfId="3">
      <alignment horizontal="center" vertical="center"/>
    </xf>
    <xf numFmtId="0" fontId="1" fillId="2" borderId="0" xfId="21" applyAlignment="1">
      <alignment horizontal="left" vertical="center"/>
    </xf>
  </cellXfs>
  <cellStyles count="49">
    <cellStyle name="20% - Accent1" xfId="15" builtinId="30" customBuiltin="1"/>
    <cellStyle name="20% - Accent2" xfId="44" builtinId="34" customBuiltin="1"/>
    <cellStyle name="20% - Accent3" xfId="21" builtinId="38" customBuiltin="1"/>
    <cellStyle name="20% - Accent4" xfId="7" builtinId="42" customBuiltin="1"/>
    <cellStyle name="20% - Accent5" xfId="47" builtinId="46"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2" xfId="45" builtinId="36" customBuiltin="1"/>
    <cellStyle name="60% - Accent3" xfId="23" builtinId="40" customBuiltin="1"/>
    <cellStyle name="60% - Accent4" xfId="9" builtinId="44" customBuiltin="1"/>
    <cellStyle name="60% - Accent5" xfId="48" builtinId="48"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5" xfId="46" builtinId="45" customBuiltin="1"/>
    <cellStyle name="Accent6" xfId="10" builtinId="49" customBuiltin="1"/>
    <cellStyle name="Bình thường" xfId="0" builtinId="0" customBuiltin="1"/>
    <cellStyle name="Dấu phẩy" xfId="28" builtinId="3" customBuiltin="1"/>
    <cellStyle name="Dấu phẩy [0]" xfId="29" builtinId="6" customBuiltin="1"/>
    <cellStyle name="Đầu đề 1" xfId="2" builtinId="16" customBuiltin="1"/>
    <cellStyle name="Đầu đề 2" xfId="3" builtinId="17" customBuiltin="1"/>
    <cellStyle name="Đầu đề 3" xfId="4" builtinId="18" customBuiltin="1"/>
    <cellStyle name="Đầu đề 4" xfId="5" builtinId="19" customBuiltin="1"/>
    <cellStyle name="Đầu ra" xfId="37" builtinId="21" customBuiltin="1"/>
    <cellStyle name="Đầu vào" xfId="36" builtinId="20" customBuiltin="1"/>
    <cellStyle name="Ghi chú" xfId="42" builtinId="10" customBuiltin="1"/>
    <cellStyle name="Kiểm tra Ô" xfId="40" builtinId="23" customBuiltin="1"/>
    <cellStyle name="Nhãn" xfId="27" xr:uid="{00000000-0005-0000-0000-000018000000}"/>
    <cellStyle name="Nhân viên" xfId="26" xr:uid="{00000000-0005-0000-0000-000013000000}"/>
    <cellStyle name="Ô được Nối kết" xfId="39" builtinId="24" customBuiltin="1"/>
    <cellStyle name="Phần trăm" xfId="32" builtinId="5" customBuiltin="1"/>
    <cellStyle name="Tiền tệ" xfId="30" builtinId="4" customBuiltin="1"/>
    <cellStyle name="Tiền tệ [0]" xfId="31" builtinId="7" customBuiltin="1"/>
    <cellStyle name="Tiêu đề" xfId="1" builtinId="15" customBuiltin="1"/>
    <cellStyle name="Tính toán" xfId="38" builtinId="22" customBuiltin="1"/>
    <cellStyle name="Tổng" xfId="25" builtinId="25" customBuiltin="1"/>
    <cellStyle name="Tốt" xfId="33" builtinId="26" customBuiltin="1"/>
    <cellStyle name="Trung lập" xfId="35" builtinId="28" customBuiltin="1"/>
    <cellStyle name="Văn bản Cảnh báo" xfId="41" builtinId="11" customBuiltin="1"/>
    <cellStyle name="Văn bản Giải thích" xfId="43" builtinId="53" customBuiltin="1"/>
    <cellStyle name="Xấu" xfId="34" builtinId="27" customBuiltin="1"/>
  </cellStyles>
  <dxfs count="903">
    <dxf>
      <font>
        <b val="0"/>
        <i val="0"/>
        <strike val="0"/>
        <condense val="0"/>
        <extend val="0"/>
        <outline val="0"/>
        <shadow val="0"/>
        <u val="none"/>
        <vertAlign val="baseline"/>
        <sz val="11"/>
        <color theme="1"/>
        <name val="Calibri"/>
        <family val="2"/>
        <scheme val="minor"/>
      </font>
      <alignment horizontal="left" vertical="center" textRotation="0" wrapText="1" indent="2" justifyLastLine="0" shrinkToFit="0" readingOrder="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numFmt numFmtId="1" formatCode="0"/>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numFmt numFmtId="1" formatCode="0"/>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numFmt numFmtId="1" formatCode="0"/>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numFmt numFmtId="1" formatCode="0"/>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numFmt numFmtId="166" formatCode="0;0;"/>
      <alignment horizontal="center" vertical="center" textRotation="0" wrapText="0" indent="0" justifyLastLine="0" shrinkToFit="0" readingOrder="0"/>
    </dxf>
    <dxf>
      <protection locked="1" hidden="0"/>
    </dxf>
    <dxf>
      <alignment horizontal="left" vertical="center" textRotation="0" wrapText="0" indent="1" justifyLastLine="0" shrinkToFit="0" readingOrder="0"/>
    </dxf>
    <dxf>
      <fill>
        <patternFill patternType="none">
          <fgColor indexed="64"/>
          <bgColor indexed="65"/>
        </patternFill>
      </fill>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PivotStyle="PivotStyleLight16">
    <tableStyle name="Bảng Vắng mặt của nhân viên" pivot="0" count="13" xr9:uid="{00000000-0011-0000-FFFF-FFFF00000000}">
      <tableStyleElement type="wholeTable" dxfId="902"/>
      <tableStyleElement type="headerRow" dxfId="901"/>
      <tableStyleElement type="totalRow" dxfId="900"/>
      <tableStyleElement type="firstColumn" dxfId="899"/>
      <tableStyleElement type="lastColumn" dxfId="898"/>
      <tableStyleElement type="firstRowStripe" dxfId="897"/>
      <tableStyleElement type="secondRowStripe" dxfId="896"/>
      <tableStyleElement type="firstColumnStripe" dxfId="895"/>
      <tableStyleElement type="secondColumnStripe" dxfId="894"/>
      <tableStyleElement type="firstHeaderCell" dxfId="893"/>
      <tableStyleElement type="lastHeaderCell" dxfId="892"/>
      <tableStyleElement type="firstTotalCell" dxfId="891"/>
      <tableStyleElement type="lastTotalCell" dxfId="89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háng_Một" displayName="Tháng_Một" ref="B6:AH12" totalsRowCount="1" headerRowDxfId="884" dataDxfId="883" totalsRowDxfId="882">
  <autoFilter ref="B6:AH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000-000001000000}" name="Tên Nhân viên" totalsRowFunction="custom" dataDxfId="881" totalsRowDxfId="880" dataCellStyle="Nhân viên">
      <totalsRowFormula>Tên_Tháng&amp;" Tổng"</totalsRowFormula>
    </tableColumn>
    <tableColumn id="2" xr3:uid="{00000000-0010-0000-0000-000002000000}" name="1" totalsRowFunction="custom" dataDxfId="879" totalsRowDxfId="878">
      <totalsRowFormula>SUBTOTAL(103,'Tháng Một'!$C$7:$C$11)</totalsRowFormula>
    </tableColumn>
    <tableColumn id="3" xr3:uid="{00000000-0010-0000-0000-000003000000}" name="2" totalsRowFunction="custom" dataDxfId="877" totalsRowDxfId="876">
      <totalsRowFormula>SUBTOTAL(103,'Tháng Một'!$D$7:$D$11)</totalsRowFormula>
    </tableColumn>
    <tableColumn id="4" xr3:uid="{00000000-0010-0000-0000-000004000000}" name="3" totalsRowFunction="custom" dataDxfId="875" totalsRowDxfId="874">
      <totalsRowFormula>SUBTOTAL(103,'Tháng Một'!$E$7:$E$11)</totalsRowFormula>
    </tableColumn>
    <tableColumn id="5" xr3:uid="{00000000-0010-0000-0000-000005000000}" name="4" totalsRowFunction="custom" dataDxfId="873" totalsRowDxfId="872">
      <totalsRowFormula>SUBTOTAL(103,'Tháng Một'!$F$7:$F$11)</totalsRowFormula>
    </tableColumn>
    <tableColumn id="6" xr3:uid="{00000000-0010-0000-0000-000006000000}" name="5" totalsRowFunction="custom" totalsRowDxfId="871">
      <totalsRowFormula>SUBTOTAL(103,'Tháng Một'!$G$7:$G$11)</totalsRowFormula>
    </tableColumn>
    <tableColumn id="7" xr3:uid="{00000000-0010-0000-0000-000007000000}" name="6" totalsRowFunction="custom" dataDxfId="870" totalsRowDxfId="869">
      <totalsRowFormula>SUBTOTAL(103,'Tháng Một'!$H$7:$H$11)</totalsRowFormula>
    </tableColumn>
    <tableColumn id="8" xr3:uid="{00000000-0010-0000-0000-000008000000}" name="7" totalsRowFunction="custom" dataDxfId="868" totalsRowDxfId="867">
      <totalsRowFormula>SUBTOTAL(103,'Tháng Một'!$I$7:$I$11)</totalsRowFormula>
    </tableColumn>
    <tableColumn id="9" xr3:uid="{00000000-0010-0000-0000-000009000000}" name="8" totalsRowFunction="custom" dataDxfId="866" totalsRowDxfId="865">
      <totalsRowFormula>SUBTOTAL(103,'Tháng Một'!$J$7:$J$11)</totalsRowFormula>
    </tableColumn>
    <tableColumn id="10" xr3:uid="{00000000-0010-0000-0000-00000A000000}" name="9" totalsRowFunction="custom" dataDxfId="864" totalsRowDxfId="863">
      <totalsRowFormula>SUBTOTAL(103,'Tháng Một'!$K$7:$K$11)</totalsRowFormula>
    </tableColumn>
    <tableColumn id="11" xr3:uid="{00000000-0010-0000-0000-00000B000000}" name="10" totalsRowFunction="custom" dataDxfId="862" totalsRowDxfId="861">
      <totalsRowFormula>SUBTOTAL(103,'Tháng Một'!$L$7:$L$11)</totalsRowFormula>
    </tableColumn>
    <tableColumn id="12" xr3:uid="{00000000-0010-0000-0000-00000C000000}" name="11" totalsRowFunction="custom" dataDxfId="860" totalsRowDxfId="859">
      <totalsRowFormula>SUBTOTAL(103,'Tháng Một'!$M$7:$M$11)</totalsRowFormula>
    </tableColumn>
    <tableColumn id="13" xr3:uid="{00000000-0010-0000-0000-00000D000000}" name="12" totalsRowFunction="custom" dataDxfId="858" totalsRowDxfId="857">
      <totalsRowFormula>SUBTOTAL(103,'Tháng Một'!$N$7:$N$11)</totalsRowFormula>
    </tableColumn>
    <tableColumn id="14" xr3:uid="{00000000-0010-0000-0000-00000E000000}" name="13" totalsRowFunction="custom" dataDxfId="856" totalsRowDxfId="855">
      <totalsRowFormula>SUBTOTAL(103,'Tháng Một'!$O$7:$O$11)</totalsRowFormula>
    </tableColumn>
    <tableColumn id="15" xr3:uid="{00000000-0010-0000-0000-00000F000000}" name="14" totalsRowFunction="custom" dataDxfId="854" totalsRowDxfId="853">
      <totalsRowFormula>SUBTOTAL(103,'Tháng Một'!$P$7:$P$11)</totalsRowFormula>
    </tableColumn>
    <tableColumn id="16" xr3:uid="{00000000-0010-0000-0000-000010000000}" name="15" totalsRowFunction="custom" dataDxfId="852" totalsRowDxfId="851">
      <totalsRowFormula>SUBTOTAL(103,'Tháng Một'!$Q$7:$Q$11)</totalsRowFormula>
    </tableColumn>
    <tableColumn id="17" xr3:uid="{00000000-0010-0000-0000-000011000000}" name="16" totalsRowFunction="custom" dataDxfId="850" totalsRowDxfId="849">
      <totalsRowFormula>SUBTOTAL(103,'Tháng Một'!$R$7:$R$11)</totalsRowFormula>
    </tableColumn>
    <tableColumn id="18" xr3:uid="{00000000-0010-0000-0000-000012000000}" name="17" totalsRowFunction="custom" dataDxfId="848" totalsRowDxfId="847">
      <totalsRowFormula>SUBTOTAL(103,'Tháng Một'!$S$7:$S$11)</totalsRowFormula>
    </tableColumn>
    <tableColumn id="19" xr3:uid="{00000000-0010-0000-0000-000013000000}" name="18" totalsRowFunction="custom" dataDxfId="846" totalsRowDxfId="845">
      <totalsRowFormula>SUBTOTAL(103,'Tháng Một'!$T$7:$T$11)</totalsRowFormula>
    </tableColumn>
    <tableColumn id="20" xr3:uid="{00000000-0010-0000-0000-000014000000}" name="19" totalsRowFunction="custom" dataDxfId="844" totalsRowDxfId="843">
      <totalsRowFormula>SUBTOTAL(103,'Tháng Một'!$U$7:$U$11)</totalsRowFormula>
    </tableColumn>
    <tableColumn id="21" xr3:uid="{00000000-0010-0000-0000-000015000000}" name="20" totalsRowFunction="custom" dataDxfId="842" totalsRowDxfId="841">
      <totalsRowFormula>SUBTOTAL(103,'Tháng Một'!$V$7:$V$11)</totalsRowFormula>
    </tableColumn>
    <tableColumn id="22" xr3:uid="{00000000-0010-0000-0000-000016000000}" name="21" totalsRowFunction="custom" dataDxfId="840" totalsRowDxfId="839">
      <totalsRowFormula>SUBTOTAL(103,'Tháng Một'!$W$7:$W$11)</totalsRowFormula>
    </tableColumn>
    <tableColumn id="23" xr3:uid="{00000000-0010-0000-0000-000017000000}" name="22" totalsRowFunction="custom" dataDxfId="838" totalsRowDxfId="837">
      <totalsRowFormula>SUBTOTAL(103,'Tháng Một'!$X$7:$X$11)</totalsRowFormula>
    </tableColumn>
    <tableColumn id="24" xr3:uid="{00000000-0010-0000-0000-000018000000}" name="23" totalsRowFunction="custom" dataDxfId="836" totalsRowDxfId="835">
      <totalsRowFormula>SUBTOTAL(103,'Tháng Một'!$Y$7:$Y$11)</totalsRowFormula>
    </tableColumn>
    <tableColumn id="25" xr3:uid="{00000000-0010-0000-0000-000019000000}" name="24" totalsRowFunction="custom" dataDxfId="834" totalsRowDxfId="833">
      <totalsRowFormula>SUBTOTAL(103,'Tháng Một'!$Z$7:$Z$11)</totalsRowFormula>
    </tableColumn>
    <tableColumn id="26" xr3:uid="{00000000-0010-0000-0000-00001A000000}" name="25" totalsRowFunction="custom" dataDxfId="832" totalsRowDxfId="831">
      <totalsRowFormula>SUBTOTAL(103,'Tháng Một'!$AA$7:$AA$11)</totalsRowFormula>
    </tableColumn>
    <tableColumn id="27" xr3:uid="{00000000-0010-0000-0000-00001B000000}" name="26" totalsRowFunction="custom" dataDxfId="830" totalsRowDxfId="829">
      <totalsRowFormula>SUBTOTAL(103,'Tháng Một'!$AB$7:$AB$11)</totalsRowFormula>
    </tableColumn>
    <tableColumn id="28" xr3:uid="{00000000-0010-0000-0000-00001C000000}" name="27" totalsRowFunction="custom" dataDxfId="828" totalsRowDxfId="827">
      <totalsRowFormula>SUBTOTAL(103,'Tháng Một'!$AC$7:$AC$11)</totalsRowFormula>
    </tableColumn>
    <tableColumn id="29" xr3:uid="{00000000-0010-0000-0000-00001D000000}" name="28" totalsRowFunction="custom" dataDxfId="826" totalsRowDxfId="825">
      <totalsRowFormula>SUBTOTAL(103,'Tháng Một'!$AD$7:$AD$11)</totalsRowFormula>
    </tableColumn>
    <tableColumn id="30" xr3:uid="{00000000-0010-0000-0000-00001E000000}" name="29" totalsRowFunction="custom" dataDxfId="824" totalsRowDxfId="823">
      <totalsRowFormula>SUBTOTAL(103,'Tháng Một'!$AE$7:$AE$11)</totalsRowFormula>
    </tableColumn>
    <tableColumn id="31" xr3:uid="{00000000-0010-0000-0000-00001F000000}" name="30" totalsRowFunction="custom" dataDxfId="822" totalsRowDxfId="821">
      <totalsRowFormula>SUBTOTAL(103,'Tháng Một'!$AF$7:$AF$11)</totalsRowFormula>
    </tableColumn>
    <tableColumn id="32" xr3:uid="{00000000-0010-0000-0000-000020000000}" name="31" totalsRowFunction="custom" dataDxfId="820" totalsRowDxfId="819">
      <totalsRowFormula>SUBTOTAL(103,'Tháng Một'!$AG$7:$AG$11)</totalsRowFormula>
    </tableColumn>
    <tableColumn id="33" xr3:uid="{00000000-0010-0000-0000-000021000000}" name="Tổng số Ngày" totalsRowFunction="sum" dataDxfId="818" totalsRowDxfId="817">
      <calculatedColumnFormula>COUNTA('Tháng Một'!$C7:$AG7)</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Tháng_Mười" displayName="Tháng_Mười" ref="B6:AH12" totalsRowCount="1" headerRowDxfId="217" dataDxfId="216" totalsRowDxfId="215">
  <tableColumns count="33">
    <tableColumn id="1" xr3:uid="{00000000-0010-0000-0900-000001000000}" name="Tên Nhân viên" totalsRowFunction="custom" dataDxfId="214" totalsRowDxfId="213" dataCellStyle="Nhân viên">
      <totalsRowFormula>Tên_Tháng&amp;" Tổng"</totalsRowFormula>
    </tableColumn>
    <tableColumn id="2" xr3:uid="{00000000-0010-0000-0900-000002000000}" name="1" totalsRowFunction="count" dataDxfId="212" totalsRowDxfId="211"/>
    <tableColumn id="3" xr3:uid="{00000000-0010-0000-0900-000003000000}" name="2" totalsRowFunction="count" dataDxfId="210" totalsRowDxfId="209"/>
    <tableColumn id="4" xr3:uid="{00000000-0010-0000-0900-000004000000}" name="3" totalsRowFunction="count" dataDxfId="208" totalsRowDxfId="207"/>
    <tableColumn id="5" xr3:uid="{00000000-0010-0000-0900-000005000000}" name="4" totalsRowFunction="count" dataDxfId="206" totalsRowDxfId="205"/>
    <tableColumn id="6" xr3:uid="{00000000-0010-0000-0900-000006000000}" name="5" totalsRowFunction="count" dataDxfId="204" totalsRowDxfId="203"/>
    <tableColumn id="7" xr3:uid="{00000000-0010-0000-0900-000007000000}" name="6" totalsRowFunction="count" dataDxfId="202" totalsRowDxfId="201"/>
    <tableColumn id="8" xr3:uid="{00000000-0010-0000-0900-000008000000}" name="7" totalsRowFunction="count" dataDxfId="200" totalsRowDxfId="199"/>
    <tableColumn id="9" xr3:uid="{00000000-0010-0000-0900-000009000000}" name="8" totalsRowFunction="count" dataDxfId="198" totalsRowDxfId="197"/>
    <tableColumn id="10" xr3:uid="{00000000-0010-0000-0900-00000A000000}" name="9" totalsRowFunction="count" dataDxfId="196" totalsRowDxfId="195"/>
    <tableColumn id="11" xr3:uid="{00000000-0010-0000-0900-00000B000000}" name="10" totalsRowFunction="count" dataDxfId="194" totalsRowDxfId="193"/>
    <tableColumn id="12" xr3:uid="{00000000-0010-0000-0900-00000C000000}" name="11" totalsRowFunction="count" dataDxfId="192" totalsRowDxfId="191"/>
    <tableColumn id="13" xr3:uid="{00000000-0010-0000-0900-00000D000000}" name="12" totalsRowFunction="count" dataDxfId="190" totalsRowDxfId="189"/>
    <tableColumn id="14" xr3:uid="{00000000-0010-0000-0900-00000E000000}" name="13" totalsRowFunction="count" dataDxfId="188" totalsRowDxfId="187"/>
    <tableColumn id="15" xr3:uid="{00000000-0010-0000-0900-00000F000000}" name="14" totalsRowFunction="count" dataDxfId="186" totalsRowDxfId="185"/>
    <tableColumn id="16" xr3:uid="{00000000-0010-0000-0900-000010000000}" name="15" totalsRowFunction="count" dataDxfId="184" totalsRowDxfId="183"/>
    <tableColumn id="17" xr3:uid="{00000000-0010-0000-0900-000011000000}" name="16" totalsRowFunction="count" dataDxfId="182" totalsRowDxfId="181"/>
    <tableColumn id="18" xr3:uid="{00000000-0010-0000-0900-000012000000}" name="17" totalsRowFunction="count" dataDxfId="180" totalsRowDxfId="179"/>
    <tableColumn id="19" xr3:uid="{00000000-0010-0000-0900-000013000000}" name="18" totalsRowFunction="count" dataDxfId="178" totalsRowDxfId="177"/>
    <tableColumn id="20" xr3:uid="{00000000-0010-0000-0900-000014000000}" name="19" totalsRowFunction="count" dataDxfId="176" totalsRowDxfId="175"/>
    <tableColumn id="21" xr3:uid="{00000000-0010-0000-0900-000015000000}" name="20" totalsRowFunction="count" dataDxfId="174" totalsRowDxfId="173"/>
    <tableColumn id="22" xr3:uid="{00000000-0010-0000-0900-000016000000}" name="21" totalsRowFunction="count" dataDxfId="172" totalsRowDxfId="171"/>
    <tableColumn id="23" xr3:uid="{00000000-0010-0000-0900-000017000000}" name="22" totalsRowFunction="count" dataDxfId="170" totalsRowDxfId="169"/>
    <tableColumn id="24" xr3:uid="{00000000-0010-0000-0900-000018000000}" name="23" totalsRowFunction="count" dataDxfId="168" totalsRowDxfId="167"/>
    <tableColumn id="25" xr3:uid="{00000000-0010-0000-0900-000019000000}" name="24" totalsRowFunction="count" dataDxfId="166" totalsRowDxfId="165"/>
    <tableColumn id="26" xr3:uid="{00000000-0010-0000-0900-00001A000000}" name="25" totalsRowFunction="count" dataDxfId="164" totalsRowDxfId="163"/>
    <tableColumn id="27" xr3:uid="{00000000-0010-0000-0900-00001B000000}" name="26" totalsRowFunction="count" dataDxfId="162" totalsRowDxfId="161"/>
    <tableColumn id="28" xr3:uid="{00000000-0010-0000-0900-00001C000000}" name="27" totalsRowFunction="count" dataDxfId="160" totalsRowDxfId="159"/>
    <tableColumn id="29" xr3:uid="{00000000-0010-0000-0900-00001D000000}" name="28" totalsRowFunction="count" dataDxfId="158" totalsRowDxfId="157"/>
    <tableColumn id="30" xr3:uid="{00000000-0010-0000-0900-00001E000000}" name="29" totalsRowFunction="count" dataDxfId="156" totalsRowDxfId="155"/>
    <tableColumn id="31" xr3:uid="{00000000-0010-0000-0900-00001F000000}" name="30" totalsRowFunction="count" dataDxfId="154" totalsRowDxfId="153"/>
    <tableColumn id="32" xr3:uid="{00000000-0010-0000-0900-000020000000}" name="31" totalsRowFunction="count" dataDxfId="152" totalsRowDxfId="151"/>
    <tableColumn id="33" xr3:uid="{00000000-0010-0000-0900-000021000000}" name="Tổng số Ngày" totalsRowFunction="sum" dataDxfId="150" totalsRowDxfId="149">
      <calculatedColumnFormula>COUNTA(Tháng_Mười[[#This Row],[1]:[31]])</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Tháng_Mười_Một" displayName="Tháng_Mười_Một" ref="B6:AH12" totalsRowCount="1" headerRowDxfId="143" dataDxfId="142" totalsRowDxfId="141">
  <tableColumns count="33">
    <tableColumn id="1" xr3:uid="{00000000-0010-0000-0A00-000001000000}" name="Tên Nhân viên" totalsRowFunction="custom" dataDxfId="140" totalsRowDxfId="139" dataCellStyle="Nhân viên">
      <totalsRowFormula>Tên_Tháng&amp;" Tổng"</totalsRowFormula>
    </tableColumn>
    <tableColumn id="2" xr3:uid="{00000000-0010-0000-0A00-000002000000}" name="1" totalsRowFunction="count" dataDxfId="138" totalsRowDxfId="137"/>
    <tableColumn id="3" xr3:uid="{00000000-0010-0000-0A00-000003000000}" name="2" totalsRowFunction="count" dataDxfId="136" totalsRowDxfId="135"/>
    <tableColumn id="4" xr3:uid="{00000000-0010-0000-0A00-000004000000}" name="3" totalsRowFunction="count" dataDxfId="134" totalsRowDxfId="133"/>
    <tableColumn id="5" xr3:uid="{00000000-0010-0000-0A00-000005000000}" name="4" totalsRowFunction="count" dataDxfId="132" totalsRowDxfId="131"/>
    <tableColumn id="6" xr3:uid="{00000000-0010-0000-0A00-000006000000}" name="5" totalsRowFunction="count" dataDxfId="130" totalsRowDxfId="129"/>
    <tableColumn id="7" xr3:uid="{00000000-0010-0000-0A00-000007000000}" name="6" totalsRowFunction="count" dataDxfId="128" totalsRowDxfId="127"/>
    <tableColumn id="8" xr3:uid="{00000000-0010-0000-0A00-000008000000}" name="7" totalsRowFunction="count" dataDxfId="126" totalsRowDxfId="125"/>
    <tableColumn id="9" xr3:uid="{00000000-0010-0000-0A00-000009000000}" name="8" totalsRowFunction="count" dataDxfId="124" totalsRowDxfId="123"/>
    <tableColumn id="10" xr3:uid="{00000000-0010-0000-0A00-00000A000000}" name="9" totalsRowFunction="count" dataDxfId="122" totalsRowDxfId="121"/>
    <tableColumn id="11" xr3:uid="{00000000-0010-0000-0A00-00000B000000}" name="10" totalsRowFunction="count" dataDxfId="120" totalsRowDxfId="119"/>
    <tableColumn id="12" xr3:uid="{00000000-0010-0000-0A00-00000C000000}" name="11" totalsRowFunction="count" dataDxfId="118" totalsRowDxfId="117"/>
    <tableColumn id="13" xr3:uid="{00000000-0010-0000-0A00-00000D000000}" name="12" totalsRowFunction="count" dataDxfId="116" totalsRowDxfId="115"/>
    <tableColumn id="14" xr3:uid="{00000000-0010-0000-0A00-00000E000000}" name="13" totalsRowFunction="count" dataDxfId="114" totalsRowDxfId="113"/>
    <tableColumn id="15" xr3:uid="{00000000-0010-0000-0A00-00000F000000}" name="14" totalsRowFunction="count" dataDxfId="112" totalsRowDxfId="111"/>
    <tableColumn id="16" xr3:uid="{00000000-0010-0000-0A00-000010000000}" name="15" totalsRowFunction="count" dataDxfId="110" totalsRowDxfId="109"/>
    <tableColumn id="17" xr3:uid="{00000000-0010-0000-0A00-000011000000}" name="16" totalsRowFunction="count" dataDxfId="108" totalsRowDxfId="107"/>
    <tableColumn id="18" xr3:uid="{00000000-0010-0000-0A00-000012000000}" name="17" totalsRowFunction="count" dataDxfId="106" totalsRowDxfId="105"/>
    <tableColumn id="19" xr3:uid="{00000000-0010-0000-0A00-000013000000}" name="18" totalsRowFunction="count" dataDxfId="104" totalsRowDxfId="103"/>
    <tableColumn id="20" xr3:uid="{00000000-0010-0000-0A00-000014000000}" name="19" totalsRowFunction="count" dataDxfId="102" totalsRowDxfId="101"/>
    <tableColumn id="21" xr3:uid="{00000000-0010-0000-0A00-000015000000}" name="20" totalsRowFunction="count" dataDxfId="100" totalsRowDxfId="99"/>
    <tableColumn id="22" xr3:uid="{00000000-0010-0000-0A00-000016000000}" name="21" totalsRowFunction="count" dataDxfId="98" totalsRowDxfId="97"/>
    <tableColumn id="23" xr3:uid="{00000000-0010-0000-0A00-000017000000}" name="22" totalsRowFunction="count" dataDxfId="96" totalsRowDxfId="95"/>
    <tableColumn id="24" xr3:uid="{00000000-0010-0000-0A00-000018000000}" name="23" totalsRowFunction="count" dataDxfId="94" totalsRowDxfId="93"/>
    <tableColumn id="25" xr3:uid="{00000000-0010-0000-0A00-000019000000}" name="24" totalsRowFunction="count" dataDxfId="92" totalsRowDxfId="91"/>
    <tableColumn id="26" xr3:uid="{00000000-0010-0000-0A00-00001A000000}" name="25" totalsRowFunction="count" dataDxfId="90" totalsRowDxfId="89"/>
    <tableColumn id="27" xr3:uid="{00000000-0010-0000-0A00-00001B000000}" name="26" totalsRowFunction="count" dataDxfId="88" totalsRowDxfId="87"/>
    <tableColumn id="28" xr3:uid="{00000000-0010-0000-0A00-00001C000000}" name="27" totalsRowFunction="count" dataDxfId="86" totalsRowDxfId="85"/>
    <tableColumn id="29" xr3:uid="{00000000-0010-0000-0A00-00001D000000}" name="28" totalsRowFunction="count" dataDxfId="84" totalsRowDxfId="83"/>
    <tableColumn id="30" xr3:uid="{00000000-0010-0000-0A00-00001E000000}" name="29" totalsRowFunction="count" dataDxfId="82" totalsRowDxfId="81"/>
    <tableColumn id="31" xr3:uid="{00000000-0010-0000-0A00-00001F000000}" name="30" totalsRowFunction="count" dataDxfId="80" totalsRowDxfId="79"/>
    <tableColumn id="32" xr3:uid="{00000000-0010-0000-0A00-000020000000}" name=" " totalsRowFunction="count" dataDxfId="78" totalsRowDxfId="77"/>
    <tableColumn id="33" xr3:uid="{00000000-0010-0000-0A00-000021000000}" name="Tổng số Ngày" totalsRowFunction="sum" dataDxfId="76" totalsRowDxfId="75">
      <calculatedColumnFormula>COUNTA(Tháng_Mười_Một[[#This Row],[1]:[30]])</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háng_Mười_Hai" displayName="Tháng_Mười_Hai" ref="B6:AH12" totalsRowCount="1" headerRowDxfId="69" dataDxfId="68" totalsRowDxfId="67">
  <tableColumns count="33">
    <tableColumn id="1" xr3:uid="{00000000-0010-0000-0B00-000001000000}" name="Tên Nhân viên" totalsRowFunction="custom" dataDxfId="66" totalsRowDxfId="65" dataCellStyle="Nhân viên">
      <totalsRowFormula>Tên_Tháng&amp;" Tổng"</totalsRowFormula>
    </tableColumn>
    <tableColumn id="2" xr3:uid="{00000000-0010-0000-0B00-000002000000}" name="1" totalsRowFunction="count" dataDxfId="64" totalsRowDxfId="63"/>
    <tableColumn id="3" xr3:uid="{00000000-0010-0000-0B00-000003000000}" name="2" totalsRowFunction="count" dataDxfId="62" totalsRowDxfId="61"/>
    <tableColumn id="4" xr3:uid="{00000000-0010-0000-0B00-000004000000}" name="3" totalsRowFunction="count" dataDxfId="60" totalsRowDxfId="59"/>
    <tableColumn id="5" xr3:uid="{00000000-0010-0000-0B00-000005000000}" name="4" totalsRowFunction="count" dataDxfId="58" totalsRowDxfId="57"/>
    <tableColumn id="6" xr3:uid="{00000000-0010-0000-0B00-000006000000}" name="5" totalsRowFunction="count" dataDxfId="56" totalsRowDxfId="55"/>
    <tableColumn id="7" xr3:uid="{00000000-0010-0000-0B00-000007000000}" name="6" totalsRowFunction="count" dataDxfId="54" totalsRowDxfId="53"/>
    <tableColumn id="8" xr3:uid="{00000000-0010-0000-0B00-000008000000}" name="7" totalsRowFunction="count" dataDxfId="52" totalsRowDxfId="51"/>
    <tableColumn id="9" xr3:uid="{00000000-0010-0000-0B00-000009000000}" name="8" totalsRowFunction="count" dataDxfId="50" totalsRowDxfId="49"/>
    <tableColumn id="10" xr3:uid="{00000000-0010-0000-0B00-00000A000000}" name="9" totalsRowFunction="count" dataDxfId="48" totalsRowDxfId="47"/>
    <tableColumn id="11" xr3:uid="{00000000-0010-0000-0B00-00000B000000}" name="10" totalsRowFunction="count" dataDxfId="46" totalsRowDxfId="45"/>
    <tableColumn id="12" xr3:uid="{00000000-0010-0000-0B00-00000C000000}" name="11" totalsRowFunction="count" dataDxfId="44" totalsRowDxfId="43"/>
    <tableColumn id="13" xr3:uid="{00000000-0010-0000-0B00-00000D000000}" name="12" totalsRowFunction="count" dataDxfId="42" totalsRowDxfId="41"/>
    <tableColumn id="14" xr3:uid="{00000000-0010-0000-0B00-00000E000000}" name="13" totalsRowFunction="count" dataDxfId="40" totalsRowDxfId="39"/>
    <tableColumn id="15" xr3:uid="{00000000-0010-0000-0B00-00000F000000}" name="14" totalsRowFunction="count" dataDxfId="38" totalsRowDxfId="37"/>
    <tableColumn id="16" xr3:uid="{00000000-0010-0000-0B00-000010000000}" name="15" totalsRowFunction="count" dataDxfId="36" totalsRowDxfId="35"/>
    <tableColumn id="17" xr3:uid="{00000000-0010-0000-0B00-000011000000}" name="16" totalsRowFunction="count" dataDxfId="34" totalsRowDxfId="33"/>
    <tableColumn id="18" xr3:uid="{00000000-0010-0000-0B00-000012000000}" name="17" totalsRowFunction="count" dataDxfId="32" totalsRowDxfId="31"/>
    <tableColumn id="19" xr3:uid="{00000000-0010-0000-0B00-000013000000}" name="18" totalsRowFunction="count" dataDxfId="30" totalsRowDxfId="29"/>
    <tableColumn id="20" xr3:uid="{00000000-0010-0000-0B00-000014000000}" name="19" totalsRowFunction="count" dataDxfId="28" totalsRowDxfId="27"/>
    <tableColumn id="21" xr3:uid="{00000000-0010-0000-0B00-000015000000}" name="20" totalsRowFunction="count" dataDxfId="26" totalsRowDxfId="25"/>
    <tableColumn id="22" xr3:uid="{00000000-0010-0000-0B00-000016000000}" name="21" totalsRowFunction="count" dataDxfId="24" totalsRowDxfId="23"/>
    <tableColumn id="23" xr3:uid="{00000000-0010-0000-0B00-000017000000}" name="22" totalsRowFunction="count" dataDxfId="22" totalsRowDxfId="21"/>
    <tableColumn id="24" xr3:uid="{00000000-0010-0000-0B00-000018000000}" name="23" totalsRowFunction="count" dataDxfId="20" totalsRowDxfId="19"/>
    <tableColumn id="25" xr3:uid="{00000000-0010-0000-0B00-000019000000}" name="24" totalsRowFunction="count" dataDxfId="18" totalsRowDxfId="17"/>
    <tableColumn id="26" xr3:uid="{00000000-0010-0000-0B00-00001A000000}" name="25" totalsRowFunction="count" dataDxfId="16" totalsRowDxfId="15"/>
    <tableColumn id="27" xr3:uid="{00000000-0010-0000-0B00-00001B000000}" name="26" totalsRowFunction="count" dataDxfId="14" totalsRowDxfId="13"/>
    <tableColumn id="28" xr3:uid="{00000000-0010-0000-0B00-00001C000000}" name="27" totalsRowFunction="count" dataDxfId="12" totalsRowDxfId="11"/>
    <tableColumn id="29" xr3:uid="{00000000-0010-0000-0B00-00001D000000}" name="28" totalsRowFunction="count" dataDxfId="10" totalsRowDxfId="9"/>
    <tableColumn id="30" xr3:uid="{00000000-0010-0000-0B00-00001E000000}" name="29" totalsRowFunction="count" dataDxfId="8" totalsRowDxfId="7"/>
    <tableColumn id="31" xr3:uid="{00000000-0010-0000-0B00-00001F000000}" name="30" totalsRowFunction="count" dataDxfId="6" totalsRowDxfId="5"/>
    <tableColumn id="32" xr3:uid="{00000000-0010-0000-0B00-000020000000}" name="31" totalsRowFunction="count" dataDxfId="4" totalsRowDxfId="3"/>
    <tableColumn id="33" xr3:uid="{00000000-0010-0000-0B00-000021000000}" name="Tổng số Ngày" totalsRowFunction="sum" dataDxfId="2" totalsRowDxfId="1">
      <calculatedColumnFormula>COUNTA(Tháng_Mười_Hai[[#This Row],[1]:[31]])</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danh sách tên và ngày trên lịch để ghi lại ngày vắng mặt của nhân viên và lý do vắng mặt cụ thể, chẳng hạn như N=Nghỉ phép, Ô=Ốm, V=Việc riêng và hai chỗ dành sẵn cho các mục nhập tùy chỉnh"/>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ên_Nhân_viên" displayName="Tên_Nhân_viên" ref="B3:B8">
  <autoFilter ref="B3:B8" xr:uid="{00000000-0009-0000-0100-00000D000000}"/>
  <tableColumns count="1">
    <tableColumn id="1" xr3:uid="{00000000-0010-0000-0C00-000001000000}" name="Tên Nhân viên" totalsRowFunction="count" totalsRowDxfId="0" dataCellStyle="Nhân viên"/>
  </tableColumns>
  <tableStyleInfo name="Bảng Vắng mặt của nhân viên" showFirstColumn="1" showLastColumn="1" showRowStripes="1" showColumnStripes="0"/>
  <extLst>
    <ext xmlns:x14="http://schemas.microsoft.com/office/spreadsheetml/2009/9/main" uri="{504A1905-F514-4f6f-8877-14C23A59335A}">
      <x14:table altTextSummary="Nhập tên nhân viên vào bảng này. Tên của nhân viên sẽ được sử dụng làm tùy chọn trong cột B của lịch biểu vắng mặt mỗi thá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háng_Hai" displayName="Tháng_Hai" ref="B6:AH12" totalsRowCount="1" headerRowDxfId="809" dataDxfId="808" totalsRowDxfId="807">
  <tableColumns count="33">
    <tableColumn id="1" xr3:uid="{00000000-0010-0000-0100-000001000000}" name="Tên Nhân viên" totalsRowFunction="custom" dataDxfId="806" totalsRowDxfId="805" dataCellStyle="Nhân viên">
      <totalsRowFormula>Tên_Tháng&amp;" Tổng"</totalsRowFormula>
    </tableColumn>
    <tableColumn id="2" xr3:uid="{00000000-0010-0000-0100-000002000000}" name="1" totalsRowFunction="count" dataDxfId="804" totalsRowDxfId="803"/>
    <tableColumn id="3" xr3:uid="{00000000-0010-0000-0100-000003000000}" name="2" totalsRowFunction="count" dataDxfId="802" totalsRowDxfId="801"/>
    <tableColumn id="4" xr3:uid="{00000000-0010-0000-0100-000004000000}" name="3" totalsRowFunction="count" dataDxfId="800" totalsRowDxfId="799"/>
    <tableColumn id="5" xr3:uid="{00000000-0010-0000-0100-000005000000}" name="4" totalsRowFunction="count" dataDxfId="798" totalsRowDxfId="797"/>
    <tableColumn id="6" xr3:uid="{00000000-0010-0000-0100-000006000000}" name="5" totalsRowFunction="count" dataDxfId="796" totalsRowDxfId="795"/>
    <tableColumn id="7" xr3:uid="{00000000-0010-0000-0100-000007000000}" name="6" totalsRowFunction="count" dataDxfId="794" totalsRowDxfId="793"/>
    <tableColumn id="8" xr3:uid="{00000000-0010-0000-0100-000008000000}" name="7" totalsRowFunction="count" dataDxfId="792" totalsRowDxfId="791"/>
    <tableColumn id="9" xr3:uid="{00000000-0010-0000-0100-000009000000}" name="8" totalsRowFunction="count" dataDxfId="790" totalsRowDxfId="789"/>
    <tableColumn id="10" xr3:uid="{00000000-0010-0000-0100-00000A000000}" name="9" totalsRowFunction="count" dataDxfId="788" totalsRowDxfId="787"/>
    <tableColumn id="11" xr3:uid="{00000000-0010-0000-0100-00000B000000}" name="10" totalsRowFunction="count" dataDxfId="786" totalsRowDxfId="785"/>
    <tableColumn id="12" xr3:uid="{00000000-0010-0000-0100-00000C000000}" name="11" totalsRowFunction="count" dataDxfId="784" totalsRowDxfId="783"/>
    <tableColumn id="13" xr3:uid="{00000000-0010-0000-0100-00000D000000}" name="12" totalsRowFunction="count" dataDxfId="782" totalsRowDxfId="781"/>
    <tableColumn id="14" xr3:uid="{00000000-0010-0000-0100-00000E000000}" name="13" totalsRowFunction="count" dataDxfId="780" totalsRowDxfId="779"/>
    <tableColumn id="15" xr3:uid="{00000000-0010-0000-0100-00000F000000}" name="14" totalsRowFunction="count" dataDxfId="778" totalsRowDxfId="777"/>
    <tableColumn id="16" xr3:uid="{00000000-0010-0000-0100-000010000000}" name="15" totalsRowFunction="count" dataDxfId="776" totalsRowDxfId="775"/>
    <tableColumn id="17" xr3:uid="{00000000-0010-0000-0100-000011000000}" name="16" totalsRowFunction="count" dataDxfId="774" totalsRowDxfId="773"/>
    <tableColumn id="18" xr3:uid="{00000000-0010-0000-0100-000012000000}" name="17" totalsRowFunction="count" dataDxfId="772" totalsRowDxfId="771"/>
    <tableColumn id="19" xr3:uid="{00000000-0010-0000-0100-000013000000}" name="18" totalsRowFunction="count" dataDxfId="770" totalsRowDxfId="769"/>
    <tableColumn id="20" xr3:uid="{00000000-0010-0000-0100-000014000000}" name="19" totalsRowFunction="count" dataDxfId="768" totalsRowDxfId="767"/>
    <tableColumn id="21" xr3:uid="{00000000-0010-0000-0100-000015000000}" name="20" totalsRowFunction="count" dataDxfId="766" totalsRowDxfId="765"/>
    <tableColumn id="22" xr3:uid="{00000000-0010-0000-0100-000016000000}" name="21" totalsRowFunction="count" dataDxfId="764" totalsRowDxfId="763"/>
    <tableColumn id="23" xr3:uid="{00000000-0010-0000-0100-000017000000}" name="22" totalsRowFunction="count" dataDxfId="762" totalsRowDxfId="761"/>
    <tableColumn id="24" xr3:uid="{00000000-0010-0000-0100-000018000000}" name="23" totalsRowFunction="count" dataDxfId="760" totalsRowDxfId="759"/>
    <tableColumn id="25" xr3:uid="{00000000-0010-0000-0100-000019000000}" name="24" totalsRowFunction="count" dataDxfId="758" totalsRowDxfId="757"/>
    <tableColumn id="26" xr3:uid="{00000000-0010-0000-0100-00001A000000}" name="25" totalsRowFunction="count" dataDxfId="756" totalsRowDxfId="755"/>
    <tableColumn id="27" xr3:uid="{00000000-0010-0000-0100-00001B000000}" name="26" totalsRowFunction="count" dataDxfId="754" totalsRowDxfId="753"/>
    <tableColumn id="28" xr3:uid="{00000000-0010-0000-0100-00001C000000}" name="27" totalsRowFunction="count" dataDxfId="752" totalsRowDxfId="751"/>
    <tableColumn id="29" xr3:uid="{00000000-0010-0000-0100-00001D000000}" name="28" totalsRowFunction="count" dataDxfId="750" totalsRowDxfId="749"/>
    <tableColumn id="30" xr3:uid="{00000000-0010-0000-0100-00001E000000}" name="29" totalsRowFunction="count" dataDxfId="748" totalsRowDxfId="747"/>
    <tableColumn id="31" xr3:uid="{00000000-0010-0000-0100-00001F000000}" name=" " dataDxfId="746" totalsRowDxfId="745"/>
    <tableColumn id="32" xr3:uid="{00000000-0010-0000-0100-000020000000}" name="  " dataDxfId="744" totalsRowDxfId="743"/>
    <tableColumn id="33" xr3:uid="{00000000-0010-0000-0100-000021000000}" name="Tổng số Ngày" totalsRowFunction="sum" dataDxfId="742" totalsRowDxfId="741">
      <calculatedColumnFormula>COUNTA(Tháng_Hai[[#This Row],[1]:[29]])</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Tháng_Ba" displayName="Tháng_Ba" ref="B6:AH12" totalsRowCount="1" headerRowDxfId="735" dataDxfId="734" totalsRowDxfId="733">
  <tableColumns count="33">
    <tableColumn id="1" xr3:uid="{00000000-0010-0000-0200-000001000000}" name="Tên Nhân viên" totalsRowFunction="custom" dataDxfId="732" totalsRowDxfId="731" dataCellStyle="Nhân viên">
      <totalsRowFormula>Tên_Tháng&amp;" Tổng"</totalsRowFormula>
    </tableColumn>
    <tableColumn id="2" xr3:uid="{00000000-0010-0000-0200-000002000000}" name="1" totalsRowFunction="count" dataDxfId="730" totalsRowDxfId="729"/>
    <tableColumn id="3" xr3:uid="{00000000-0010-0000-0200-000003000000}" name="2" totalsRowFunction="count" dataDxfId="728" totalsRowDxfId="727"/>
    <tableColumn id="4" xr3:uid="{00000000-0010-0000-0200-000004000000}" name="3" totalsRowFunction="count" dataDxfId="726" totalsRowDxfId="725"/>
    <tableColumn id="5" xr3:uid="{00000000-0010-0000-0200-000005000000}" name="4" totalsRowFunction="count" dataDxfId="724" totalsRowDxfId="723"/>
    <tableColumn id="6" xr3:uid="{00000000-0010-0000-0200-000006000000}" name="5" totalsRowFunction="count" dataDxfId="722" totalsRowDxfId="721"/>
    <tableColumn id="7" xr3:uid="{00000000-0010-0000-0200-000007000000}" name="6" totalsRowFunction="count" dataDxfId="720" totalsRowDxfId="719"/>
    <tableColumn id="8" xr3:uid="{00000000-0010-0000-0200-000008000000}" name="7" totalsRowFunction="count" dataDxfId="718" totalsRowDxfId="717"/>
    <tableColumn id="9" xr3:uid="{00000000-0010-0000-0200-000009000000}" name="8" totalsRowFunction="count" dataDxfId="716" totalsRowDxfId="715"/>
    <tableColumn id="10" xr3:uid="{00000000-0010-0000-0200-00000A000000}" name="9" totalsRowFunction="count" dataDxfId="714" totalsRowDxfId="713"/>
    <tableColumn id="11" xr3:uid="{00000000-0010-0000-0200-00000B000000}" name="10" totalsRowFunction="count" dataDxfId="712" totalsRowDxfId="711"/>
    <tableColumn id="12" xr3:uid="{00000000-0010-0000-0200-00000C000000}" name="11" totalsRowFunction="count" dataDxfId="710" totalsRowDxfId="709"/>
    <tableColumn id="13" xr3:uid="{00000000-0010-0000-0200-00000D000000}" name="12" totalsRowFunction="count" dataDxfId="708" totalsRowDxfId="707"/>
    <tableColumn id="14" xr3:uid="{00000000-0010-0000-0200-00000E000000}" name="13" totalsRowFunction="count" dataDxfId="706" totalsRowDxfId="705"/>
    <tableColumn id="15" xr3:uid="{00000000-0010-0000-0200-00000F000000}" name="14" totalsRowFunction="count" dataDxfId="704" totalsRowDxfId="703"/>
    <tableColumn id="16" xr3:uid="{00000000-0010-0000-0200-000010000000}" name="15" totalsRowFunction="count" dataDxfId="702" totalsRowDxfId="701"/>
    <tableColumn id="17" xr3:uid="{00000000-0010-0000-0200-000011000000}" name="16" totalsRowFunction="count" dataDxfId="700" totalsRowDxfId="699"/>
    <tableColumn id="18" xr3:uid="{00000000-0010-0000-0200-000012000000}" name="17" totalsRowFunction="count" dataDxfId="698" totalsRowDxfId="697"/>
    <tableColumn id="19" xr3:uid="{00000000-0010-0000-0200-000013000000}" name="18" totalsRowFunction="count" dataDxfId="696" totalsRowDxfId="695"/>
    <tableColumn id="20" xr3:uid="{00000000-0010-0000-0200-000014000000}" name="19" totalsRowFunction="count" dataDxfId="694" totalsRowDxfId="693"/>
    <tableColumn id="21" xr3:uid="{00000000-0010-0000-0200-000015000000}" name="20" totalsRowFunction="count" dataDxfId="692" totalsRowDxfId="691"/>
    <tableColumn id="22" xr3:uid="{00000000-0010-0000-0200-000016000000}" name="21" totalsRowFunction="count" dataDxfId="690" totalsRowDxfId="689"/>
    <tableColumn id="23" xr3:uid="{00000000-0010-0000-0200-000017000000}" name="22" totalsRowFunction="count" dataDxfId="688" totalsRowDxfId="687"/>
    <tableColumn id="24" xr3:uid="{00000000-0010-0000-0200-000018000000}" name="23" totalsRowFunction="count" dataDxfId="686" totalsRowDxfId="685"/>
    <tableColumn id="25" xr3:uid="{00000000-0010-0000-0200-000019000000}" name="24" totalsRowFunction="count" dataDxfId="684" totalsRowDxfId="683"/>
    <tableColumn id="26" xr3:uid="{00000000-0010-0000-0200-00001A000000}" name="25" totalsRowFunction="count" dataDxfId="682" totalsRowDxfId="681"/>
    <tableColumn id="27" xr3:uid="{00000000-0010-0000-0200-00001B000000}" name="26" totalsRowFunction="count" dataDxfId="680" totalsRowDxfId="679"/>
    <tableColumn id="28" xr3:uid="{00000000-0010-0000-0200-00001C000000}" name="27" totalsRowFunction="count" dataDxfId="678" totalsRowDxfId="677"/>
    <tableColumn id="29" xr3:uid="{00000000-0010-0000-0200-00001D000000}" name="28" totalsRowFunction="count" dataDxfId="676" totalsRowDxfId="675"/>
    <tableColumn id="30" xr3:uid="{00000000-0010-0000-0200-00001E000000}" name="29" totalsRowFunction="count" dataDxfId="674" totalsRowDxfId="673"/>
    <tableColumn id="31" xr3:uid="{00000000-0010-0000-0200-00001F000000}" name="30" totalsRowFunction="count" dataDxfId="672" totalsRowDxfId="671"/>
    <tableColumn id="32" xr3:uid="{00000000-0010-0000-0200-000020000000}" name="31" totalsRowFunction="count" dataDxfId="670" totalsRowDxfId="669"/>
    <tableColumn id="33" xr3:uid="{00000000-0010-0000-0200-000021000000}" name="Tổng số Ngày" totalsRowFunction="sum" dataDxfId="668" totalsRowDxfId="667">
      <calculatedColumnFormula>COUNTA(Tháng_Ba[[#This Row],[1]:[31]])</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Tháng_Tư" displayName="Tháng_Tư" ref="B6:AH12" totalsRowCount="1" headerRowDxfId="661" dataDxfId="660" totalsRowDxfId="659">
  <tableColumns count="33">
    <tableColumn id="1" xr3:uid="{00000000-0010-0000-0300-000001000000}" name="Tên Nhân viên" totalsRowFunction="custom" dataDxfId="658" totalsRowDxfId="657" dataCellStyle="Nhân viên">
      <totalsRowFormula>Tên_Tháng&amp;" Tổng"</totalsRowFormula>
    </tableColumn>
    <tableColumn id="2" xr3:uid="{00000000-0010-0000-0300-000002000000}" name="1" totalsRowFunction="count" dataDxfId="656" totalsRowDxfId="655"/>
    <tableColumn id="3" xr3:uid="{00000000-0010-0000-0300-000003000000}" name="2" totalsRowFunction="count" dataDxfId="654" totalsRowDxfId="653"/>
    <tableColumn id="4" xr3:uid="{00000000-0010-0000-0300-000004000000}" name="3" totalsRowFunction="count" dataDxfId="652" totalsRowDxfId="651"/>
    <tableColumn id="5" xr3:uid="{00000000-0010-0000-0300-000005000000}" name="4" totalsRowFunction="count" dataDxfId="650" totalsRowDxfId="649"/>
    <tableColumn id="6" xr3:uid="{00000000-0010-0000-0300-000006000000}" name="5" totalsRowFunction="count" dataDxfId="648" totalsRowDxfId="647"/>
    <tableColumn id="7" xr3:uid="{00000000-0010-0000-0300-000007000000}" name="6" totalsRowFunction="count" dataDxfId="646" totalsRowDxfId="645"/>
    <tableColumn id="8" xr3:uid="{00000000-0010-0000-0300-000008000000}" name="7" totalsRowFunction="count" dataDxfId="644" totalsRowDxfId="643"/>
    <tableColumn id="9" xr3:uid="{00000000-0010-0000-0300-000009000000}" name="8" totalsRowFunction="count" dataDxfId="642" totalsRowDxfId="641"/>
    <tableColumn id="10" xr3:uid="{00000000-0010-0000-0300-00000A000000}" name="9" totalsRowFunction="count" dataDxfId="640" totalsRowDxfId="639"/>
    <tableColumn id="11" xr3:uid="{00000000-0010-0000-0300-00000B000000}" name="10" totalsRowFunction="count" dataDxfId="638" totalsRowDxfId="637"/>
    <tableColumn id="12" xr3:uid="{00000000-0010-0000-0300-00000C000000}" name="11" totalsRowFunction="count" dataDxfId="636" totalsRowDxfId="635"/>
    <tableColumn id="13" xr3:uid="{00000000-0010-0000-0300-00000D000000}" name="12" totalsRowFunction="count" dataDxfId="634" totalsRowDxfId="633"/>
    <tableColumn id="14" xr3:uid="{00000000-0010-0000-0300-00000E000000}" name="13" totalsRowFunction="count" dataDxfId="632" totalsRowDxfId="631"/>
    <tableColumn id="15" xr3:uid="{00000000-0010-0000-0300-00000F000000}" name="14" totalsRowFunction="count" dataDxfId="630" totalsRowDxfId="629"/>
    <tableColumn id="16" xr3:uid="{00000000-0010-0000-0300-000010000000}" name="15" totalsRowFunction="count" dataDxfId="628" totalsRowDxfId="627"/>
    <tableColumn id="17" xr3:uid="{00000000-0010-0000-0300-000011000000}" name="16" totalsRowFunction="count" dataDxfId="626" totalsRowDxfId="625"/>
    <tableColumn id="18" xr3:uid="{00000000-0010-0000-0300-000012000000}" name="17" totalsRowFunction="count" dataDxfId="624" totalsRowDxfId="623"/>
    <tableColumn id="19" xr3:uid="{00000000-0010-0000-0300-000013000000}" name="18" totalsRowFunction="count" dataDxfId="622" totalsRowDxfId="621"/>
    <tableColumn id="20" xr3:uid="{00000000-0010-0000-0300-000014000000}" name="19" totalsRowFunction="count" dataDxfId="620" totalsRowDxfId="619"/>
    <tableColumn id="21" xr3:uid="{00000000-0010-0000-0300-000015000000}" name="20" totalsRowFunction="count" dataDxfId="618" totalsRowDxfId="617"/>
    <tableColumn id="22" xr3:uid="{00000000-0010-0000-0300-000016000000}" name="21" totalsRowFunction="count" dataDxfId="616" totalsRowDxfId="615"/>
    <tableColumn id="23" xr3:uid="{00000000-0010-0000-0300-000017000000}" name="22" totalsRowFunction="count" dataDxfId="614" totalsRowDxfId="613"/>
    <tableColumn id="24" xr3:uid="{00000000-0010-0000-0300-000018000000}" name="23" totalsRowFunction="count" dataDxfId="612" totalsRowDxfId="611"/>
    <tableColumn id="25" xr3:uid="{00000000-0010-0000-0300-000019000000}" name="24" totalsRowFunction="count" dataDxfId="610" totalsRowDxfId="609"/>
    <tableColumn id="26" xr3:uid="{00000000-0010-0000-0300-00001A000000}" name="25" totalsRowFunction="count" dataDxfId="608" totalsRowDxfId="607"/>
    <tableColumn id="27" xr3:uid="{00000000-0010-0000-0300-00001B000000}" name="26" totalsRowFunction="count" dataDxfId="606" totalsRowDxfId="605"/>
    <tableColumn id="28" xr3:uid="{00000000-0010-0000-0300-00001C000000}" name="27" totalsRowFunction="count" dataDxfId="604" totalsRowDxfId="603"/>
    <tableColumn id="29" xr3:uid="{00000000-0010-0000-0300-00001D000000}" name="28" totalsRowFunction="count" dataDxfId="602" totalsRowDxfId="601"/>
    <tableColumn id="30" xr3:uid="{00000000-0010-0000-0300-00001E000000}" name="29" totalsRowFunction="count" dataDxfId="600" totalsRowDxfId="599"/>
    <tableColumn id="31" xr3:uid="{00000000-0010-0000-0300-00001F000000}" name="30" totalsRowFunction="count" dataDxfId="598" totalsRowDxfId="597"/>
    <tableColumn id="32" xr3:uid="{00000000-0010-0000-0300-000020000000}" name=" " totalsRowFunction="custom" dataDxfId="596" totalsRowDxfId="595">
      <totalsRowFormula>SUBTOTAL(103,Tháng_Tư[30])</totalsRowFormula>
    </tableColumn>
    <tableColumn id="33" xr3:uid="{00000000-0010-0000-0300-000021000000}" name="Tổng số Ngày" totalsRowFunction="sum" dataDxfId="594" totalsRowDxfId="593">
      <calculatedColumnFormula>COUNTA(Tháng_Tư[[#This Row],[1]:[30]])</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Tháng_Năm" displayName="Tháng_Năm" ref="B6:AH12" totalsRowCount="1" headerRowDxfId="587" dataDxfId="586" totalsRowDxfId="585">
  <tableColumns count="33">
    <tableColumn id="1" xr3:uid="{00000000-0010-0000-0400-000001000000}" name="Tên Nhân viên" totalsRowFunction="custom" dataDxfId="584" totalsRowDxfId="583" dataCellStyle="Nhân viên">
      <totalsRowFormula>Tên_Tháng&amp;" Tổng"</totalsRowFormula>
    </tableColumn>
    <tableColumn id="2" xr3:uid="{00000000-0010-0000-0400-000002000000}" name="1" totalsRowFunction="count" dataDxfId="582" totalsRowDxfId="581"/>
    <tableColumn id="3" xr3:uid="{00000000-0010-0000-0400-000003000000}" name="2" totalsRowFunction="count" dataDxfId="580" totalsRowDxfId="579"/>
    <tableColumn id="4" xr3:uid="{00000000-0010-0000-0400-000004000000}" name="3" totalsRowFunction="count" dataDxfId="578" totalsRowDxfId="577"/>
    <tableColumn id="5" xr3:uid="{00000000-0010-0000-0400-000005000000}" name="4" totalsRowFunction="count" dataDxfId="576" totalsRowDxfId="575"/>
    <tableColumn id="6" xr3:uid="{00000000-0010-0000-0400-000006000000}" name="5" totalsRowFunction="count" dataDxfId="574" totalsRowDxfId="573"/>
    <tableColumn id="7" xr3:uid="{00000000-0010-0000-0400-000007000000}" name="6" totalsRowFunction="count" dataDxfId="572" totalsRowDxfId="571"/>
    <tableColumn id="8" xr3:uid="{00000000-0010-0000-0400-000008000000}" name="7" totalsRowFunction="count" dataDxfId="570" totalsRowDxfId="569"/>
    <tableColumn id="9" xr3:uid="{00000000-0010-0000-0400-000009000000}" name="8" totalsRowFunction="count" dataDxfId="568" totalsRowDxfId="567"/>
    <tableColumn id="10" xr3:uid="{00000000-0010-0000-0400-00000A000000}" name="9" totalsRowFunction="count" dataDxfId="566" totalsRowDxfId="565"/>
    <tableColumn id="11" xr3:uid="{00000000-0010-0000-0400-00000B000000}" name="10" totalsRowFunction="count" dataDxfId="564" totalsRowDxfId="563"/>
    <tableColumn id="12" xr3:uid="{00000000-0010-0000-0400-00000C000000}" name="11" totalsRowFunction="count" dataDxfId="562" totalsRowDxfId="561"/>
    <tableColumn id="13" xr3:uid="{00000000-0010-0000-0400-00000D000000}" name="12" totalsRowFunction="count" dataDxfId="560" totalsRowDxfId="559"/>
    <tableColumn id="14" xr3:uid="{00000000-0010-0000-0400-00000E000000}" name="13" totalsRowFunction="count" dataDxfId="558" totalsRowDxfId="557"/>
    <tableColumn id="15" xr3:uid="{00000000-0010-0000-0400-00000F000000}" name="14" totalsRowFunction="count" dataDxfId="556" totalsRowDxfId="555"/>
    <tableColumn id="16" xr3:uid="{00000000-0010-0000-0400-000010000000}" name="15" totalsRowFunction="count" dataDxfId="554" totalsRowDxfId="553"/>
    <tableColumn id="17" xr3:uid="{00000000-0010-0000-0400-000011000000}" name="16" totalsRowFunction="count" dataDxfId="552" totalsRowDxfId="551"/>
    <tableColumn id="18" xr3:uid="{00000000-0010-0000-0400-000012000000}" name="17" totalsRowFunction="count" dataDxfId="550" totalsRowDxfId="549"/>
    <tableColumn id="19" xr3:uid="{00000000-0010-0000-0400-000013000000}" name="18" totalsRowFunction="count" dataDxfId="548" totalsRowDxfId="547"/>
    <tableColumn id="20" xr3:uid="{00000000-0010-0000-0400-000014000000}" name="19" totalsRowFunction="count" dataDxfId="546" totalsRowDxfId="545"/>
    <tableColumn id="21" xr3:uid="{00000000-0010-0000-0400-000015000000}" name="20" totalsRowFunction="count" dataDxfId="544" totalsRowDxfId="543"/>
    <tableColumn id="22" xr3:uid="{00000000-0010-0000-0400-000016000000}" name="21" totalsRowFunction="count" dataDxfId="542" totalsRowDxfId="541"/>
    <tableColumn id="23" xr3:uid="{00000000-0010-0000-0400-000017000000}" name="22" totalsRowFunction="count" dataDxfId="540" totalsRowDxfId="539"/>
    <tableColumn id="24" xr3:uid="{00000000-0010-0000-0400-000018000000}" name="23" totalsRowFunction="count" dataDxfId="538" totalsRowDxfId="537"/>
    <tableColumn id="25" xr3:uid="{00000000-0010-0000-0400-000019000000}" name="24" totalsRowFunction="count" dataDxfId="536" totalsRowDxfId="535"/>
    <tableColumn id="26" xr3:uid="{00000000-0010-0000-0400-00001A000000}" name="25" totalsRowFunction="count" dataDxfId="534" totalsRowDxfId="533"/>
    <tableColumn id="27" xr3:uid="{00000000-0010-0000-0400-00001B000000}" name="26" totalsRowFunction="count" dataDxfId="532" totalsRowDxfId="531"/>
    <tableColumn id="28" xr3:uid="{00000000-0010-0000-0400-00001C000000}" name="27" totalsRowFunction="count" dataDxfId="530" totalsRowDxfId="529"/>
    <tableColumn id="29" xr3:uid="{00000000-0010-0000-0400-00001D000000}" name="28" totalsRowFunction="count" dataDxfId="528" totalsRowDxfId="527"/>
    <tableColumn id="30" xr3:uid="{00000000-0010-0000-0400-00001E000000}" name="29" totalsRowFunction="count" dataDxfId="526" totalsRowDxfId="525"/>
    <tableColumn id="31" xr3:uid="{00000000-0010-0000-0400-00001F000000}" name="30" totalsRowFunction="count" dataDxfId="524" totalsRowDxfId="523"/>
    <tableColumn id="32" xr3:uid="{00000000-0010-0000-0400-000020000000}" name="31" totalsRowFunction="count" dataDxfId="522" totalsRowDxfId="521"/>
    <tableColumn id="33" xr3:uid="{00000000-0010-0000-0400-000021000000}" name="Tổng số Ngày" totalsRowFunction="sum" dataDxfId="520" totalsRowDxfId="519">
      <calculatedColumnFormula>COUNTA(Tháng_Năm[[#This Row],[1]:[31]])</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Tháng_Sáu" displayName="Tháng_Sáu" ref="B6:AH12" totalsRowCount="1" headerRowDxfId="513" dataDxfId="512" totalsRowDxfId="511">
  <tableColumns count="33">
    <tableColumn id="1" xr3:uid="{00000000-0010-0000-0500-000001000000}" name="Tên Nhân viên" totalsRowFunction="custom" dataDxfId="510" totalsRowDxfId="509" dataCellStyle="Nhân viên">
      <totalsRowFormula>Tên_Tháng&amp;" Tổng"</totalsRowFormula>
    </tableColumn>
    <tableColumn id="2" xr3:uid="{00000000-0010-0000-0500-000002000000}" name="1" totalsRowFunction="count" dataDxfId="508" totalsRowDxfId="507"/>
    <tableColumn id="3" xr3:uid="{00000000-0010-0000-0500-000003000000}" name="2" totalsRowFunction="count" dataDxfId="506" totalsRowDxfId="505"/>
    <tableColumn id="4" xr3:uid="{00000000-0010-0000-0500-000004000000}" name="3" totalsRowFunction="count" dataDxfId="504" totalsRowDxfId="503"/>
    <tableColumn id="5" xr3:uid="{00000000-0010-0000-0500-000005000000}" name="4" totalsRowFunction="count" dataDxfId="502" totalsRowDxfId="501"/>
    <tableColumn id="6" xr3:uid="{00000000-0010-0000-0500-000006000000}" name="5" totalsRowFunction="count" dataDxfId="500" totalsRowDxfId="499"/>
    <tableColumn id="7" xr3:uid="{00000000-0010-0000-0500-000007000000}" name="6" totalsRowFunction="count" dataDxfId="498" totalsRowDxfId="497"/>
    <tableColumn id="8" xr3:uid="{00000000-0010-0000-0500-000008000000}" name="7" totalsRowFunction="count" dataDxfId="496" totalsRowDxfId="495"/>
    <tableColumn id="9" xr3:uid="{00000000-0010-0000-0500-000009000000}" name="8" totalsRowFunction="count" dataDxfId="494" totalsRowDxfId="493"/>
    <tableColumn id="10" xr3:uid="{00000000-0010-0000-0500-00000A000000}" name="9" totalsRowFunction="count" dataDxfId="492" totalsRowDxfId="491"/>
    <tableColumn id="11" xr3:uid="{00000000-0010-0000-0500-00000B000000}" name="10" totalsRowFunction="count" dataDxfId="490" totalsRowDxfId="489"/>
    <tableColumn id="12" xr3:uid="{00000000-0010-0000-0500-00000C000000}" name="11" totalsRowFunction="count" dataDxfId="488" totalsRowDxfId="487"/>
    <tableColumn id="13" xr3:uid="{00000000-0010-0000-0500-00000D000000}" name="12" totalsRowFunction="count" dataDxfId="486" totalsRowDxfId="485"/>
    <tableColumn id="14" xr3:uid="{00000000-0010-0000-0500-00000E000000}" name="13" totalsRowFunction="count" dataDxfId="484" totalsRowDxfId="483"/>
    <tableColumn id="15" xr3:uid="{00000000-0010-0000-0500-00000F000000}" name="14" totalsRowFunction="count" dataDxfId="482" totalsRowDxfId="481"/>
    <tableColumn id="16" xr3:uid="{00000000-0010-0000-0500-000010000000}" name="15" totalsRowFunction="count" dataDxfId="480" totalsRowDxfId="479"/>
    <tableColumn id="17" xr3:uid="{00000000-0010-0000-0500-000011000000}" name="16" totalsRowFunction="count" dataDxfId="478" totalsRowDxfId="477"/>
    <tableColumn id="18" xr3:uid="{00000000-0010-0000-0500-000012000000}" name="17" totalsRowFunction="count" dataDxfId="476" totalsRowDxfId="475"/>
    <tableColumn id="19" xr3:uid="{00000000-0010-0000-0500-000013000000}" name="18" totalsRowFunction="count" dataDxfId="474" totalsRowDxfId="473"/>
    <tableColumn id="20" xr3:uid="{00000000-0010-0000-0500-000014000000}" name="19" totalsRowFunction="count" dataDxfId="472" totalsRowDxfId="471"/>
    <tableColumn id="21" xr3:uid="{00000000-0010-0000-0500-000015000000}" name="20" totalsRowFunction="count" dataDxfId="470" totalsRowDxfId="469"/>
    <tableColumn id="22" xr3:uid="{00000000-0010-0000-0500-000016000000}" name="21" totalsRowFunction="count" dataDxfId="468" totalsRowDxfId="467"/>
    <tableColumn id="23" xr3:uid="{00000000-0010-0000-0500-000017000000}" name="22" totalsRowFunction="count" dataDxfId="466" totalsRowDxfId="465"/>
    <tableColumn id="24" xr3:uid="{00000000-0010-0000-0500-000018000000}" name="23" totalsRowFunction="count" dataDxfId="464" totalsRowDxfId="463"/>
    <tableColumn id="25" xr3:uid="{00000000-0010-0000-0500-000019000000}" name="24" totalsRowFunction="count" dataDxfId="462" totalsRowDxfId="461"/>
    <tableColumn id="26" xr3:uid="{00000000-0010-0000-0500-00001A000000}" name="25" totalsRowFunction="count" dataDxfId="460" totalsRowDxfId="459"/>
    <tableColumn id="27" xr3:uid="{00000000-0010-0000-0500-00001B000000}" name="26" totalsRowFunction="count" dataDxfId="458" totalsRowDxfId="457"/>
    <tableColumn id="28" xr3:uid="{00000000-0010-0000-0500-00001C000000}" name="27" totalsRowFunction="count" dataDxfId="456" totalsRowDxfId="455"/>
    <tableColumn id="29" xr3:uid="{00000000-0010-0000-0500-00001D000000}" name="28" totalsRowFunction="count" dataDxfId="454" totalsRowDxfId="453"/>
    <tableColumn id="30" xr3:uid="{00000000-0010-0000-0500-00001E000000}" name="29" totalsRowFunction="count" dataDxfId="452" totalsRowDxfId="451"/>
    <tableColumn id="31" xr3:uid="{00000000-0010-0000-0500-00001F000000}" name="30" totalsRowFunction="count" dataDxfId="450" totalsRowDxfId="449"/>
    <tableColumn id="32" xr3:uid="{00000000-0010-0000-0500-000020000000}" name=" " totalsRowFunction="count" dataDxfId="448" totalsRowDxfId="447"/>
    <tableColumn id="33" xr3:uid="{00000000-0010-0000-0500-000021000000}" name="Tổng số Ngày" totalsRowFunction="sum" dataDxfId="446" totalsRowDxfId="445">
      <calculatedColumnFormula>COUNTA(Tháng_Sáu[[#This Row],[1]:[30]])</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Tháng_Bảy" displayName="Tháng_Bảy" ref="B6:AH12" totalsRowCount="1" headerRowDxfId="439" dataDxfId="438" totalsRowDxfId="437">
  <tableColumns count="33">
    <tableColumn id="1" xr3:uid="{00000000-0010-0000-0600-000001000000}" name="Tên Nhân viên" totalsRowFunction="custom" dataDxfId="436" totalsRowDxfId="435" dataCellStyle="Nhân viên">
      <totalsRowFormula>Tên_Tháng&amp;" Tổng"</totalsRowFormula>
    </tableColumn>
    <tableColumn id="2" xr3:uid="{00000000-0010-0000-0600-000002000000}" name="1" totalsRowFunction="count" dataDxfId="434" totalsRowDxfId="433"/>
    <tableColumn id="3" xr3:uid="{00000000-0010-0000-0600-000003000000}" name="2" totalsRowFunction="count" dataDxfId="432" totalsRowDxfId="431"/>
    <tableColumn id="4" xr3:uid="{00000000-0010-0000-0600-000004000000}" name="3" totalsRowFunction="count" dataDxfId="430" totalsRowDxfId="429"/>
    <tableColumn id="5" xr3:uid="{00000000-0010-0000-0600-000005000000}" name="4" totalsRowFunction="count" dataDxfId="428" totalsRowDxfId="427"/>
    <tableColumn id="6" xr3:uid="{00000000-0010-0000-0600-000006000000}" name="5" totalsRowFunction="count" dataDxfId="426" totalsRowDxfId="425"/>
    <tableColumn id="7" xr3:uid="{00000000-0010-0000-0600-000007000000}" name="6" totalsRowFunction="count" dataDxfId="424" totalsRowDxfId="423"/>
    <tableColumn id="8" xr3:uid="{00000000-0010-0000-0600-000008000000}" name="7" totalsRowFunction="count" dataDxfId="422" totalsRowDxfId="421"/>
    <tableColumn id="9" xr3:uid="{00000000-0010-0000-0600-000009000000}" name="8" totalsRowFunction="count" dataDxfId="420" totalsRowDxfId="419"/>
    <tableColumn id="10" xr3:uid="{00000000-0010-0000-0600-00000A000000}" name="9" totalsRowFunction="count" dataDxfId="418" totalsRowDxfId="417"/>
    <tableColumn id="11" xr3:uid="{00000000-0010-0000-0600-00000B000000}" name="10" totalsRowFunction="count" dataDxfId="416" totalsRowDxfId="415"/>
    <tableColumn id="12" xr3:uid="{00000000-0010-0000-0600-00000C000000}" name="11" totalsRowFunction="count" dataDxfId="414" totalsRowDxfId="413"/>
    <tableColumn id="13" xr3:uid="{00000000-0010-0000-0600-00000D000000}" name="12" totalsRowFunction="count" dataDxfId="412" totalsRowDxfId="411"/>
    <tableColumn id="14" xr3:uid="{00000000-0010-0000-0600-00000E000000}" name="13" totalsRowFunction="count" dataDxfId="410" totalsRowDxfId="409"/>
    <tableColumn id="15" xr3:uid="{00000000-0010-0000-0600-00000F000000}" name="14" totalsRowFunction="count" dataDxfId="408" totalsRowDxfId="407"/>
    <tableColumn id="16" xr3:uid="{00000000-0010-0000-0600-000010000000}" name="15" totalsRowFunction="count" dataDxfId="406" totalsRowDxfId="405"/>
    <tableColumn id="17" xr3:uid="{00000000-0010-0000-0600-000011000000}" name="16" totalsRowFunction="count" dataDxfId="404" totalsRowDxfId="403"/>
    <tableColumn id="18" xr3:uid="{00000000-0010-0000-0600-000012000000}" name="17" totalsRowFunction="count" dataDxfId="402" totalsRowDxfId="401"/>
    <tableColumn id="19" xr3:uid="{00000000-0010-0000-0600-000013000000}" name="18" totalsRowFunction="count" dataDxfId="400" totalsRowDxfId="399"/>
    <tableColumn id="20" xr3:uid="{00000000-0010-0000-0600-000014000000}" name="19" totalsRowFunction="count" dataDxfId="398" totalsRowDxfId="397"/>
    <tableColumn id="21" xr3:uid="{00000000-0010-0000-0600-000015000000}" name="20" totalsRowFunction="count" dataDxfId="396" totalsRowDxfId="395"/>
    <tableColumn id="22" xr3:uid="{00000000-0010-0000-0600-000016000000}" name="21" totalsRowFunction="count" dataDxfId="394" totalsRowDxfId="393"/>
    <tableColumn id="23" xr3:uid="{00000000-0010-0000-0600-000017000000}" name="22" totalsRowFunction="count" dataDxfId="392" totalsRowDxfId="391"/>
    <tableColumn id="24" xr3:uid="{00000000-0010-0000-0600-000018000000}" name="23" totalsRowFunction="count" dataDxfId="390" totalsRowDxfId="389"/>
    <tableColumn id="25" xr3:uid="{00000000-0010-0000-0600-000019000000}" name="24" totalsRowFunction="count" dataDxfId="388" totalsRowDxfId="387"/>
    <tableColumn id="26" xr3:uid="{00000000-0010-0000-0600-00001A000000}" name="25" totalsRowFunction="count" dataDxfId="386" totalsRowDxfId="385"/>
    <tableColumn id="27" xr3:uid="{00000000-0010-0000-0600-00001B000000}" name="26" totalsRowFunction="count" dataDxfId="384" totalsRowDxfId="383"/>
    <tableColumn id="28" xr3:uid="{00000000-0010-0000-0600-00001C000000}" name="27" totalsRowFunction="count" dataDxfId="382" totalsRowDxfId="381"/>
    <tableColumn id="29" xr3:uid="{00000000-0010-0000-0600-00001D000000}" name="28" totalsRowFunction="count" dataDxfId="380" totalsRowDxfId="379"/>
    <tableColumn id="30" xr3:uid="{00000000-0010-0000-0600-00001E000000}" name="29" totalsRowFunction="count" dataDxfId="378" totalsRowDxfId="377"/>
    <tableColumn id="31" xr3:uid="{00000000-0010-0000-0600-00001F000000}" name="30" totalsRowFunction="count" dataDxfId="376" totalsRowDxfId="375"/>
    <tableColumn id="32" xr3:uid="{00000000-0010-0000-0600-000020000000}" name="31" totalsRowFunction="count" dataDxfId="374" totalsRowDxfId="373"/>
    <tableColumn id="33" xr3:uid="{00000000-0010-0000-0600-000021000000}" name="Tổng số Ngày" totalsRowFunction="sum" dataDxfId="372" totalsRowDxfId="371">
      <calculatedColumnFormula>COUNTA(Tháng_Bảy[[#This Row],[1]:[31]])</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Tháng_Tám" displayName="Tháng_Tám" ref="B6:AH12" totalsRowCount="1" headerRowDxfId="365" dataDxfId="364" totalsRowDxfId="363">
  <tableColumns count="33">
    <tableColumn id="1" xr3:uid="{00000000-0010-0000-0700-000001000000}" name="Tên Nhân viên" totalsRowFunction="custom" dataDxfId="362" totalsRowDxfId="361" dataCellStyle="Nhân viên">
      <totalsRowFormula>Tên_Tháng&amp;" Tổng"</totalsRowFormula>
    </tableColumn>
    <tableColumn id="2" xr3:uid="{00000000-0010-0000-0700-000002000000}" name="1" totalsRowFunction="count" dataDxfId="360" totalsRowDxfId="359"/>
    <tableColumn id="3" xr3:uid="{00000000-0010-0000-0700-000003000000}" name="2" totalsRowFunction="count" dataDxfId="358" totalsRowDxfId="357"/>
    <tableColumn id="4" xr3:uid="{00000000-0010-0000-0700-000004000000}" name="3" totalsRowFunction="count" dataDxfId="356" totalsRowDxfId="355"/>
    <tableColumn id="5" xr3:uid="{00000000-0010-0000-0700-000005000000}" name="4" totalsRowFunction="count" dataDxfId="354" totalsRowDxfId="353"/>
    <tableColumn id="6" xr3:uid="{00000000-0010-0000-0700-000006000000}" name="5" totalsRowFunction="count" dataDxfId="352" totalsRowDxfId="351"/>
    <tableColumn id="7" xr3:uid="{00000000-0010-0000-0700-000007000000}" name="6" totalsRowFunction="count" dataDxfId="350" totalsRowDxfId="349"/>
    <tableColumn id="8" xr3:uid="{00000000-0010-0000-0700-000008000000}" name="7" totalsRowFunction="count" dataDxfId="348" totalsRowDxfId="347"/>
    <tableColumn id="9" xr3:uid="{00000000-0010-0000-0700-000009000000}" name="8" totalsRowFunction="count" dataDxfId="346" totalsRowDxfId="345"/>
    <tableColumn id="10" xr3:uid="{00000000-0010-0000-0700-00000A000000}" name="9" totalsRowFunction="count" dataDxfId="344" totalsRowDxfId="343"/>
    <tableColumn id="11" xr3:uid="{00000000-0010-0000-0700-00000B000000}" name="10" totalsRowFunction="count" dataDxfId="342" totalsRowDxfId="341"/>
    <tableColumn id="12" xr3:uid="{00000000-0010-0000-0700-00000C000000}" name="11" totalsRowFunction="count" dataDxfId="340" totalsRowDxfId="339"/>
    <tableColumn id="13" xr3:uid="{00000000-0010-0000-0700-00000D000000}" name="12" totalsRowFunction="count" dataDxfId="338" totalsRowDxfId="337"/>
    <tableColumn id="14" xr3:uid="{00000000-0010-0000-0700-00000E000000}" name="13" totalsRowFunction="count" dataDxfId="336" totalsRowDxfId="335"/>
    <tableColumn id="15" xr3:uid="{00000000-0010-0000-0700-00000F000000}" name="14" totalsRowFunction="count" dataDxfId="334" totalsRowDxfId="333"/>
    <tableColumn id="16" xr3:uid="{00000000-0010-0000-0700-000010000000}" name="15" totalsRowFunction="count" dataDxfId="332" totalsRowDxfId="331"/>
    <tableColumn id="17" xr3:uid="{00000000-0010-0000-0700-000011000000}" name="16" totalsRowFunction="count" dataDxfId="330" totalsRowDxfId="329"/>
    <tableColumn id="18" xr3:uid="{00000000-0010-0000-0700-000012000000}" name="17" totalsRowFunction="count" dataDxfId="328" totalsRowDxfId="327"/>
    <tableColumn id="19" xr3:uid="{00000000-0010-0000-0700-000013000000}" name="18" totalsRowFunction="count" dataDxfId="326" totalsRowDxfId="325"/>
    <tableColumn id="20" xr3:uid="{00000000-0010-0000-0700-000014000000}" name="19" totalsRowFunction="count" dataDxfId="324" totalsRowDxfId="323"/>
    <tableColumn id="21" xr3:uid="{00000000-0010-0000-0700-000015000000}" name="20" totalsRowFunction="count" dataDxfId="322" totalsRowDxfId="321"/>
    <tableColumn id="22" xr3:uid="{00000000-0010-0000-0700-000016000000}" name="21" totalsRowFunction="count" dataDxfId="320" totalsRowDxfId="319"/>
    <tableColumn id="23" xr3:uid="{00000000-0010-0000-0700-000017000000}" name="22" totalsRowFunction="count" dataDxfId="318" totalsRowDxfId="317"/>
    <tableColumn id="24" xr3:uid="{00000000-0010-0000-0700-000018000000}" name="23" totalsRowFunction="count" dataDxfId="316" totalsRowDxfId="315"/>
    <tableColumn id="25" xr3:uid="{00000000-0010-0000-0700-000019000000}" name="24" totalsRowFunction="count" dataDxfId="314" totalsRowDxfId="313"/>
    <tableColumn id="26" xr3:uid="{00000000-0010-0000-0700-00001A000000}" name="25" totalsRowFunction="count" dataDxfId="312" totalsRowDxfId="311"/>
    <tableColumn id="27" xr3:uid="{00000000-0010-0000-0700-00001B000000}" name="26" totalsRowFunction="count" dataDxfId="310" totalsRowDxfId="309"/>
    <tableColumn id="28" xr3:uid="{00000000-0010-0000-0700-00001C000000}" name="27" totalsRowFunction="count" dataDxfId="308" totalsRowDxfId="307"/>
    <tableColumn id="29" xr3:uid="{00000000-0010-0000-0700-00001D000000}" name="28" totalsRowFunction="count" dataDxfId="306" totalsRowDxfId="305"/>
    <tableColumn id="30" xr3:uid="{00000000-0010-0000-0700-00001E000000}" name="29" totalsRowFunction="count" dataDxfId="304" totalsRowDxfId="303"/>
    <tableColumn id="31" xr3:uid="{00000000-0010-0000-0700-00001F000000}" name="30" totalsRowFunction="count" dataDxfId="302" totalsRowDxfId="301"/>
    <tableColumn id="32" xr3:uid="{00000000-0010-0000-0700-000020000000}" name="31" totalsRowFunction="count" dataDxfId="300" totalsRowDxfId="299"/>
    <tableColumn id="33" xr3:uid="{00000000-0010-0000-0700-000021000000}" name="Tổng số Ngày" totalsRowFunction="sum" dataDxfId="298" totalsRowDxfId="297">
      <calculatedColumnFormula>COUNTA(Tháng_Tám[[#This Row],[1]:[31]])</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háng_Chín" displayName="Tháng_Chín" ref="B6:AH12" totalsRowCount="1" headerRowDxfId="291" dataDxfId="290" totalsRowDxfId="289">
  <tableColumns count="33">
    <tableColumn id="1" xr3:uid="{00000000-0010-0000-0800-000001000000}" name="Tên Nhân viên" totalsRowFunction="custom" dataDxfId="288" totalsRowDxfId="287" dataCellStyle="Nhân viên">
      <totalsRowFormula>Tên_Tháng&amp;" Tổng"</totalsRowFormula>
    </tableColumn>
    <tableColumn id="2" xr3:uid="{00000000-0010-0000-0800-000002000000}" name="1" totalsRowFunction="count" dataDxfId="286" totalsRowDxfId="285"/>
    <tableColumn id="3" xr3:uid="{00000000-0010-0000-0800-000003000000}" name="2" totalsRowFunction="count" dataDxfId="284" totalsRowDxfId="283"/>
    <tableColumn id="4" xr3:uid="{00000000-0010-0000-0800-000004000000}" name="3" totalsRowFunction="count" dataDxfId="282" totalsRowDxfId="281"/>
    <tableColumn id="5" xr3:uid="{00000000-0010-0000-0800-000005000000}" name="4" totalsRowFunction="count" dataDxfId="280" totalsRowDxfId="279"/>
    <tableColumn id="6" xr3:uid="{00000000-0010-0000-0800-000006000000}" name="5" totalsRowFunction="count" dataDxfId="278" totalsRowDxfId="277"/>
    <tableColumn id="7" xr3:uid="{00000000-0010-0000-0800-000007000000}" name="6" totalsRowFunction="count" dataDxfId="276" totalsRowDxfId="275"/>
    <tableColumn id="8" xr3:uid="{00000000-0010-0000-0800-000008000000}" name="7" totalsRowFunction="count" dataDxfId="274" totalsRowDxfId="273"/>
    <tableColumn id="9" xr3:uid="{00000000-0010-0000-0800-000009000000}" name="8" totalsRowFunction="count" dataDxfId="272" totalsRowDxfId="271"/>
    <tableColumn id="10" xr3:uid="{00000000-0010-0000-0800-00000A000000}" name="9" totalsRowFunction="count" dataDxfId="270" totalsRowDxfId="269"/>
    <tableColumn id="11" xr3:uid="{00000000-0010-0000-0800-00000B000000}" name="10" totalsRowFunction="count" dataDxfId="268" totalsRowDxfId="267"/>
    <tableColumn id="12" xr3:uid="{00000000-0010-0000-0800-00000C000000}" name="11" totalsRowFunction="count" dataDxfId="266" totalsRowDxfId="265"/>
    <tableColumn id="13" xr3:uid="{00000000-0010-0000-0800-00000D000000}" name="12" totalsRowFunction="count" dataDxfId="264" totalsRowDxfId="263"/>
    <tableColumn id="14" xr3:uid="{00000000-0010-0000-0800-00000E000000}" name="13" totalsRowFunction="count" dataDxfId="262" totalsRowDxfId="261"/>
    <tableColumn id="15" xr3:uid="{00000000-0010-0000-0800-00000F000000}" name="14" totalsRowFunction="count" dataDxfId="260" totalsRowDxfId="259"/>
    <tableColumn id="16" xr3:uid="{00000000-0010-0000-0800-000010000000}" name="15" totalsRowFunction="count" dataDxfId="258" totalsRowDxfId="257"/>
    <tableColumn id="17" xr3:uid="{00000000-0010-0000-0800-000011000000}" name="16" totalsRowFunction="count" dataDxfId="256" totalsRowDxfId="255"/>
    <tableColumn id="18" xr3:uid="{00000000-0010-0000-0800-000012000000}" name="17" totalsRowFunction="count" dataDxfId="254" totalsRowDxfId="253"/>
    <tableColumn id="19" xr3:uid="{00000000-0010-0000-0800-000013000000}" name="18" totalsRowFunction="count" dataDxfId="252" totalsRowDxfId="251"/>
    <tableColumn id="20" xr3:uid="{00000000-0010-0000-0800-000014000000}" name="19" totalsRowFunction="count" dataDxfId="250" totalsRowDxfId="249"/>
    <tableColumn id="21" xr3:uid="{00000000-0010-0000-0800-000015000000}" name="20" totalsRowFunction="count" dataDxfId="248" totalsRowDxfId="247"/>
    <tableColumn id="22" xr3:uid="{00000000-0010-0000-0800-000016000000}" name="21" totalsRowFunction="count" dataDxfId="246" totalsRowDxfId="245"/>
    <tableColumn id="23" xr3:uid="{00000000-0010-0000-0800-000017000000}" name="22" totalsRowFunction="count" dataDxfId="244" totalsRowDxfId="243"/>
    <tableColumn id="24" xr3:uid="{00000000-0010-0000-0800-000018000000}" name="23" totalsRowFunction="count" dataDxfId="242" totalsRowDxfId="241"/>
    <tableColumn id="25" xr3:uid="{00000000-0010-0000-0800-000019000000}" name="24" totalsRowFunction="count" dataDxfId="240" totalsRowDxfId="239"/>
    <tableColumn id="26" xr3:uid="{00000000-0010-0000-0800-00001A000000}" name="25" totalsRowFunction="count" dataDxfId="238" totalsRowDxfId="237"/>
    <tableColumn id="27" xr3:uid="{00000000-0010-0000-0800-00001B000000}" name="26" totalsRowFunction="count" dataDxfId="236" totalsRowDxfId="235"/>
    <tableColumn id="28" xr3:uid="{00000000-0010-0000-0800-00001C000000}" name="27" totalsRowFunction="count" dataDxfId="234" totalsRowDxfId="233"/>
    <tableColumn id="29" xr3:uid="{00000000-0010-0000-0800-00001D000000}" name="28" totalsRowFunction="count" dataDxfId="232" totalsRowDxfId="231"/>
    <tableColumn id="30" xr3:uid="{00000000-0010-0000-0800-00001E000000}" name="29" totalsRowFunction="count" dataDxfId="230" totalsRowDxfId="229"/>
    <tableColumn id="31" xr3:uid="{00000000-0010-0000-0800-00001F000000}" name="30" totalsRowFunction="count" dataDxfId="228" totalsRowDxfId="227"/>
    <tableColumn id="32" xr3:uid="{00000000-0010-0000-0800-000020000000}" name=" " totalsRowFunction="count" dataDxfId="226" totalsRowDxfId="225"/>
    <tableColumn id="33" xr3:uid="{00000000-0010-0000-0800-000021000000}" name="Tổng số Ngày" totalsRowFunction="sum" dataDxfId="224" totalsRowDxfId="223">
      <calculatedColumnFormula>COUNTA(Tháng_Chín[[#This Row],[1]:[30]])</calculatedColumnFormula>
    </tableColumn>
  </tableColumns>
  <tableStyleInfo name="Bảng Vắng mặt của nhân viên" showFirstColumn="1" showLastColumn="1" showRowStripes="1" showColumnStripes="0"/>
  <extLst>
    <ext xmlns:x14="http://schemas.microsoft.com/office/spreadsheetml/2009/9/main" uri="{504A1905-F514-4f6f-8877-14C23A59335A}">
      <x14:table altTextSummary="Cung cấp tên nhân viên và ngày vắng mặt. Ghi lại lý do vắng mặt cho mỗi khóa ở hàng 12: N=Nghỉ phép, Ô=Ốm, V=Việc riêng và hai chỗ dành sẵn cho các mục nhập tùy chỉnh"/>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89999084444715716"/>
    <pageSetUpPr fitToPage="1"/>
  </sheetPr>
  <dimension ref="A1:AH12"/>
  <sheetViews>
    <sheetView showGridLines="0" tabSelected="1"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1:34" ht="50.1" customHeight="1" x14ac:dyDescent="0.25">
      <c r="A1" s="14"/>
      <c r="B1" s="11" t="s">
        <v>0</v>
      </c>
    </row>
    <row r="2" spans="1: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1:34" ht="15" customHeight="1" x14ac:dyDescent="0.25">
      <c r="AH3" s="16" t="s">
        <v>49</v>
      </c>
    </row>
    <row r="4" spans="1:34" ht="30" customHeight="1" x14ac:dyDescent="0.25">
      <c r="B4" s="9" t="s">
        <v>2</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v>2019</v>
      </c>
    </row>
    <row r="5" spans="1:34" ht="15" customHeight="1" x14ac:dyDescent="0.25">
      <c r="B5" s="9"/>
      <c r="C5" s="2" t="str">
        <f>TEXT(WEEKDAY(DATE(Năm_trên_Lịch,1,1),1),"ddd")</f>
        <v>T3</v>
      </c>
      <c r="D5" s="2" t="str">
        <f>TEXT(WEEKDAY(DATE(Năm_trên_Lịch,1,2),1),"ddd")</f>
        <v>T4</v>
      </c>
      <c r="E5" s="2" t="str">
        <f>TEXT(WEEKDAY(DATE(Năm_trên_Lịch,1,3),1),"ddd")</f>
        <v>T5</v>
      </c>
      <c r="F5" s="2" t="str">
        <f>TEXT(WEEKDAY(DATE(Năm_trên_Lịch,1,4),1),"ddd")</f>
        <v>T6</v>
      </c>
      <c r="G5" s="2" t="str">
        <f>TEXT(WEEKDAY(DATE(Năm_trên_Lịch,1,5),1),"ddd")</f>
        <v>T7</v>
      </c>
      <c r="H5" s="2" t="str">
        <f>TEXT(WEEKDAY(DATE(Năm_trên_Lịch,1,6),1),"ddd")</f>
        <v>CN</v>
      </c>
      <c r="I5" s="2" t="str">
        <f>TEXT(WEEKDAY(DATE(Năm_trên_Lịch,1,7),1),"ddd")</f>
        <v>T2</v>
      </c>
      <c r="J5" s="2" t="str">
        <f>TEXT(WEEKDAY(DATE(Năm_trên_Lịch,1,8),1),"ddd")</f>
        <v>T3</v>
      </c>
      <c r="K5" s="2" t="str">
        <f>TEXT(WEEKDAY(DATE(Năm_trên_Lịch,1,9),1),"ddd")</f>
        <v>T4</v>
      </c>
      <c r="L5" s="2" t="str">
        <f>TEXT(WEEKDAY(DATE(Năm_trên_Lịch,1,10),1),"ddd")</f>
        <v>T5</v>
      </c>
      <c r="M5" s="2" t="str">
        <f>TEXT(WEEKDAY(DATE(Năm_trên_Lịch,1,11),1),"ddd")</f>
        <v>T6</v>
      </c>
      <c r="N5" s="2" t="str">
        <f>TEXT(WEEKDAY(DATE(Năm_trên_Lịch,1,12),1),"ddd")</f>
        <v>T7</v>
      </c>
      <c r="O5" s="2" t="str">
        <f>TEXT(WEEKDAY(DATE(Năm_trên_Lịch,1,13),1),"ddd")</f>
        <v>CN</v>
      </c>
      <c r="P5" s="2" t="str">
        <f>TEXT(WEEKDAY(DATE(Năm_trên_Lịch,1,14),1),"ddd")</f>
        <v>T2</v>
      </c>
      <c r="Q5" s="2" t="str">
        <f>TEXT(WEEKDAY(DATE(Năm_trên_Lịch,1,15),1),"ddd")</f>
        <v>T3</v>
      </c>
      <c r="R5" s="2" t="str">
        <f>TEXT(WEEKDAY(DATE(Năm_trên_Lịch,1,16),1),"ddd")</f>
        <v>T4</v>
      </c>
      <c r="S5" s="2" t="str">
        <f>TEXT(WEEKDAY(DATE(Năm_trên_Lịch,1,17),1),"ddd")</f>
        <v>T5</v>
      </c>
      <c r="T5" s="2" t="str">
        <f>TEXT(WEEKDAY(DATE(Năm_trên_Lịch,1,18),1),"ddd")</f>
        <v>T6</v>
      </c>
      <c r="U5" s="2" t="str">
        <f>TEXT(WEEKDAY(DATE(Năm_trên_Lịch,1,19),1),"ddd")</f>
        <v>T7</v>
      </c>
      <c r="V5" s="2" t="str">
        <f>TEXT(WEEKDAY(DATE(Năm_trên_Lịch,1,20),1),"ddd")</f>
        <v>CN</v>
      </c>
      <c r="W5" s="2" t="str">
        <f>TEXT(WEEKDAY(DATE(Năm_trên_Lịch,1,21),1),"ddd")</f>
        <v>T2</v>
      </c>
      <c r="X5" s="2" t="str">
        <f>TEXT(WEEKDAY(DATE(Năm_trên_Lịch,1,22),1),"ddd")</f>
        <v>T3</v>
      </c>
      <c r="Y5" s="2" t="str">
        <f>TEXT(WEEKDAY(DATE(Năm_trên_Lịch,1,23),1),"ddd")</f>
        <v>T4</v>
      </c>
      <c r="Z5" s="2" t="str">
        <f>TEXT(WEEKDAY(DATE(Năm_trên_Lịch,1,24),1),"ddd")</f>
        <v>T5</v>
      </c>
      <c r="AA5" s="2" t="str">
        <f>TEXT(WEEKDAY(DATE(Năm_trên_Lịch,1,25),1),"ddd")</f>
        <v>T6</v>
      </c>
      <c r="AB5" s="2" t="str">
        <f>TEXT(WEEKDAY(DATE(Năm_trên_Lịch,1,26),1),"ddd")</f>
        <v>T7</v>
      </c>
      <c r="AC5" s="2" t="str">
        <f>TEXT(WEEKDAY(DATE(Năm_trên_Lịch,1,27),1),"ddd")</f>
        <v>CN</v>
      </c>
      <c r="AD5" s="2" t="str">
        <f>TEXT(WEEKDAY(DATE(Năm_trên_Lịch,1,28),1),"ddd")</f>
        <v>T2</v>
      </c>
      <c r="AE5" s="2" t="str">
        <f>TEXT(WEEKDAY(DATE(Năm_trên_Lịch,1,29),1),"ddd")</f>
        <v>T3</v>
      </c>
      <c r="AF5" s="2" t="str">
        <f>TEXT(WEEKDAY(DATE(Năm_trên_Lịch,1,30),1),"ddd")</f>
        <v>T4</v>
      </c>
      <c r="AG5" s="2" t="str">
        <f>TEXT(WEEKDAY(DATE(Năm_trên_Lịch,1,31),1),"ddd")</f>
        <v>T5</v>
      </c>
      <c r="AH5" s="9"/>
    </row>
    <row r="6" spans="1: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48</v>
      </c>
      <c r="AH6" s="13" t="s">
        <v>50</v>
      </c>
    </row>
    <row r="7" spans="1:34" ht="30" customHeight="1" x14ac:dyDescent="0.25">
      <c r="B7" s="1" t="s">
        <v>4</v>
      </c>
      <c r="C7" s="2"/>
      <c r="D7" s="2"/>
      <c r="E7" s="2" t="s">
        <v>9</v>
      </c>
      <c r="F7" s="2" t="s">
        <v>9</v>
      </c>
      <c r="G7" s="2" t="s">
        <v>9</v>
      </c>
      <c r="H7" s="2" t="s">
        <v>9</v>
      </c>
      <c r="I7" s="2"/>
      <c r="J7" s="2"/>
      <c r="K7" s="2"/>
      <c r="L7" s="2"/>
      <c r="M7" s="2"/>
      <c r="N7" s="2"/>
      <c r="O7" s="2" t="s">
        <v>9</v>
      </c>
      <c r="P7" s="2"/>
      <c r="Q7" s="2"/>
      <c r="R7" s="2"/>
      <c r="S7" s="2"/>
      <c r="T7" s="2"/>
      <c r="U7" s="2"/>
      <c r="V7" s="2"/>
      <c r="W7" s="2"/>
      <c r="X7" s="2"/>
      <c r="Y7" s="2"/>
      <c r="Z7" s="2"/>
      <c r="AA7" s="2"/>
      <c r="AB7" s="2"/>
      <c r="AC7" s="2"/>
      <c r="AD7" s="2"/>
      <c r="AE7" s="2"/>
      <c r="AF7" s="2"/>
      <c r="AG7" s="2"/>
      <c r="AH7" s="8">
        <f>COUNTA('Tháng Một'!$C7:$AG7)</f>
        <v>5</v>
      </c>
    </row>
    <row r="8" spans="1:34" ht="30" customHeight="1" x14ac:dyDescent="0.25">
      <c r="B8" s="1" t="s">
        <v>5</v>
      </c>
      <c r="C8" s="2"/>
      <c r="D8" s="2"/>
      <c r="E8" s="2"/>
      <c r="F8" s="2"/>
      <c r="G8" s="2" t="s">
        <v>17</v>
      </c>
      <c r="H8" s="2" t="s">
        <v>17</v>
      </c>
      <c r="I8" s="2"/>
      <c r="J8" s="2"/>
      <c r="K8" s="2"/>
      <c r="L8" s="2"/>
      <c r="M8" s="2" t="s">
        <v>15</v>
      </c>
      <c r="N8" s="2"/>
      <c r="O8" s="2"/>
      <c r="P8" s="2"/>
      <c r="Q8" s="2"/>
      <c r="R8" s="2"/>
      <c r="S8" s="2"/>
      <c r="T8" s="2"/>
      <c r="U8" s="2"/>
      <c r="V8" s="2" t="s">
        <v>17</v>
      </c>
      <c r="W8" s="2"/>
      <c r="X8" s="2"/>
      <c r="Y8" s="2"/>
      <c r="Z8" s="2"/>
      <c r="AA8" s="2" t="s">
        <v>9</v>
      </c>
      <c r="AB8" s="2" t="s">
        <v>9</v>
      </c>
      <c r="AC8" s="2" t="s">
        <v>9</v>
      </c>
      <c r="AD8" s="2"/>
      <c r="AE8" s="2"/>
      <c r="AF8" s="2"/>
      <c r="AG8" s="2"/>
      <c r="AH8" s="8">
        <f>COUNTA('Tháng Một'!$C8:$AG8)</f>
        <v>7</v>
      </c>
    </row>
    <row r="9" spans="1:34" ht="30" customHeight="1" x14ac:dyDescent="0.25">
      <c r="B9" s="1" t="s">
        <v>6</v>
      </c>
      <c r="C9" s="2"/>
      <c r="D9" s="2"/>
      <c r="E9" s="2" t="s">
        <v>15</v>
      </c>
      <c r="F9" s="2"/>
      <c r="G9" s="2"/>
      <c r="H9" s="2"/>
      <c r="I9" s="2"/>
      <c r="J9" s="2"/>
      <c r="K9" s="2"/>
      <c r="L9" s="2"/>
      <c r="M9" s="2"/>
      <c r="N9" s="2"/>
      <c r="O9" s="2"/>
      <c r="P9" s="2" t="s">
        <v>17</v>
      </c>
      <c r="Q9" s="2"/>
      <c r="R9" s="2"/>
      <c r="S9" s="2"/>
      <c r="T9" s="2"/>
      <c r="U9" s="2"/>
      <c r="V9" s="2"/>
      <c r="W9" s="2"/>
      <c r="X9" s="2"/>
      <c r="Y9" s="2"/>
      <c r="Z9" s="2"/>
      <c r="AA9" s="2"/>
      <c r="AB9" s="2"/>
      <c r="AC9" s="2"/>
      <c r="AD9" s="2"/>
      <c r="AE9" s="2" t="s">
        <v>17</v>
      </c>
      <c r="AF9" s="2"/>
      <c r="AG9" s="2"/>
      <c r="AH9" s="8">
        <f>COUNTA('Tháng Một'!$C9:$AG9)</f>
        <v>3</v>
      </c>
    </row>
    <row r="10" spans="1:34" ht="30" customHeight="1" x14ac:dyDescent="0.25">
      <c r="B10" s="1" t="s">
        <v>7</v>
      </c>
      <c r="C10" s="2"/>
      <c r="D10" s="2"/>
      <c r="E10" s="2"/>
      <c r="F10" s="2"/>
      <c r="G10" s="2"/>
      <c r="H10" s="2"/>
      <c r="I10" s="2" t="s">
        <v>15</v>
      </c>
      <c r="J10" s="2"/>
      <c r="K10" s="2"/>
      <c r="L10" s="2"/>
      <c r="M10" s="2"/>
      <c r="N10" s="2"/>
      <c r="O10" s="2"/>
      <c r="P10" s="2"/>
      <c r="Q10" s="2"/>
      <c r="R10" s="2"/>
      <c r="S10" s="2"/>
      <c r="T10" s="2"/>
      <c r="U10" s="2" t="s">
        <v>9</v>
      </c>
      <c r="V10" s="2" t="s">
        <v>9</v>
      </c>
      <c r="W10" s="2" t="s">
        <v>9</v>
      </c>
      <c r="X10" s="2"/>
      <c r="Y10" s="2"/>
      <c r="Z10" s="2"/>
      <c r="AA10" s="2"/>
      <c r="AB10" s="2"/>
      <c r="AC10" s="2"/>
      <c r="AD10" s="2"/>
      <c r="AE10" s="2"/>
      <c r="AF10" s="2"/>
      <c r="AG10" s="2"/>
      <c r="AH10" s="8">
        <f>COUNTA('Tháng Một'!$C10:$AG10)</f>
        <v>4</v>
      </c>
    </row>
    <row r="11" spans="1:34" ht="30" customHeight="1" x14ac:dyDescent="0.25">
      <c r="B11" s="1" t="s">
        <v>8</v>
      </c>
      <c r="C11" s="2"/>
      <c r="D11" s="2"/>
      <c r="E11" s="2"/>
      <c r="F11" s="2" t="s">
        <v>17</v>
      </c>
      <c r="G11" s="2" t="s">
        <v>9</v>
      </c>
      <c r="H11" s="2" t="s">
        <v>9</v>
      </c>
      <c r="I11" s="2"/>
      <c r="J11" s="2"/>
      <c r="K11" s="2"/>
      <c r="L11" s="2"/>
      <c r="M11" s="2"/>
      <c r="N11" s="2"/>
      <c r="O11" s="2"/>
      <c r="P11" s="2"/>
      <c r="Q11" s="2"/>
      <c r="R11" s="2"/>
      <c r="S11" s="2" t="s">
        <v>17</v>
      </c>
      <c r="T11" s="2"/>
      <c r="U11" s="2"/>
      <c r="V11" s="2"/>
      <c r="W11" s="2"/>
      <c r="X11" s="2"/>
      <c r="Y11" s="2"/>
      <c r="Z11" s="2" t="s">
        <v>17</v>
      </c>
      <c r="AA11" s="2"/>
      <c r="AB11" s="2"/>
      <c r="AC11" s="2"/>
      <c r="AD11" s="2"/>
      <c r="AE11" s="2"/>
      <c r="AF11" s="2"/>
      <c r="AG11" s="2" t="s">
        <v>9</v>
      </c>
      <c r="AH11" s="8">
        <f>COUNTA('Tháng Một'!$C11:$AG11)</f>
        <v>6</v>
      </c>
    </row>
    <row r="12" spans="1:34" ht="30" customHeight="1" x14ac:dyDescent="0.25">
      <c r="B12" s="17" t="str">
        <f>Tên_Tháng&amp;" Tổng"</f>
        <v>Tháng Một Tổng</v>
      </c>
      <c r="C12" s="10">
        <f>SUBTOTAL(103,'Tháng Một'!$C$7:$C$11)</f>
        <v>0</v>
      </c>
      <c r="D12" s="10">
        <f>SUBTOTAL(103,'Tháng Một'!$D$7:$D$11)</f>
        <v>0</v>
      </c>
      <c r="E12" s="10">
        <f>SUBTOTAL(103,'Tháng Một'!$E$7:$E$11)</f>
        <v>2</v>
      </c>
      <c r="F12" s="10">
        <f>SUBTOTAL(103,'Tháng Một'!$F$7:$F$11)</f>
        <v>2</v>
      </c>
      <c r="G12" s="10">
        <f>SUBTOTAL(103,'Tháng Một'!$G$7:$G$11)</f>
        <v>3</v>
      </c>
      <c r="H12" s="10">
        <f>SUBTOTAL(103,'Tháng Một'!$H$7:$H$11)</f>
        <v>3</v>
      </c>
      <c r="I12" s="10">
        <f>SUBTOTAL(103,'Tháng Một'!$I$7:$I$11)</f>
        <v>1</v>
      </c>
      <c r="J12" s="10">
        <f>SUBTOTAL(103,'Tháng Một'!$J$7:$J$11)</f>
        <v>0</v>
      </c>
      <c r="K12" s="10">
        <f>SUBTOTAL(103,'Tháng Một'!$K$7:$K$11)</f>
        <v>0</v>
      </c>
      <c r="L12" s="10">
        <f>SUBTOTAL(103,'Tháng Một'!$L$7:$L$11)</f>
        <v>0</v>
      </c>
      <c r="M12" s="10">
        <f>SUBTOTAL(103,'Tháng Một'!$M$7:$M$11)</f>
        <v>1</v>
      </c>
      <c r="N12" s="10">
        <f>SUBTOTAL(103,'Tháng Một'!$N$7:$N$11)</f>
        <v>0</v>
      </c>
      <c r="O12" s="10">
        <f>SUBTOTAL(103,'Tháng Một'!$O$7:$O$11)</f>
        <v>1</v>
      </c>
      <c r="P12" s="10">
        <f>SUBTOTAL(103,'Tháng Một'!$P$7:$P$11)</f>
        <v>1</v>
      </c>
      <c r="Q12" s="10">
        <f>SUBTOTAL(103,'Tháng Một'!$Q$7:$Q$11)</f>
        <v>0</v>
      </c>
      <c r="R12" s="10">
        <f>SUBTOTAL(103,'Tháng Một'!$R$7:$R$11)</f>
        <v>0</v>
      </c>
      <c r="S12" s="10">
        <f>SUBTOTAL(103,'Tháng Một'!$S$7:$S$11)</f>
        <v>1</v>
      </c>
      <c r="T12" s="10">
        <f>SUBTOTAL(103,'Tháng Một'!$T$7:$T$11)</f>
        <v>0</v>
      </c>
      <c r="U12" s="10">
        <f>SUBTOTAL(103,'Tháng Một'!$U$7:$U$11)</f>
        <v>1</v>
      </c>
      <c r="V12" s="10">
        <f>SUBTOTAL(103,'Tháng Một'!$V$7:$V$11)</f>
        <v>2</v>
      </c>
      <c r="W12" s="10">
        <f>SUBTOTAL(103,'Tháng Một'!$W$7:$W$11)</f>
        <v>1</v>
      </c>
      <c r="X12" s="10">
        <f>SUBTOTAL(103,'Tháng Một'!$X$7:$X$11)</f>
        <v>0</v>
      </c>
      <c r="Y12" s="10">
        <f>SUBTOTAL(103,'Tháng Một'!$Y$7:$Y$11)</f>
        <v>0</v>
      </c>
      <c r="Z12" s="10">
        <f>SUBTOTAL(103,'Tháng Một'!$Z$7:$Z$11)</f>
        <v>1</v>
      </c>
      <c r="AA12" s="10">
        <f>SUBTOTAL(103,'Tháng Một'!$AA$7:$AA$11)</f>
        <v>1</v>
      </c>
      <c r="AB12" s="10">
        <f>SUBTOTAL(103,'Tháng Một'!$AB$7:$AB$11)</f>
        <v>1</v>
      </c>
      <c r="AC12" s="10">
        <f>SUBTOTAL(103,'Tháng Một'!$AC$7:$AC$11)</f>
        <v>1</v>
      </c>
      <c r="AD12" s="10">
        <f>SUBTOTAL(103,'Tháng Một'!$AD$7:$AD$11)</f>
        <v>0</v>
      </c>
      <c r="AE12" s="10">
        <f>SUBTOTAL(103,'Tháng Một'!$AE$7:$AE$11)</f>
        <v>1</v>
      </c>
      <c r="AF12" s="10">
        <f>SUBTOTAL(103,'Tháng Một'!$AF$7:$AF$11)</f>
        <v>0</v>
      </c>
      <c r="AG12" s="10">
        <f>SUBTOTAL(103,'Tháng Một'!$AG$7:$AG$11)</f>
        <v>1</v>
      </c>
      <c r="AH12" s="10">
        <f>SUBTOTAL(109,Tháng_Một[Tổng số Ngày])</f>
        <v>25</v>
      </c>
    </row>
  </sheetData>
  <mergeCells count="6">
    <mergeCell ref="C4:AG4"/>
    <mergeCell ref="D2:F2"/>
    <mergeCell ref="H2:J2"/>
    <mergeCell ref="L2:M2"/>
    <mergeCell ref="O2:Q2"/>
    <mergeCell ref="S2:U2"/>
  </mergeCells>
  <conditionalFormatting sqref="C7:AG11">
    <cfRule type="expression" priority="1" stopIfTrue="1">
      <formula>C7=""</formula>
    </cfRule>
    <cfRule type="expression" dxfId="889" priority="6" stopIfTrue="1">
      <formula>C7=Khóa_Tùy_chỉnh_2</formula>
    </cfRule>
    <cfRule type="expression" dxfId="888" priority="7" stopIfTrue="1">
      <formula>C7=Khóa_Tùy_chỉnh_1</formula>
    </cfRule>
    <cfRule type="expression" dxfId="887" priority="8" stopIfTrue="1">
      <formula>C7=Khóa_Ốm</formula>
    </cfRule>
    <cfRule type="expression" dxfId="886" priority="9" stopIfTrue="1">
      <formula>C7=Khóa_Việc_riêng</formula>
    </cfRule>
    <cfRule type="expression" dxfId="885" priority="10" stopIfTrue="1">
      <formula>C7=Khóa_Nghỉ_phép</formula>
    </cfRule>
  </conditionalFormatting>
  <conditionalFormatting sqref="AH7:AH11">
    <cfRule type="dataBar" priority="168">
      <dataBar>
        <cfvo type="num" val="0"/>
        <cfvo type="num" val="31"/>
        <color theme="2" tint="-0.249977111117893"/>
      </dataBar>
      <extLst>
        <ext xmlns:x14="http://schemas.microsoft.com/office/spreadsheetml/2009/9/main" uri="{B025F937-C7B1-47D3-B67F-A62EFF666E3E}">
          <x14:id>{ECCE2C3C-1B01-4700-B60E-DAAAB19A9C1A}</x14:id>
        </ext>
      </extLst>
    </cfRule>
  </conditionalFormatting>
  <dataValidations count="15">
    <dataValidation allowBlank="1" showInputMessage="1" showErrorMessage="1" prompt="Nhập năm vào ô này" sqref="AH4" xr:uid="{00000000-0002-0000-0000-000000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000-000001000000}"/>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000-000002000000}"/>
    <dataValidation allowBlank="1" showInputMessage="1" showErrorMessage="1" prompt="Ngày trong tuần ở hàng này sẽ cập nhật tự động cho tháng theo năm đã nhập vào AH4. Mỗi ngày trong tháng là một cột để ghi chú ngày vắng mặt của nhân viên và lý do vắng mặt" sqref="C5" xr:uid="{00000000-0002-0000-0000-000003000000}"/>
    <dataValidation allowBlank="1" showInputMessage="1" showErrorMessage="1" prompt="Tự động tính tổng số ngày một nhân viên đã vắng mặt trong tháng này" sqref="AH6" xr:uid="{00000000-0002-0000-0000-000004000000}"/>
    <dataValidation allowBlank="1" showInputMessage="1" showErrorMessage="1" prompt="Tiêu đề của trang tính nằm trong ô này. Sau khi cập nhật tiêu đề, từng trang tính sẽ tự động kế thừa sự thay đổi" sqref="B1" xr:uid="{00000000-0002-0000-0000-000005000000}"/>
    <dataValidation allowBlank="1" showInputMessage="1" showErrorMessage="1" prompt="Lịch biểu vắng mặt trong tháng. Cập nhật năm trong ô AH4. Theo dõi các tổng số ngày theo tháng trong ô cuối cùng của bảng. Nhập tên nhân viên vào cột B của bảng" sqref="B4" xr:uid="{00000000-0002-0000-0000-000006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000-000007000000}"/>
    <dataValidation allowBlank="1" showInputMessage="1" showErrorMessage="1" prompt="Chữ &quot;N&quot; cho biết vắng mặt do nghỉ phép" sqref="C2" xr:uid="{00000000-0002-0000-0000-000008000000}"/>
    <dataValidation allowBlank="1" showInputMessage="1" showErrorMessage="1" prompt="Chữ &quot;V&quot; cho biết vắng mặt do lý do cá nhân" sqref="G2" xr:uid="{00000000-0002-0000-0000-000009000000}"/>
    <dataValidation allowBlank="1" showInputMessage="1" showErrorMessage="1" prompt="Chữ &quot;Ô&quot; cho biết vắng mặt do ốm" sqref="K2" xr:uid="{00000000-0002-0000-0000-00000A000000}"/>
    <dataValidation allowBlank="1" showInputMessage="1" showErrorMessage="1" prompt="Nhập một chữ cái rồi tùy chỉnh nhãn ở bên phải để thêm một mục khóa khác" sqref="N2 R2" xr:uid="{00000000-0002-0000-0000-00000B000000}"/>
    <dataValidation allowBlank="1" showInputMessage="1" showErrorMessage="1" prompt="Nhập nhãn mô tả khóa tùy chỉnh ở bên trái" sqref="O2:Q2 S2:U2" xr:uid="{00000000-0002-0000-0000-00000C000000}"/>
    <dataValidation allowBlank="1" showInputMessage="1" showErrorMessage="1" prompt="Lịch biểu vắng mặt của nhân viên theo dõi sự vắng mặt của nhân viên theo ngày trong mỗi tháng. Có 13 trang tính, 12 trang tính dành cho từng tháng &amp; một trang cuối dành cho tên nhân viên. Theo dõi sự vắng mặt trong Tháng Một tại trang tính này" sqref="A1" xr:uid="{00000000-0002-0000-0000-00000D000000}"/>
    <dataValidation allowBlank="1" showInputMessage="1" showErrorMessage="1" prompt="Nhập năm vào ô bên dưới" sqref="AH3" xr:uid="{00000000-0002-0000-0000-00000E000000}"/>
  </dataValidations>
  <printOptions horizontalCentered="1"/>
  <pageMargins left="0.25" right="0.25" top="0.75" bottom="0.75" header="0.3" footer="0.3"/>
  <pageSetup paperSize="9" scale="73"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F000000}">
          <x14:formula1>
            <xm:f>'Tên Nhân viên'!$B$4:$B$8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56</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TEXT(WEEKDAY(DATE(Năm_trên_Lịch,10,1),1),"ddd")</f>
        <v>T3</v>
      </c>
      <c r="D5" s="2" t="str">
        <f>TEXT(WEEKDAY(DATE(Năm_trên_Lịch,10,2),1),"ddd")</f>
        <v>T4</v>
      </c>
      <c r="E5" s="2" t="str">
        <f>TEXT(WEEKDAY(DATE(Năm_trên_Lịch,10,3),1),"ddd")</f>
        <v>T5</v>
      </c>
      <c r="F5" s="2" t="str">
        <f>TEXT(WEEKDAY(DATE(Năm_trên_Lịch,10,4),1),"ddd")</f>
        <v>T6</v>
      </c>
      <c r="G5" s="2" t="str">
        <f>TEXT(WEEKDAY(DATE(Năm_trên_Lịch,10,5),1),"ddd")</f>
        <v>T7</v>
      </c>
      <c r="H5" s="2" t="str">
        <f>TEXT(WEEKDAY(DATE(Năm_trên_Lịch,10,6),1),"ddd")</f>
        <v>CN</v>
      </c>
      <c r="I5" s="2" t="str">
        <f>TEXT(WEEKDAY(DATE(Năm_trên_Lịch,10,7),1),"ddd")</f>
        <v>T2</v>
      </c>
      <c r="J5" s="2" t="str">
        <f>TEXT(WEEKDAY(DATE(Năm_trên_Lịch,10,8),1),"ddd")</f>
        <v>T3</v>
      </c>
      <c r="K5" s="2" t="str">
        <f>TEXT(WEEKDAY(DATE(Năm_trên_Lịch,10,9),1),"ddd")</f>
        <v>T4</v>
      </c>
      <c r="L5" s="2" t="str">
        <f>TEXT(WEEKDAY(DATE(Năm_trên_Lịch,10,10),1),"ddd")</f>
        <v>T5</v>
      </c>
      <c r="M5" s="2" t="str">
        <f>TEXT(WEEKDAY(DATE(Năm_trên_Lịch,10,11),1),"ddd")</f>
        <v>T6</v>
      </c>
      <c r="N5" s="2" t="str">
        <f>TEXT(WEEKDAY(DATE(Năm_trên_Lịch,10,12),1),"ddd")</f>
        <v>T7</v>
      </c>
      <c r="O5" s="2" t="str">
        <f>TEXT(WEEKDAY(DATE(Năm_trên_Lịch,10,13),1),"ddd")</f>
        <v>CN</v>
      </c>
      <c r="P5" s="2" t="str">
        <f>TEXT(WEEKDAY(DATE(Năm_trên_Lịch,10,14),1),"ddd")</f>
        <v>T2</v>
      </c>
      <c r="Q5" s="2" t="str">
        <f>TEXT(WEEKDAY(DATE(Năm_trên_Lịch,10,15),1),"ddd")</f>
        <v>T3</v>
      </c>
      <c r="R5" s="2" t="str">
        <f>TEXT(WEEKDAY(DATE(Năm_trên_Lịch,10,16),1),"ddd")</f>
        <v>T4</v>
      </c>
      <c r="S5" s="2" t="str">
        <f>TEXT(WEEKDAY(DATE(Năm_trên_Lịch,10,17),1),"ddd")</f>
        <v>T5</v>
      </c>
      <c r="T5" s="2" t="str">
        <f>TEXT(WEEKDAY(DATE(Năm_trên_Lịch,10,18),1),"ddd")</f>
        <v>T6</v>
      </c>
      <c r="U5" s="2" t="str">
        <f>TEXT(WEEKDAY(DATE(Năm_trên_Lịch,10,19),1),"ddd")</f>
        <v>T7</v>
      </c>
      <c r="V5" s="2" t="str">
        <f>TEXT(WEEKDAY(DATE(Năm_trên_Lịch,10,20),1),"ddd")</f>
        <v>CN</v>
      </c>
      <c r="W5" s="2" t="str">
        <f>TEXT(WEEKDAY(DATE(Năm_trên_Lịch,10,21),1),"ddd")</f>
        <v>T2</v>
      </c>
      <c r="X5" s="2" t="str">
        <f>TEXT(WEEKDAY(DATE(Năm_trên_Lịch,10,22),1),"ddd")</f>
        <v>T3</v>
      </c>
      <c r="Y5" s="2" t="str">
        <f>TEXT(WEEKDAY(DATE(Năm_trên_Lịch,10,23),1),"ddd")</f>
        <v>T4</v>
      </c>
      <c r="Z5" s="2" t="str">
        <f>TEXT(WEEKDAY(DATE(Năm_trên_Lịch,10,24),1),"ddd")</f>
        <v>T5</v>
      </c>
      <c r="AA5" s="2" t="str">
        <f>TEXT(WEEKDAY(DATE(Năm_trên_Lịch,10,25),1),"ddd")</f>
        <v>T6</v>
      </c>
      <c r="AB5" s="2" t="str">
        <f>TEXT(WEEKDAY(DATE(Năm_trên_Lịch,10,26),1),"ddd")</f>
        <v>T7</v>
      </c>
      <c r="AC5" s="2" t="str">
        <f>TEXT(WEEKDAY(DATE(Năm_trên_Lịch,10,27),1),"ddd")</f>
        <v>CN</v>
      </c>
      <c r="AD5" s="2" t="str">
        <f>TEXT(WEEKDAY(DATE(Năm_trên_Lịch,10,28),1),"ddd")</f>
        <v>T2</v>
      </c>
      <c r="AE5" s="2" t="str">
        <f>TEXT(WEEKDAY(DATE(Năm_trên_Lịch,10,29),1),"ddd")</f>
        <v>T3</v>
      </c>
      <c r="AF5" s="2" t="str">
        <f>TEXT(WEEKDAY(DATE(Năm_trên_Lịch,10,30),1),"ddd")</f>
        <v>T4</v>
      </c>
      <c r="AG5" s="2" t="str">
        <f>TEXT(WEEKDAY(DATE(Năm_trên_Lịch,10,31),1),"ddd")</f>
        <v>T5</v>
      </c>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48</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COUNTA(Tháng_Mười[[#This Row],[1]:[31]])</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COUNTA(Tháng_Mười[[#This Row],[1]:[31]])</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COUNTA(Tháng_Mười[[#This Row],[1]:[31]])</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COUNTA(Tháng_Mười[[#This Row],[1]:[31]])</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COUNTA(Tháng_Mười[[#This Row],[1]:[31]])</f>
        <v>0</v>
      </c>
    </row>
    <row r="12" spans="2:34" ht="30" customHeight="1" x14ac:dyDescent="0.25">
      <c r="B12" s="17" t="str">
        <f>Tên_Tháng&amp;" Tổng"</f>
        <v>Tháng Mười Tổng</v>
      </c>
      <c r="C12" s="10">
        <f>SUBTOTAL(103,Tháng_Mười[1])</f>
        <v>0</v>
      </c>
      <c r="D12" s="10">
        <f>SUBTOTAL(103,Tháng_Mười[2])</f>
        <v>0</v>
      </c>
      <c r="E12" s="10">
        <f>SUBTOTAL(103,Tháng_Mười[3])</f>
        <v>0</v>
      </c>
      <c r="F12" s="10">
        <f>SUBTOTAL(103,Tháng_Mười[4])</f>
        <v>0</v>
      </c>
      <c r="G12" s="10">
        <f>SUBTOTAL(103,Tháng_Mười[5])</f>
        <v>0</v>
      </c>
      <c r="H12" s="10">
        <f>SUBTOTAL(103,Tháng_Mười[6])</f>
        <v>0</v>
      </c>
      <c r="I12" s="10">
        <f>SUBTOTAL(103,Tháng_Mười[7])</f>
        <v>0</v>
      </c>
      <c r="J12" s="10">
        <f>SUBTOTAL(103,Tháng_Mười[8])</f>
        <v>0</v>
      </c>
      <c r="K12" s="10">
        <f>SUBTOTAL(103,Tháng_Mười[9])</f>
        <v>0</v>
      </c>
      <c r="L12" s="10">
        <f>SUBTOTAL(103,Tháng_Mười[10])</f>
        <v>0</v>
      </c>
      <c r="M12" s="10">
        <f>SUBTOTAL(103,Tháng_Mười[11])</f>
        <v>0</v>
      </c>
      <c r="N12" s="10">
        <f>SUBTOTAL(103,Tháng_Mười[12])</f>
        <v>0</v>
      </c>
      <c r="O12" s="10">
        <f>SUBTOTAL(103,Tháng_Mười[13])</f>
        <v>0</v>
      </c>
      <c r="P12" s="10">
        <f>SUBTOTAL(103,Tháng_Mười[14])</f>
        <v>0</v>
      </c>
      <c r="Q12" s="10">
        <f>SUBTOTAL(103,Tháng_Mười[15])</f>
        <v>0</v>
      </c>
      <c r="R12" s="10">
        <f>SUBTOTAL(103,Tháng_Mười[16])</f>
        <v>0</v>
      </c>
      <c r="S12" s="10">
        <f>SUBTOTAL(103,Tháng_Mười[17])</f>
        <v>0</v>
      </c>
      <c r="T12" s="10">
        <f>SUBTOTAL(103,Tháng_Mười[18])</f>
        <v>0</v>
      </c>
      <c r="U12" s="10">
        <f>SUBTOTAL(103,Tháng_Mười[19])</f>
        <v>0</v>
      </c>
      <c r="V12" s="10">
        <f>SUBTOTAL(103,Tháng_Mười[20])</f>
        <v>0</v>
      </c>
      <c r="W12" s="10">
        <f>SUBTOTAL(103,Tháng_Mười[21])</f>
        <v>0</v>
      </c>
      <c r="X12" s="10">
        <f>SUBTOTAL(103,Tháng_Mười[22])</f>
        <v>0</v>
      </c>
      <c r="Y12" s="10">
        <f>SUBTOTAL(103,Tháng_Mười[23])</f>
        <v>0</v>
      </c>
      <c r="Z12" s="10">
        <f>SUBTOTAL(103,Tháng_Mười[24])</f>
        <v>0</v>
      </c>
      <c r="AA12" s="10">
        <f>SUBTOTAL(103,Tháng_Mười[25])</f>
        <v>0</v>
      </c>
      <c r="AB12" s="10">
        <f>SUBTOTAL(103,Tháng_Mười[26])</f>
        <v>0</v>
      </c>
      <c r="AC12" s="10">
        <f>SUBTOTAL(103,Tháng_Mười[27])</f>
        <v>0</v>
      </c>
      <c r="AD12" s="10">
        <f>SUBTOTAL(103,Tháng_Mười[28])</f>
        <v>0</v>
      </c>
      <c r="AE12" s="10">
        <f>SUBTOTAL(103,Tháng_Mười[29])</f>
        <v>0</v>
      </c>
      <c r="AF12" s="10">
        <f>SUBTOTAL(103,Tháng_Mười[30])</f>
        <v>0</v>
      </c>
      <c r="AG12" s="10">
        <f>SUBTOTAL(103,Tháng_Mười[31])</f>
        <v>0</v>
      </c>
      <c r="AH12" s="10">
        <f>SUBTOTAL(109,Tháng_Mười[Tổng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22" priority="2" stopIfTrue="1">
      <formula>C7=Khóa_Tùy_chỉnh_2</formula>
    </cfRule>
    <cfRule type="expression" dxfId="221" priority="3" stopIfTrue="1">
      <formula>C7=Khóa_Tùy_chỉnh_1</formula>
    </cfRule>
    <cfRule type="expression" dxfId="220" priority="4" stopIfTrue="1">
      <formula>C7=Khóa_Ốm</formula>
    </cfRule>
    <cfRule type="expression" dxfId="219" priority="5" stopIfTrue="1">
      <formula>C7=Khóa_Việc_riêng</formula>
    </cfRule>
    <cfRule type="expression" dxfId="218"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{F32A08EA-50E8-4B5F-AB1F-5A7739FBC16C}</x14:id>
        </ext>
      </extLst>
    </cfRule>
  </conditionalFormatting>
  <dataValidations count="14">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900-000000000000}"/>
    <dataValidation allowBlank="1" showInputMessage="1" showErrorMessage="1" prompt="Năm được cập nhật tự động dựa trên năm đã nhập trong trang tính Tháng Một." sqref="AH4" xr:uid="{00000000-0002-0000-0900-000001000000}"/>
    <dataValidation allowBlank="1" showInputMessage="1" showErrorMessage="1" prompt="Tự động tính tổng số ngày một nhân viên đã vắng mặt tháng này trong cột này" sqref="AH6" xr:uid="{00000000-0002-0000-0900-000002000000}"/>
    <dataValidation allowBlank="1" showInputMessage="1" showErrorMessage="1" prompt="Theo dõi sự vắng mặt trong Tháng Mười tại trang tính này" sqref="A1" xr:uid="{00000000-0002-0000-0900-000003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900-000004000000}"/>
    <dataValidation allowBlank="1" showInputMessage="1" showErrorMessage="1" prompt="Tiêu đề được cập nhật tự động nằm trong ô này. Để sửa đổi tiêu đề, cập nhật B1 trên trang tính Tháng Một" sqref="B1" xr:uid="{00000000-0002-0000-0900-000005000000}"/>
    <dataValidation allowBlank="1" showInputMessage="1" showErrorMessage="1" prompt="Chữ &quot;N&quot; cho biết vắng mặt do nghỉ phép" sqref="C2" xr:uid="{00000000-0002-0000-0900-000006000000}"/>
    <dataValidation allowBlank="1" showInputMessage="1" showErrorMessage="1" prompt="Chữ &quot;V&quot; cho biết vắng mặt do lý do cá nhân" sqref="G2" xr:uid="{00000000-0002-0000-0900-000007000000}"/>
    <dataValidation allowBlank="1" showInputMessage="1" showErrorMessage="1" prompt="Chữ &quot;Ô&quot; cho biết vắng mặt do ốm" sqref="K2" xr:uid="{00000000-0002-0000-0900-000008000000}"/>
    <dataValidation allowBlank="1" showInputMessage="1" showErrorMessage="1" prompt="Nhập một chữ cái rồi tùy chỉnh nhãn ở bên phải để thêm một mục khóa khác" sqref="N2 R2" xr:uid="{00000000-0002-0000-0900-000009000000}"/>
    <dataValidation allowBlank="1" showInputMessage="1" showErrorMessage="1" prompt="Nhập nhãn mô tả khóa tùy chỉnh ở bên trái" sqref="O2:Q2 S2:U2" xr:uid="{00000000-0002-0000-0900-00000A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900-00000B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900-00000C000000}"/>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9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E000000}">
          <x14:formula1>
            <xm:f>'Tên Nhân viên'!$B$4:$B$8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57</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TEXT(WEEKDAY(DATE(Năm_trên_Lịch,11,1),1),"ddd")</f>
        <v>T6</v>
      </c>
      <c r="D5" s="2" t="str">
        <f>TEXT(WEEKDAY(DATE(Năm_trên_Lịch,11,2),1),"ddd")</f>
        <v>T7</v>
      </c>
      <c r="E5" s="2" t="str">
        <f>TEXT(WEEKDAY(DATE(Năm_trên_Lịch,11,3),1),"ddd")</f>
        <v>CN</v>
      </c>
      <c r="F5" s="2" t="str">
        <f>TEXT(WEEKDAY(DATE(Năm_trên_Lịch,11,4),1),"ddd")</f>
        <v>T2</v>
      </c>
      <c r="G5" s="2" t="str">
        <f>TEXT(WEEKDAY(DATE(Năm_trên_Lịch,11,5),1),"ddd")</f>
        <v>T3</v>
      </c>
      <c r="H5" s="2" t="str">
        <f>TEXT(WEEKDAY(DATE(Năm_trên_Lịch,11,6),1),"ddd")</f>
        <v>T4</v>
      </c>
      <c r="I5" s="2" t="str">
        <f>TEXT(WEEKDAY(DATE(Năm_trên_Lịch,11,7),1),"ddd")</f>
        <v>T5</v>
      </c>
      <c r="J5" s="2" t="str">
        <f>TEXT(WEEKDAY(DATE(Năm_trên_Lịch,11,8),1),"ddd")</f>
        <v>T6</v>
      </c>
      <c r="K5" s="2" t="str">
        <f>TEXT(WEEKDAY(DATE(Năm_trên_Lịch,11,9),1),"ddd")</f>
        <v>T7</v>
      </c>
      <c r="L5" s="2" t="str">
        <f>TEXT(WEEKDAY(DATE(Năm_trên_Lịch,11,10),1),"ddd")</f>
        <v>CN</v>
      </c>
      <c r="M5" s="2" t="str">
        <f>TEXT(WEEKDAY(DATE(Năm_trên_Lịch,11,11),1),"ddd")</f>
        <v>T2</v>
      </c>
      <c r="N5" s="2" t="str">
        <f>TEXT(WEEKDAY(DATE(Năm_trên_Lịch,11,12),1),"ddd")</f>
        <v>T3</v>
      </c>
      <c r="O5" s="2" t="str">
        <f>TEXT(WEEKDAY(DATE(Năm_trên_Lịch,11,13),1),"ddd")</f>
        <v>T4</v>
      </c>
      <c r="P5" s="2" t="str">
        <f>TEXT(WEEKDAY(DATE(Năm_trên_Lịch,11,14),1),"ddd")</f>
        <v>T5</v>
      </c>
      <c r="Q5" s="2" t="str">
        <f>TEXT(WEEKDAY(DATE(Năm_trên_Lịch,11,15),1),"ddd")</f>
        <v>T6</v>
      </c>
      <c r="R5" s="2" t="str">
        <f>TEXT(WEEKDAY(DATE(Năm_trên_Lịch,11,16),1),"ddd")</f>
        <v>T7</v>
      </c>
      <c r="S5" s="2" t="str">
        <f>TEXT(WEEKDAY(DATE(Năm_trên_Lịch,11,17),1),"ddd")</f>
        <v>CN</v>
      </c>
      <c r="T5" s="2" t="str">
        <f>TEXT(WEEKDAY(DATE(Năm_trên_Lịch,11,18),1),"ddd")</f>
        <v>T2</v>
      </c>
      <c r="U5" s="2" t="str">
        <f>TEXT(WEEKDAY(DATE(Năm_trên_Lịch,11,19),1),"ddd")</f>
        <v>T3</v>
      </c>
      <c r="V5" s="2" t="str">
        <f>TEXT(WEEKDAY(DATE(Năm_trên_Lịch,11,20),1),"ddd")</f>
        <v>T4</v>
      </c>
      <c r="W5" s="2" t="str">
        <f>TEXT(WEEKDAY(DATE(Năm_trên_Lịch,11,21),1),"ddd")</f>
        <v>T5</v>
      </c>
      <c r="X5" s="2" t="str">
        <f>TEXT(WEEKDAY(DATE(Năm_trên_Lịch,11,22),1),"ddd")</f>
        <v>T6</v>
      </c>
      <c r="Y5" s="2" t="str">
        <f>TEXT(WEEKDAY(DATE(Năm_trên_Lịch,11,23),1),"ddd")</f>
        <v>T7</v>
      </c>
      <c r="Z5" s="2" t="str">
        <f>TEXT(WEEKDAY(DATE(Năm_trên_Lịch,11,24),1),"ddd")</f>
        <v>CN</v>
      </c>
      <c r="AA5" s="2" t="str">
        <f>TEXT(WEEKDAY(DATE(Năm_trên_Lịch,11,25),1),"ddd")</f>
        <v>T2</v>
      </c>
      <c r="AB5" s="2" t="str">
        <f>TEXT(WEEKDAY(DATE(Năm_trên_Lịch,11,26),1),"ddd")</f>
        <v>T3</v>
      </c>
      <c r="AC5" s="2" t="str">
        <f>TEXT(WEEKDAY(DATE(Năm_trên_Lịch,11,27),1),"ddd")</f>
        <v>T4</v>
      </c>
      <c r="AD5" s="2" t="str">
        <f>TEXT(WEEKDAY(DATE(Năm_trên_Lịch,11,28),1),"ddd")</f>
        <v>T5</v>
      </c>
      <c r="AE5" s="2" t="str">
        <f>TEXT(WEEKDAY(DATE(Năm_trên_Lịch,11,29),1),"ddd")</f>
        <v>T6</v>
      </c>
      <c r="AF5" s="2" t="str">
        <f>TEXT(WEEKDAY(DATE(Năm_trên_Lịch,11,30),1),"ddd")</f>
        <v>T7</v>
      </c>
      <c r="AG5" s="2"/>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52</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COUNTA(Tháng_Mười_Một[[#This Row],[1]:[30]])</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COUNTA(Tháng_Mười_Một[[#This Row],[1]:[30]])</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COUNTA(Tháng_Mười_Một[[#This Row],[1]:[30]])</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COUNTA(Tháng_Mười_Một[[#This Row],[1]:[30]])</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COUNTA(Tháng_Mười_Một[[#This Row],[1]:[30]])</f>
        <v>0</v>
      </c>
    </row>
    <row r="12" spans="2:34" ht="30" customHeight="1" x14ac:dyDescent="0.25">
      <c r="B12" s="17" t="str">
        <f>Tên_Tháng&amp;" Tổng"</f>
        <v>Tháng Mười Một Tổng</v>
      </c>
      <c r="C12" s="10">
        <f>SUBTOTAL(103,Tháng_Mười_Một[1])</f>
        <v>0</v>
      </c>
      <c r="D12" s="10">
        <f>SUBTOTAL(103,Tháng_Mười_Một[2])</f>
        <v>0</v>
      </c>
      <c r="E12" s="10">
        <f>SUBTOTAL(103,Tháng_Mười_Một[3])</f>
        <v>0</v>
      </c>
      <c r="F12" s="10">
        <f>SUBTOTAL(103,Tháng_Mười_Một[4])</f>
        <v>0</v>
      </c>
      <c r="G12" s="10">
        <f>SUBTOTAL(103,Tháng_Mười_Một[5])</f>
        <v>0</v>
      </c>
      <c r="H12" s="10">
        <f>SUBTOTAL(103,Tháng_Mười_Một[6])</f>
        <v>0</v>
      </c>
      <c r="I12" s="10">
        <f>SUBTOTAL(103,Tháng_Mười_Một[7])</f>
        <v>0</v>
      </c>
      <c r="J12" s="10">
        <f>SUBTOTAL(103,Tháng_Mười_Một[8])</f>
        <v>0</v>
      </c>
      <c r="K12" s="10">
        <f>SUBTOTAL(103,Tháng_Mười_Một[9])</f>
        <v>0</v>
      </c>
      <c r="L12" s="10">
        <f>SUBTOTAL(103,Tháng_Mười_Một[10])</f>
        <v>0</v>
      </c>
      <c r="M12" s="10">
        <f>SUBTOTAL(103,Tháng_Mười_Một[11])</f>
        <v>0</v>
      </c>
      <c r="N12" s="10">
        <f>SUBTOTAL(103,Tháng_Mười_Một[12])</f>
        <v>0</v>
      </c>
      <c r="O12" s="10">
        <f>SUBTOTAL(103,Tháng_Mười_Một[13])</f>
        <v>0</v>
      </c>
      <c r="P12" s="10">
        <f>SUBTOTAL(103,Tháng_Mười_Một[14])</f>
        <v>0</v>
      </c>
      <c r="Q12" s="10">
        <f>SUBTOTAL(103,Tháng_Mười_Một[15])</f>
        <v>0</v>
      </c>
      <c r="R12" s="10">
        <f>SUBTOTAL(103,Tháng_Mười_Một[16])</f>
        <v>0</v>
      </c>
      <c r="S12" s="10">
        <f>SUBTOTAL(103,Tháng_Mười_Một[17])</f>
        <v>0</v>
      </c>
      <c r="T12" s="10">
        <f>SUBTOTAL(103,Tháng_Mười_Một[18])</f>
        <v>0</v>
      </c>
      <c r="U12" s="10">
        <f>SUBTOTAL(103,Tháng_Mười_Một[19])</f>
        <v>0</v>
      </c>
      <c r="V12" s="10">
        <f>SUBTOTAL(103,Tháng_Mười_Một[20])</f>
        <v>0</v>
      </c>
      <c r="W12" s="10">
        <f>SUBTOTAL(103,Tháng_Mười_Một[21])</f>
        <v>0</v>
      </c>
      <c r="X12" s="10">
        <f>SUBTOTAL(103,Tháng_Mười_Một[22])</f>
        <v>0</v>
      </c>
      <c r="Y12" s="10">
        <f>SUBTOTAL(103,Tháng_Mười_Một[23])</f>
        <v>0</v>
      </c>
      <c r="Z12" s="10">
        <f>SUBTOTAL(103,Tháng_Mười_Một[24])</f>
        <v>0</v>
      </c>
      <c r="AA12" s="10">
        <f>SUBTOTAL(103,Tháng_Mười_Một[25])</f>
        <v>0</v>
      </c>
      <c r="AB12" s="10">
        <f>SUBTOTAL(103,Tháng_Mười_Một[26])</f>
        <v>0</v>
      </c>
      <c r="AC12" s="10">
        <f>SUBTOTAL(103,Tháng_Mười_Một[27])</f>
        <v>0</v>
      </c>
      <c r="AD12" s="10">
        <f>SUBTOTAL(103,Tháng_Mười_Một[28])</f>
        <v>0</v>
      </c>
      <c r="AE12" s="10">
        <f>SUBTOTAL(103,Tháng_Mười_Một[29])</f>
        <v>0</v>
      </c>
      <c r="AF12" s="10">
        <f>SUBTOTAL(103,Tháng_Mười_Một[30])</f>
        <v>0</v>
      </c>
      <c r="AG12" s="10">
        <f>SUBTOTAL(103,Tháng_Mười_Một[[ ]])</f>
        <v>0</v>
      </c>
      <c r="AH12" s="10">
        <f>SUBTOTAL(109,Tháng_Mười_Một[Tổng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148" priority="2" stopIfTrue="1">
      <formula>C7=Khóa_Tùy_chỉnh_2</formula>
    </cfRule>
    <cfRule type="expression" dxfId="147" priority="3" stopIfTrue="1">
      <formula>C7=Khóa_Tùy_chỉnh_1</formula>
    </cfRule>
    <cfRule type="expression" dxfId="146" priority="4" stopIfTrue="1">
      <formula>C7=Khóa_Ốm</formula>
    </cfRule>
    <cfRule type="expression" dxfId="145" priority="5" stopIfTrue="1">
      <formula>C7=Khóa_Việc_riêng</formula>
    </cfRule>
    <cfRule type="expression" dxfId="144"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{27D92E49-5CF1-46DF-AD7A-3A5E92F274F3}</x14:id>
        </ext>
      </extLst>
    </cfRule>
  </conditionalFormatting>
  <dataValidations count="14">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A00-000000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A00-000001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A00-000002000000}"/>
    <dataValidation allowBlank="1" showInputMessage="1" showErrorMessage="1" prompt="Nhập nhãn mô tả khóa tùy chỉnh ở bên trái" sqref="O2:Q2 S2:U2" xr:uid="{00000000-0002-0000-0A00-000003000000}"/>
    <dataValidation allowBlank="1" showInputMessage="1" showErrorMessage="1" prompt="Nhập một chữ cái rồi tùy chỉnh nhãn ở bên phải để thêm một mục khóa khác" sqref="N2 R2" xr:uid="{00000000-0002-0000-0A00-000004000000}"/>
    <dataValidation allowBlank="1" showInputMessage="1" showErrorMessage="1" prompt="Chữ &quot;Ô&quot; cho biết vắng mặt do ốm" sqref="K2" xr:uid="{00000000-0002-0000-0A00-000005000000}"/>
    <dataValidation allowBlank="1" showInputMessage="1" showErrorMessage="1" prompt="Chữ &quot;V&quot; cho biết vắng mặt do lý do cá nhân" sqref="G2" xr:uid="{00000000-0002-0000-0A00-000006000000}"/>
    <dataValidation allowBlank="1" showInputMessage="1" showErrorMessage="1" prompt="Chữ &quot;N&quot; cho biết vắng mặt do nghỉ phép" sqref="C2" xr:uid="{00000000-0002-0000-0A00-000007000000}"/>
    <dataValidation allowBlank="1" showInputMessage="1" showErrorMessage="1" prompt="Tiêu đề được cập nhật tự động nằm trong ô này. Để sửa đổi tiêu đề, cập nhật B1 trên trang tính Tháng Một" sqref="B1" xr:uid="{00000000-0002-0000-0A00-000008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A00-000009000000}"/>
    <dataValidation allowBlank="1" showInputMessage="1" showErrorMessage="1" prompt="Theo dõi sự vắng mặt trong Tháng Mười Một tại trang tính này" sqref="A1" xr:uid="{00000000-0002-0000-0A00-00000A000000}"/>
    <dataValidation allowBlank="1" showInputMessage="1" showErrorMessage="1" prompt="Tự động tính tổng số ngày một nhân viên đã vắng mặt tháng này trong cột này" sqref="AH6" xr:uid="{00000000-0002-0000-0A00-00000B000000}"/>
    <dataValidation allowBlank="1" showInputMessage="1" showErrorMessage="1" prompt="Năm được cập nhật tự động dựa trên năm đã nhập trong trang tính Tháng Một." sqref="AH4" xr:uid="{00000000-0002-0000-0A00-00000C000000}"/>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A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E000000}">
          <x14:formula1>
            <xm:f>'Tên Nhân viên'!$B$4:$B$8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58</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TEXT(WEEKDAY(DATE(Năm_trên_Lịch,12,1),1),"ddd")</f>
        <v>CN</v>
      </c>
      <c r="D5" s="2" t="str">
        <f>TEXT(WEEKDAY(DATE(Năm_trên_Lịch,12,2),1),"ddd")</f>
        <v>T2</v>
      </c>
      <c r="E5" s="2" t="str">
        <f>TEXT(WEEKDAY(DATE(Năm_trên_Lịch,12,3),1),"ddd")</f>
        <v>T3</v>
      </c>
      <c r="F5" s="2" t="str">
        <f>TEXT(WEEKDAY(DATE(Năm_trên_Lịch,12,4),1),"ddd")</f>
        <v>T4</v>
      </c>
      <c r="G5" s="2" t="str">
        <f>TEXT(WEEKDAY(DATE(Năm_trên_Lịch,12,5),1),"ddd")</f>
        <v>T5</v>
      </c>
      <c r="H5" s="2" t="str">
        <f>TEXT(WEEKDAY(DATE(Năm_trên_Lịch,12,6),1),"ddd")</f>
        <v>T6</v>
      </c>
      <c r="I5" s="2" t="str">
        <f>TEXT(WEEKDAY(DATE(Năm_trên_Lịch,12,7),1),"ddd")</f>
        <v>T7</v>
      </c>
      <c r="J5" s="2" t="str">
        <f>TEXT(WEEKDAY(DATE(Năm_trên_Lịch,12,8),1),"ddd")</f>
        <v>CN</v>
      </c>
      <c r="K5" s="2" t="str">
        <f>TEXT(WEEKDAY(DATE(Năm_trên_Lịch,12,9),1),"ddd")</f>
        <v>T2</v>
      </c>
      <c r="L5" s="2" t="str">
        <f>TEXT(WEEKDAY(DATE(Năm_trên_Lịch,12,10),1),"ddd")</f>
        <v>T3</v>
      </c>
      <c r="M5" s="2" t="str">
        <f>TEXT(WEEKDAY(DATE(Năm_trên_Lịch,12,11),1),"ddd")</f>
        <v>T4</v>
      </c>
      <c r="N5" s="2" t="str">
        <f>TEXT(WEEKDAY(DATE(Năm_trên_Lịch,12,12),1),"ddd")</f>
        <v>T5</v>
      </c>
      <c r="O5" s="2" t="str">
        <f>TEXT(WEEKDAY(DATE(Năm_trên_Lịch,12,13),1),"ddd")</f>
        <v>T6</v>
      </c>
      <c r="P5" s="2" t="str">
        <f>TEXT(WEEKDAY(DATE(Năm_trên_Lịch,12,14),1),"ddd")</f>
        <v>T7</v>
      </c>
      <c r="Q5" s="2" t="str">
        <f>TEXT(WEEKDAY(DATE(Năm_trên_Lịch,12,15),1),"ddd")</f>
        <v>CN</v>
      </c>
      <c r="R5" s="2" t="str">
        <f>TEXT(WEEKDAY(DATE(Năm_trên_Lịch,12,16),1),"ddd")</f>
        <v>T2</v>
      </c>
      <c r="S5" s="2" t="str">
        <f>TEXT(WEEKDAY(DATE(Năm_trên_Lịch,12,17),1),"ddd")</f>
        <v>T3</v>
      </c>
      <c r="T5" s="2" t="str">
        <f>TEXT(WEEKDAY(DATE(Năm_trên_Lịch,12,18),1),"ddd")</f>
        <v>T4</v>
      </c>
      <c r="U5" s="2" t="str">
        <f>TEXT(WEEKDAY(DATE(Năm_trên_Lịch,12,19),1),"ddd")</f>
        <v>T5</v>
      </c>
      <c r="V5" s="2" t="str">
        <f>TEXT(WEEKDAY(DATE(Năm_trên_Lịch,12,20),1),"ddd")</f>
        <v>T6</v>
      </c>
      <c r="W5" s="2" t="str">
        <f>TEXT(WEEKDAY(DATE(Năm_trên_Lịch,12,21),1),"ddd")</f>
        <v>T7</v>
      </c>
      <c r="X5" s="2" t="str">
        <f>TEXT(WEEKDAY(DATE(Năm_trên_Lịch,12,22),1),"ddd")</f>
        <v>CN</v>
      </c>
      <c r="Y5" s="2" t="str">
        <f>TEXT(WEEKDAY(DATE(Năm_trên_Lịch,12,23),1),"ddd")</f>
        <v>T2</v>
      </c>
      <c r="Z5" s="2" t="str">
        <f>TEXT(WEEKDAY(DATE(Năm_trên_Lịch,12,24),1),"ddd")</f>
        <v>T3</v>
      </c>
      <c r="AA5" s="2" t="str">
        <f>TEXT(WEEKDAY(DATE(Năm_trên_Lịch,12,25),1),"ddd")</f>
        <v>T4</v>
      </c>
      <c r="AB5" s="2" t="str">
        <f>TEXT(WEEKDAY(DATE(Năm_trên_Lịch,12,26),1),"ddd")</f>
        <v>T5</v>
      </c>
      <c r="AC5" s="2" t="str">
        <f>TEXT(WEEKDAY(DATE(Năm_trên_Lịch,12,27),1),"ddd")</f>
        <v>T6</v>
      </c>
      <c r="AD5" s="2" t="str">
        <f>TEXT(WEEKDAY(DATE(Năm_trên_Lịch,12,28),1),"ddd")</f>
        <v>T7</v>
      </c>
      <c r="AE5" s="2" t="str">
        <f>TEXT(WEEKDAY(DATE(Năm_trên_Lịch,12,29),1),"ddd")</f>
        <v>CN</v>
      </c>
      <c r="AF5" s="2" t="str">
        <f>TEXT(WEEKDAY(DATE(Năm_trên_Lịch,12,30),1),"ddd")</f>
        <v>T2</v>
      </c>
      <c r="AG5" s="2" t="str">
        <f>TEXT(WEEKDAY(DATE(Năm_trên_Lịch,12,31),1),"ddd")</f>
        <v>T3</v>
      </c>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48</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COUNTA(Tháng_Mười_Hai[[#This Row],[1]:[31]])</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COUNTA(Tháng_Mười_Hai[[#This Row],[1]:[31]])</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COUNTA(Tháng_Mười_Hai[[#This Row],[1]:[31]])</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COUNTA(Tháng_Mười_Hai[[#This Row],[1]:[31]])</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COUNTA(Tháng_Mười_Hai[[#This Row],[1]:[31]])</f>
        <v>0</v>
      </c>
    </row>
    <row r="12" spans="2:34" ht="30" customHeight="1" x14ac:dyDescent="0.25">
      <c r="B12" s="17" t="str">
        <f>Tên_Tháng&amp;" Tổng"</f>
        <v>Tháng Mười Hai Tổng</v>
      </c>
      <c r="C12" s="10">
        <f>SUBTOTAL(103,Tháng_Mười_Hai[1])</f>
        <v>0</v>
      </c>
      <c r="D12" s="10">
        <f>SUBTOTAL(103,Tháng_Mười_Hai[2])</f>
        <v>0</v>
      </c>
      <c r="E12" s="10">
        <f>SUBTOTAL(103,Tháng_Mười_Hai[3])</f>
        <v>0</v>
      </c>
      <c r="F12" s="10">
        <f>SUBTOTAL(103,Tháng_Mười_Hai[4])</f>
        <v>0</v>
      </c>
      <c r="G12" s="10">
        <f>SUBTOTAL(103,Tháng_Mười_Hai[5])</f>
        <v>0</v>
      </c>
      <c r="H12" s="10">
        <f>SUBTOTAL(103,Tháng_Mười_Hai[6])</f>
        <v>0</v>
      </c>
      <c r="I12" s="10">
        <f>SUBTOTAL(103,Tháng_Mười_Hai[7])</f>
        <v>0</v>
      </c>
      <c r="J12" s="10">
        <f>SUBTOTAL(103,Tháng_Mười_Hai[8])</f>
        <v>0</v>
      </c>
      <c r="K12" s="10">
        <f>SUBTOTAL(103,Tháng_Mười_Hai[9])</f>
        <v>0</v>
      </c>
      <c r="L12" s="10">
        <f>SUBTOTAL(103,Tháng_Mười_Hai[10])</f>
        <v>0</v>
      </c>
      <c r="M12" s="10">
        <f>SUBTOTAL(103,Tháng_Mười_Hai[11])</f>
        <v>0</v>
      </c>
      <c r="N12" s="10">
        <f>SUBTOTAL(103,Tháng_Mười_Hai[12])</f>
        <v>0</v>
      </c>
      <c r="O12" s="10">
        <f>SUBTOTAL(103,Tháng_Mười_Hai[13])</f>
        <v>0</v>
      </c>
      <c r="P12" s="10">
        <f>SUBTOTAL(103,Tháng_Mười_Hai[14])</f>
        <v>0</v>
      </c>
      <c r="Q12" s="10">
        <f>SUBTOTAL(103,Tháng_Mười_Hai[15])</f>
        <v>0</v>
      </c>
      <c r="R12" s="10">
        <f>SUBTOTAL(103,Tháng_Mười_Hai[16])</f>
        <v>0</v>
      </c>
      <c r="S12" s="10">
        <f>SUBTOTAL(103,Tháng_Mười_Hai[17])</f>
        <v>0</v>
      </c>
      <c r="T12" s="10">
        <f>SUBTOTAL(103,Tháng_Mười_Hai[18])</f>
        <v>0</v>
      </c>
      <c r="U12" s="10">
        <f>SUBTOTAL(103,Tháng_Mười_Hai[19])</f>
        <v>0</v>
      </c>
      <c r="V12" s="10">
        <f>SUBTOTAL(103,Tháng_Mười_Hai[20])</f>
        <v>0</v>
      </c>
      <c r="W12" s="10">
        <f>SUBTOTAL(103,Tháng_Mười_Hai[21])</f>
        <v>0</v>
      </c>
      <c r="X12" s="10">
        <f>SUBTOTAL(103,Tháng_Mười_Hai[22])</f>
        <v>0</v>
      </c>
      <c r="Y12" s="10">
        <f>SUBTOTAL(103,Tháng_Mười_Hai[23])</f>
        <v>0</v>
      </c>
      <c r="Z12" s="10">
        <f>SUBTOTAL(103,Tháng_Mười_Hai[24])</f>
        <v>0</v>
      </c>
      <c r="AA12" s="10">
        <f>SUBTOTAL(103,Tháng_Mười_Hai[25])</f>
        <v>0</v>
      </c>
      <c r="AB12" s="10">
        <f>SUBTOTAL(103,Tháng_Mười_Hai[26])</f>
        <v>0</v>
      </c>
      <c r="AC12" s="10">
        <f>SUBTOTAL(103,Tháng_Mười_Hai[27])</f>
        <v>0</v>
      </c>
      <c r="AD12" s="10">
        <f>SUBTOTAL(103,Tháng_Mười_Hai[28])</f>
        <v>0</v>
      </c>
      <c r="AE12" s="10">
        <f>SUBTOTAL(103,Tháng_Mười_Hai[29])</f>
        <v>0</v>
      </c>
      <c r="AF12" s="10">
        <f>SUBTOTAL(103,Tháng_Mười_Hai[30])</f>
        <v>0</v>
      </c>
      <c r="AG12" s="10">
        <f>SUBTOTAL(103,Tháng_Mười_Hai[31])</f>
        <v>0</v>
      </c>
      <c r="AH12" s="10">
        <f>SUBTOTAL(109,Tháng_Mười_Hai[Tổng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74" priority="2" stopIfTrue="1">
      <formula>C7=Khóa_Tùy_chỉnh_2</formula>
    </cfRule>
    <cfRule type="expression" dxfId="73" priority="3" stopIfTrue="1">
      <formula>C7=Khóa_Tùy_chỉnh_1</formula>
    </cfRule>
    <cfRule type="expression" dxfId="72" priority="4" stopIfTrue="1">
      <formula>C7=Khóa_Ốm</formula>
    </cfRule>
    <cfRule type="expression" dxfId="71" priority="5" stopIfTrue="1">
      <formula>C7=Khóa_Việc_riêng</formula>
    </cfRule>
    <cfRule type="expression" dxfId="70" priority="6" stopIfTrue="1">
      <formula>C7=Khóa_Nghỉ_phép</formula>
    </cfRule>
  </conditionalFormatting>
  <conditionalFormatting sqref="AH7:AH11">
    <cfRule type="dataBar" priority="30">
      <dataBar>
        <cfvo type="min"/>
        <cfvo type="formula" val="DATEDIF(DATE(Năm_trên_Lịch,2,1),DATE(Năm_trên_Lịch,3,1),&quot;d&quot;)"/>
        <color theme="2" tint="-0.249977111117893"/>
      </dataBar>
      <extLst>
        <ext xmlns:x14="http://schemas.microsoft.com/office/spreadsheetml/2009/9/main" uri="{B025F937-C7B1-47D3-B67F-A62EFF666E3E}">
          <x14:id>{17586780-365B-4F4C-BBB4-F5991705D361}</x14:id>
        </ext>
      </extLst>
    </cfRule>
  </conditionalFormatting>
  <dataValidations count="14">
    <dataValidation allowBlank="1" showInputMessage="1" showErrorMessage="1" prompt="Năm được cập nhật tự động dựa trên năm đã nhập trong trang tính Tháng Một." sqref="AH4" xr:uid="{00000000-0002-0000-0B00-000000000000}"/>
    <dataValidation allowBlank="1" showInputMessage="1" showErrorMessage="1" prompt="Tự động tính tổng số ngày một nhân viên đã vắng mặt tháng này trong cột này" sqref="AH6" xr:uid="{00000000-0002-0000-0B00-000001000000}"/>
    <dataValidation allowBlank="1" showInputMessage="1" showErrorMessage="1" prompt="Theo dõi sự vắng mặt trong Tháng Mười Hai tại trang tính này" sqref="A1" xr:uid="{00000000-0002-0000-0B00-000002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B00-000003000000}"/>
    <dataValidation allowBlank="1" showInputMessage="1" showErrorMessage="1" prompt="Tiêu đề được cập nhật tự động nằm trong ô này. Để sửa đổi tiêu đề, cập nhật B1 trên trang tính Tháng Một" sqref="B1" xr:uid="{00000000-0002-0000-0B00-000004000000}"/>
    <dataValidation allowBlank="1" showInputMessage="1" showErrorMessage="1" prompt="Chữ &quot;N&quot; cho biết vắng mặt do nghỉ phép" sqref="C2" xr:uid="{00000000-0002-0000-0B00-000005000000}"/>
    <dataValidation allowBlank="1" showInputMessage="1" showErrorMessage="1" prompt="Chữ &quot;V&quot; cho biết vắng mặt do lý do cá nhân" sqref="G2" xr:uid="{00000000-0002-0000-0B00-000006000000}"/>
    <dataValidation allowBlank="1" showInputMessage="1" showErrorMessage="1" prompt="Chữ &quot;Ô&quot; cho biết vắng mặt do ốm" sqref="K2" xr:uid="{00000000-0002-0000-0B00-000007000000}"/>
    <dataValidation allowBlank="1" showInputMessage="1" showErrorMessage="1" prompt="Nhập một chữ cái rồi tùy chỉnh nhãn ở bên phải để thêm một mục khóa khác" sqref="N2 R2" xr:uid="{00000000-0002-0000-0B00-000008000000}"/>
    <dataValidation allowBlank="1" showInputMessage="1" showErrorMessage="1" prompt="Nhập nhãn mô tả khóa tùy chỉnh ở bên trái" sqref="O2:Q2 S2:U2" xr:uid="{00000000-0002-0000-0B00-000009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B00-00000A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B00-00000B000000}"/>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B00-00000C000000}"/>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B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E000000}">
          <x14:formula1>
            <xm:f>'Tên Nhân viên'!$B$4:$B$8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B1:B8"/>
  <sheetViews>
    <sheetView showGridLines="0" workbookViewId="0"/>
  </sheetViews>
  <sheetFormatPr defaultRowHeight="30" customHeight="1" x14ac:dyDescent="0.25"/>
  <cols>
    <col min="1" max="1" width="2.7109375" customWidth="1"/>
    <col min="2" max="2" width="30.7109375" customWidth="1"/>
    <col min="3" max="3" width="2.7109375" customWidth="1"/>
  </cols>
  <sheetData>
    <row r="1" spans="2:2" ht="50.1" customHeight="1" x14ac:dyDescent="0.25">
      <c r="B1" s="11" t="s">
        <v>3</v>
      </c>
    </row>
    <row r="2" spans="2:2" ht="15" customHeight="1" x14ac:dyDescent="0.25"/>
    <row r="3" spans="2:2" ht="30" customHeight="1" x14ac:dyDescent="0.25">
      <c r="B3" t="s">
        <v>3</v>
      </c>
    </row>
    <row r="4" spans="2:2" ht="30" customHeight="1" x14ac:dyDescent="0.25">
      <c r="B4" s="1" t="s">
        <v>4</v>
      </c>
    </row>
    <row r="5" spans="2:2" ht="30" customHeight="1" x14ac:dyDescent="0.25">
      <c r="B5" s="1" t="s">
        <v>5</v>
      </c>
    </row>
    <row r="6" spans="2:2" ht="30" customHeight="1" x14ac:dyDescent="0.25">
      <c r="B6" s="1" t="s">
        <v>6</v>
      </c>
    </row>
    <row r="7" spans="2:2" ht="30" customHeight="1" x14ac:dyDescent="0.25">
      <c r="B7" s="1" t="s">
        <v>7</v>
      </c>
    </row>
    <row r="8" spans="2:2" ht="30" customHeight="1" x14ac:dyDescent="0.25">
      <c r="B8" s="1" t="s">
        <v>8</v>
      </c>
    </row>
  </sheetData>
  <dataValidations count="3">
    <dataValidation allowBlank="1" showInputMessage="1" showErrorMessage="1" prompt="Tiêu đề tên nhân viên" sqref="B1" xr:uid="{00000000-0002-0000-0C00-000000000000}"/>
    <dataValidation allowBlank="1" showInputMessage="1" showErrorMessage="1" prompt="Nhập tên nhân viên vào bảng tên nhân viên trong trang tính này. Các tên này được sử dụng làm tùy chọn ở cột B của bảng vắng mặt mỗi tháng" sqref="A1" xr:uid="{00000000-0002-0000-0C00-000001000000}"/>
    <dataValidation allowBlank="1" showInputMessage="1" showErrorMessage="1" prompt="Nhập tên nhân viên vào cột này" sqref="B3" xr:uid="{00000000-0002-0000-0C00-000002000000}"/>
  </dataValidations>
  <pageMargins left="0.7" right="0.7" top="0.75" bottom="0.75" header="0.3" footer="0.3"/>
  <pageSetup paperSize="9"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B1:AH12"/>
  <sheetViews>
    <sheetView showGridLines="0" zoomScaleNormal="100" workbookViewId="0"/>
  </sheetViews>
  <sheetFormatPr defaultColWidth="9.140625"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row r="4" spans="2:34" ht="30" customHeight="1" x14ac:dyDescent="0.25">
      <c r="B4" s="9" t="s">
        <v>51</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TEXT(WEEKDAY(DATE(Năm_trên_Lịch,2,1),1),"ddd")</f>
        <v>T6</v>
      </c>
      <c r="D5" s="2" t="str">
        <f>TEXT(WEEKDAY(DATE(Năm_trên_Lịch,2,2),1),"ddd")</f>
        <v>T7</v>
      </c>
      <c r="E5" s="2" t="str">
        <f>TEXT(WEEKDAY(DATE(Năm_trên_Lịch,2,3),1),"ddd")</f>
        <v>CN</v>
      </c>
      <c r="F5" s="2" t="str">
        <f>TEXT(WEEKDAY(DATE(Năm_trên_Lịch,2,4),1),"ddd")</f>
        <v>T2</v>
      </c>
      <c r="G5" s="2" t="str">
        <f>TEXT(WEEKDAY(DATE(Năm_trên_Lịch,2,5),1),"ddd")</f>
        <v>T3</v>
      </c>
      <c r="H5" s="2" t="str">
        <f>TEXT(WEEKDAY(DATE(Năm_trên_Lịch,2,6),1),"ddd")</f>
        <v>T4</v>
      </c>
      <c r="I5" s="2" t="str">
        <f>TEXT(WEEKDAY(DATE(Năm_trên_Lịch,2,7),1),"ddd")</f>
        <v>T5</v>
      </c>
      <c r="J5" s="2" t="str">
        <f>TEXT(WEEKDAY(DATE(Năm_trên_Lịch,2,8),1),"ddd")</f>
        <v>T6</v>
      </c>
      <c r="K5" s="2" t="str">
        <f>TEXT(WEEKDAY(DATE(Năm_trên_Lịch,2,9),1),"ddd")</f>
        <v>T7</v>
      </c>
      <c r="L5" s="2" t="str">
        <f>TEXT(WEEKDAY(DATE(Năm_trên_Lịch,2,10),1),"ddd")</f>
        <v>CN</v>
      </c>
      <c r="M5" s="2" t="str">
        <f>TEXT(WEEKDAY(DATE(Năm_trên_Lịch,2,11),1),"ddd")</f>
        <v>T2</v>
      </c>
      <c r="N5" s="2" t="str">
        <f>TEXT(WEEKDAY(DATE(Năm_trên_Lịch,2,12),1),"ddd")</f>
        <v>T3</v>
      </c>
      <c r="O5" s="2" t="str">
        <f>TEXT(WEEKDAY(DATE(Năm_trên_Lịch,2,13),1),"ddd")</f>
        <v>T4</v>
      </c>
      <c r="P5" s="2" t="str">
        <f>TEXT(WEEKDAY(DATE(Năm_trên_Lịch,2,14),1),"ddd")</f>
        <v>T5</v>
      </c>
      <c r="Q5" s="2" t="str">
        <f>TEXT(WEEKDAY(DATE(Năm_trên_Lịch,2,15),1),"ddd")</f>
        <v>T6</v>
      </c>
      <c r="R5" s="2" t="str">
        <f>TEXT(WEEKDAY(DATE(Năm_trên_Lịch,2,16),1),"ddd")</f>
        <v>T7</v>
      </c>
      <c r="S5" s="2" t="str">
        <f>TEXT(WEEKDAY(DATE(Năm_trên_Lịch,2,17),1),"ddd")</f>
        <v>CN</v>
      </c>
      <c r="T5" s="2" t="str">
        <f>TEXT(WEEKDAY(DATE(Năm_trên_Lịch,2,18),1),"ddd")</f>
        <v>T2</v>
      </c>
      <c r="U5" s="2" t="str">
        <f>TEXT(WEEKDAY(DATE(Năm_trên_Lịch,2,19),1),"ddd")</f>
        <v>T3</v>
      </c>
      <c r="V5" s="2" t="str">
        <f>TEXT(WEEKDAY(DATE(Năm_trên_Lịch,2,20),1),"ddd")</f>
        <v>T4</v>
      </c>
      <c r="W5" s="2" t="str">
        <f>TEXT(WEEKDAY(DATE(Năm_trên_Lịch,2,21),1),"ddd")</f>
        <v>T5</v>
      </c>
      <c r="X5" s="2" t="str">
        <f>TEXT(WEEKDAY(DATE(Năm_trên_Lịch,2,22),1),"ddd")</f>
        <v>T6</v>
      </c>
      <c r="Y5" s="2" t="str">
        <f>TEXT(WEEKDAY(DATE(Năm_trên_Lịch,2,23),1),"ddd")</f>
        <v>T7</v>
      </c>
      <c r="Z5" s="2" t="str">
        <f>TEXT(WEEKDAY(DATE(Năm_trên_Lịch,2,24),1),"ddd")</f>
        <v>CN</v>
      </c>
      <c r="AA5" s="2" t="str">
        <f>TEXT(WEEKDAY(DATE(Năm_trên_Lịch,2,25),1),"ddd")</f>
        <v>T2</v>
      </c>
      <c r="AB5" s="2" t="str">
        <f>TEXT(WEEKDAY(DATE(Năm_trên_Lịch,2,26),1),"ddd")</f>
        <v>T3</v>
      </c>
      <c r="AC5" s="2" t="str">
        <f>TEXT(WEEKDAY(DATE(Năm_trên_Lịch,2,27),1),"ddd")</f>
        <v>T4</v>
      </c>
      <c r="AD5" s="2" t="str">
        <f>TEXT(WEEKDAY(DATE(Năm_trên_Lịch,2,28),1),"ddd")</f>
        <v>T5</v>
      </c>
      <c r="AE5" s="2" t="str">
        <f>TEXT(WEEKDAY(DATE(Năm_trên_Lịch,2,29),1),"ddd")</f>
        <v>T6</v>
      </c>
      <c r="AF5" s="2"/>
      <c r="AG5" s="2"/>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52</v>
      </c>
      <c r="AG6" s="2" t="s">
        <v>53</v>
      </c>
      <c r="AH6" s="13" t="s">
        <v>50</v>
      </c>
    </row>
    <row r="7" spans="2:34" ht="30" customHeight="1" x14ac:dyDescent="0.25">
      <c r="B7" s="1" t="s">
        <v>4</v>
      </c>
      <c r="C7" s="2"/>
      <c r="D7" s="2"/>
      <c r="E7" s="2" t="s">
        <v>9</v>
      </c>
      <c r="F7" s="2" t="s">
        <v>9</v>
      </c>
      <c r="G7" s="2" t="s">
        <v>9</v>
      </c>
      <c r="H7" s="2" t="s">
        <v>9</v>
      </c>
      <c r="I7" s="2"/>
      <c r="J7" s="2"/>
      <c r="K7" s="2"/>
      <c r="L7" s="2"/>
      <c r="M7" s="2"/>
      <c r="N7" s="2"/>
      <c r="O7" s="2" t="s">
        <v>9</v>
      </c>
      <c r="P7" s="2"/>
      <c r="Q7" s="2"/>
      <c r="R7" s="2"/>
      <c r="S7" s="2"/>
      <c r="T7" s="2"/>
      <c r="U7" s="2"/>
      <c r="V7" s="2"/>
      <c r="W7" s="2"/>
      <c r="X7" s="2"/>
      <c r="Y7" s="2"/>
      <c r="Z7" s="2"/>
      <c r="AA7" s="2"/>
      <c r="AB7" s="2"/>
      <c r="AC7" s="2"/>
      <c r="AD7" s="2"/>
      <c r="AE7" s="2"/>
      <c r="AF7" s="2"/>
      <c r="AG7" s="2"/>
      <c r="AH7" s="8">
        <f>COUNTA(Tháng_Hai[[#This Row],[1]:[29]])</f>
        <v>5</v>
      </c>
    </row>
    <row r="8" spans="2:34" ht="30" customHeight="1" x14ac:dyDescent="0.25">
      <c r="B8" s="1" t="s">
        <v>5</v>
      </c>
      <c r="C8" s="2"/>
      <c r="D8" s="2"/>
      <c r="E8" s="2"/>
      <c r="F8" s="2"/>
      <c r="G8" s="2" t="s">
        <v>17</v>
      </c>
      <c r="H8" s="2" t="s">
        <v>17</v>
      </c>
      <c r="I8" s="2"/>
      <c r="J8" s="2"/>
      <c r="K8" s="2"/>
      <c r="L8" s="2"/>
      <c r="M8" s="2" t="s">
        <v>15</v>
      </c>
      <c r="N8" s="2"/>
      <c r="O8" s="2"/>
      <c r="P8" s="2"/>
      <c r="Q8" s="2"/>
      <c r="R8" s="2"/>
      <c r="S8" s="2"/>
      <c r="T8" s="2"/>
      <c r="U8" s="2"/>
      <c r="V8" s="2" t="s">
        <v>17</v>
      </c>
      <c r="W8" s="2"/>
      <c r="X8" s="2"/>
      <c r="Y8" s="2"/>
      <c r="Z8" s="2"/>
      <c r="AA8" s="2" t="s">
        <v>9</v>
      </c>
      <c r="AB8" s="2" t="s">
        <v>9</v>
      </c>
      <c r="AC8" s="2" t="s">
        <v>9</v>
      </c>
      <c r="AD8" s="2"/>
      <c r="AE8" s="2"/>
      <c r="AF8" s="2"/>
      <c r="AG8" s="2"/>
      <c r="AH8" s="8">
        <f>COUNTA(Tháng_Hai[[#This Row],[1]:[29]])</f>
        <v>7</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COUNTA(Tháng_Hai[[#This Row],[1]:[29]])</f>
        <v>0</v>
      </c>
    </row>
    <row r="10" spans="2:34" ht="30" customHeight="1" x14ac:dyDescent="0.25">
      <c r="B10" s="1" t="s">
        <v>7</v>
      </c>
      <c r="C10" s="2"/>
      <c r="D10" s="2"/>
      <c r="E10" s="2" t="s">
        <v>17</v>
      </c>
      <c r="F10" s="2"/>
      <c r="G10" s="2"/>
      <c r="H10" s="2"/>
      <c r="I10" s="2"/>
      <c r="J10" s="2"/>
      <c r="K10" s="2"/>
      <c r="L10" s="2"/>
      <c r="M10" s="2"/>
      <c r="N10" s="2"/>
      <c r="O10" s="2"/>
      <c r="P10" s="2" t="s">
        <v>17</v>
      </c>
      <c r="Q10" s="2"/>
      <c r="R10" s="2"/>
      <c r="S10" s="2"/>
      <c r="T10" s="2" t="s">
        <v>15</v>
      </c>
      <c r="U10" s="2"/>
      <c r="V10" s="2"/>
      <c r="W10" s="2"/>
      <c r="X10" s="2"/>
      <c r="Y10" s="2"/>
      <c r="Z10" s="2"/>
      <c r="AA10" s="2"/>
      <c r="AB10" s="2"/>
      <c r="AC10" s="2"/>
      <c r="AD10" s="2" t="s">
        <v>17</v>
      </c>
      <c r="AE10" s="2"/>
      <c r="AF10" s="2"/>
      <c r="AG10" s="2"/>
      <c r="AH10" s="8">
        <f>COUNTA(Tháng_Hai[[#This Row],[1]:[29]])</f>
        <v>4</v>
      </c>
    </row>
    <row r="11" spans="2:34" ht="30" customHeight="1" x14ac:dyDescent="0.25">
      <c r="B11" s="1" t="s">
        <v>8</v>
      </c>
      <c r="C11" s="2"/>
      <c r="D11" s="2"/>
      <c r="E11" s="2"/>
      <c r="F11" s="2"/>
      <c r="G11" s="2"/>
      <c r="H11" s="2"/>
      <c r="I11" s="2"/>
      <c r="J11" s="2" t="s">
        <v>9</v>
      </c>
      <c r="K11" s="2" t="s">
        <v>9</v>
      </c>
      <c r="L11" s="2" t="s">
        <v>9</v>
      </c>
      <c r="M11" s="2" t="s">
        <v>9</v>
      </c>
      <c r="N11" s="2"/>
      <c r="O11" s="2"/>
      <c r="P11" s="2"/>
      <c r="Q11" s="2"/>
      <c r="R11" s="2"/>
      <c r="S11" s="2"/>
      <c r="T11" s="2"/>
      <c r="U11" s="2"/>
      <c r="V11" s="2"/>
      <c r="W11" s="2"/>
      <c r="X11" s="2"/>
      <c r="Y11" s="2"/>
      <c r="Z11" s="2" t="s">
        <v>17</v>
      </c>
      <c r="AA11" s="2"/>
      <c r="AB11" s="2"/>
      <c r="AC11" s="2"/>
      <c r="AD11" s="2"/>
      <c r="AE11" s="2"/>
      <c r="AF11" s="2"/>
      <c r="AG11" s="2"/>
      <c r="AH11" s="8">
        <f>COUNTA(Tháng_Hai[[#This Row],[1]:[29]])</f>
        <v>5</v>
      </c>
    </row>
    <row r="12" spans="2:34" ht="30" customHeight="1" x14ac:dyDescent="0.25">
      <c r="B12" s="17" t="str">
        <f>Tên_Tháng&amp;" Tổng"</f>
        <v>Tháng Hai Tổng</v>
      </c>
      <c r="C12" s="10">
        <f>SUBTOTAL(103,Tháng_Hai[1])</f>
        <v>0</v>
      </c>
      <c r="D12" s="10">
        <f>SUBTOTAL(103,Tháng_Hai[2])</f>
        <v>0</v>
      </c>
      <c r="E12" s="10">
        <f>SUBTOTAL(103,Tháng_Hai[3])</f>
        <v>2</v>
      </c>
      <c r="F12" s="10">
        <f>SUBTOTAL(103,Tháng_Hai[4])</f>
        <v>1</v>
      </c>
      <c r="G12" s="10">
        <f>SUBTOTAL(103,Tháng_Hai[5])</f>
        <v>2</v>
      </c>
      <c r="H12" s="10">
        <f>SUBTOTAL(103,Tháng_Hai[6])</f>
        <v>2</v>
      </c>
      <c r="I12" s="10">
        <f>SUBTOTAL(103,Tháng_Hai[7])</f>
        <v>0</v>
      </c>
      <c r="J12" s="10">
        <f>SUBTOTAL(103,Tháng_Hai[8])</f>
        <v>1</v>
      </c>
      <c r="K12" s="10">
        <f>SUBTOTAL(103,Tháng_Hai[9])</f>
        <v>1</v>
      </c>
      <c r="L12" s="10">
        <f>SUBTOTAL(103,Tháng_Hai[10])</f>
        <v>1</v>
      </c>
      <c r="M12" s="10">
        <f>SUBTOTAL(103,Tháng_Hai[11])</f>
        <v>2</v>
      </c>
      <c r="N12" s="10">
        <f>SUBTOTAL(103,Tháng_Hai[12])</f>
        <v>0</v>
      </c>
      <c r="O12" s="10">
        <f>SUBTOTAL(103,Tháng_Hai[13])</f>
        <v>1</v>
      </c>
      <c r="P12" s="10">
        <f>SUBTOTAL(103,Tháng_Hai[14])</f>
        <v>1</v>
      </c>
      <c r="Q12" s="10">
        <f>SUBTOTAL(103,Tháng_Hai[15])</f>
        <v>0</v>
      </c>
      <c r="R12" s="10">
        <f>SUBTOTAL(103,Tháng_Hai[16])</f>
        <v>0</v>
      </c>
      <c r="S12" s="10">
        <f>SUBTOTAL(103,Tháng_Hai[17])</f>
        <v>0</v>
      </c>
      <c r="T12" s="10">
        <f>SUBTOTAL(103,Tháng_Hai[18])</f>
        <v>1</v>
      </c>
      <c r="U12" s="10">
        <f>SUBTOTAL(103,Tháng_Hai[19])</f>
        <v>0</v>
      </c>
      <c r="V12" s="10">
        <f>SUBTOTAL(103,Tháng_Hai[20])</f>
        <v>1</v>
      </c>
      <c r="W12" s="10">
        <f>SUBTOTAL(103,Tháng_Hai[21])</f>
        <v>0</v>
      </c>
      <c r="X12" s="10">
        <f>SUBTOTAL(103,Tháng_Hai[22])</f>
        <v>0</v>
      </c>
      <c r="Y12" s="10">
        <f>SUBTOTAL(103,Tháng_Hai[23])</f>
        <v>0</v>
      </c>
      <c r="Z12" s="10">
        <f>SUBTOTAL(103,Tháng_Hai[24])</f>
        <v>1</v>
      </c>
      <c r="AA12" s="10">
        <f>SUBTOTAL(103,Tháng_Hai[25])</f>
        <v>1</v>
      </c>
      <c r="AB12" s="10">
        <f>SUBTOTAL(103,Tháng_Hai[26])</f>
        <v>1</v>
      </c>
      <c r="AC12" s="10">
        <f>SUBTOTAL(103,Tháng_Hai[27])</f>
        <v>1</v>
      </c>
      <c r="AD12" s="10">
        <f>SUBTOTAL(103,Tháng_Hai[28])</f>
        <v>1</v>
      </c>
      <c r="AE12" s="10">
        <f>SUBTOTAL(103,Tháng_Hai[29])</f>
        <v>0</v>
      </c>
      <c r="AF12" s="10"/>
      <c r="AG12" s="10"/>
      <c r="AH12" s="10">
        <f>SUBTOTAL(109,Tháng_Hai[Tổng số Ngày])</f>
        <v>21</v>
      </c>
    </row>
  </sheetData>
  <mergeCells count="6">
    <mergeCell ref="C4:AG4"/>
    <mergeCell ref="D2:F2"/>
    <mergeCell ref="H2:J2"/>
    <mergeCell ref="L2:M2"/>
    <mergeCell ref="O2:Q2"/>
    <mergeCell ref="S2:U2"/>
  </mergeCells>
  <conditionalFormatting sqref="AE6">
    <cfRule type="expression" dxfId="816" priority="16">
      <formula>MONTH(DATE(Năm_trên_Lịch,2,29))&lt;&gt;2</formula>
    </cfRule>
  </conditionalFormatting>
  <conditionalFormatting sqref="AE5">
    <cfRule type="expression" dxfId="815" priority="15">
      <formula>MONTH(DATE(Năm_trên_Lịch,2,29))&lt;&gt;2</formula>
    </cfRule>
  </conditionalFormatting>
  <conditionalFormatting sqref="C7:AG11">
    <cfRule type="expression" priority="2" stopIfTrue="1">
      <formula>C7=""</formula>
    </cfRule>
    <cfRule type="expression" dxfId="814" priority="3" stopIfTrue="1">
      <formula>C7=Khóa_Tùy_chỉnh_2</formula>
    </cfRule>
  </conditionalFormatting>
  <conditionalFormatting sqref="C7:AG11">
    <cfRule type="expression" dxfId="813" priority="5" stopIfTrue="1">
      <formula>C7=Khóa_Tùy_chỉnh_1</formula>
    </cfRule>
    <cfRule type="expression" dxfId="812" priority="6" stopIfTrue="1">
      <formula>C7=Khóa_Ốm</formula>
    </cfRule>
    <cfRule type="expression" dxfId="811" priority="7" stopIfTrue="1">
      <formula>C7=Khóa_Việc_riêng</formula>
    </cfRule>
    <cfRule type="expression" dxfId="810" priority="8" stopIfTrue="1">
      <formula>C7=Khóa_Nghỉ_phép</formula>
    </cfRule>
  </conditionalFormatting>
  <conditionalFormatting sqref="AH7:AH11">
    <cfRule type="dataBar" priority="153">
      <dataBar>
        <cfvo type="min"/>
        <cfvo type="formula" val="DATEDIF(DATE(Năm_trên_Lịch,2,1),DATE(Năm_trên_Lịch,3,1),&quot;d&quot;)"/>
        <color theme="2" tint="-0.249977111117893"/>
      </dataBar>
      <extLst>
        <ext xmlns:x14="http://schemas.microsoft.com/office/spreadsheetml/2009/9/main" uri="{B025F937-C7B1-47D3-B67F-A62EFF666E3E}">
          <x14:id>{94738C71-AB78-40C3-A818-D083AE35CC38}</x14:id>
        </ext>
      </extLst>
    </cfRule>
  </conditionalFormatting>
  <dataValidations xWindow="232" yWindow="365" count="14">
    <dataValidation allowBlank="1" showInputMessage="1" showErrorMessage="1" prompt="Năm được cập nhật tự động dựa trên năm đã nhập trong trang tính Tháng Một." sqref="AH4" xr:uid="{00000000-0002-0000-0100-000000000000}"/>
    <dataValidation allowBlank="1" showInputMessage="1" showErrorMessage="1" prompt="Theo dõi vắng mặt Tháng Hai trong trang tính này" sqref="A1" xr:uid="{00000000-0002-0000-0100-000001000000}"/>
    <dataValidation allowBlank="1" showInputMessage="1" showErrorMessage="1" prompt="Tổng số ngày một nhân viên đã vắng mặt trong tháng này được tự động tính trong cột này" sqref="AH6" xr:uid="{00000000-0002-0000-0100-000002000000}"/>
    <dataValidation allowBlank="1" showInputMessage="1" showErrorMessage="1" prompt="Tiêu đề được cập nhật tự động nằm trong ô này. Để sửa đổi tiêu đề, cập nhật B1 trên trang tính Tháng Một" sqref="B1" xr:uid="{00000000-0002-0000-0100-000003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100-000004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100-000005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100-000006000000}"/>
    <dataValidation allowBlank="1" showInputMessage="1" showErrorMessage="1" prompt="Nhập nhãn mô tả khóa tùy chỉnh ở bên trái" sqref="O2:Q2 S2:U2" xr:uid="{00000000-0002-0000-0100-000007000000}"/>
    <dataValidation allowBlank="1" showInputMessage="1" showErrorMessage="1" prompt="Nhập một chữ cái rồi tùy chỉnh nhãn ở bên phải để thêm một mục khóa khác" sqref="N2 R2" xr:uid="{00000000-0002-0000-0100-000008000000}"/>
    <dataValidation allowBlank="1" showInputMessage="1" showErrorMessage="1" prompt="Chữ &quot;Ô&quot; cho biết vắng mặt do ốm" sqref="K2" xr:uid="{00000000-0002-0000-0100-000009000000}"/>
    <dataValidation allowBlank="1" showInputMessage="1" showErrorMessage="1" prompt="Chữ &quot;V&quot; cho biết vắng mặt do lý do cá nhân" sqref="G2" xr:uid="{00000000-0002-0000-0100-00000A000000}"/>
    <dataValidation allowBlank="1" showInputMessage="1" showErrorMessage="1" prompt="Chữ &quot;N&quot; cho biết vắng mặt do nghỉ phép" sqref="C2" xr:uid="{00000000-0002-0000-0100-00000B000000}"/>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100-00000C000000}"/>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1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xWindow="232" yWindow="365" count="1">
        <x14:dataValidation type="list" allowBlank="1" showInputMessage="1" showErrorMessage="1" xr:uid="{00000000-0002-0000-0100-00000E000000}">
          <x14:formula1>
            <xm:f>'Tên Nhân viên'!$B$4:$B$8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54</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TEXT(WEEKDAY(DATE(Năm_trên_Lịch,3,1),1),"ddd")</f>
        <v>T6</v>
      </c>
      <c r="D5" s="2" t="str">
        <f>TEXT(WEEKDAY(DATE(Năm_trên_Lịch,3,2),1),"ddd")</f>
        <v>T7</v>
      </c>
      <c r="E5" s="2" t="str">
        <f>TEXT(WEEKDAY(DATE(Năm_trên_Lịch,3,3),1),"ddd")</f>
        <v>CN</v>
      </c>
      <c r="F5" s="2" t="str">
        <f>TEXT(WEEKDAY(DATE(Năm_trên_Lịch,3,4),1),"ddd")</f>
        <v>T2</v>
      </c>
      <c r="G5" s="2" t="str">
        <f>TEXT(WEEKDAY(DATE(Năm_trên_Lịch,3,5),1),"ddd")</f>
        <v>T3</v>
      </c>
      <c r="H5" s="2" t="str">
        <f>TEXT(WEEKDAY(DATE(Năm_trên_Lịch,3,6),1),"ddd")</f>
        <v>T4</v>
      </c>
      <c r="I5" s="2" t="str">
        <f>TEXT(WEEKDAY(DATE(Năm_trên_Lịch,3,7),1),"ddd")</f>
        <v>T5</v>
      </c>
      <c r="J5" s="2" t="str">
        <f>TEXT(WEEKDAY(DATE(Năm_trên_Lịch,3,8),1),"ddd")</f>
        <v>T6</v>
      </c>
      <c r="K5" s="2" t="str">
        <f>TEXT(WEEKDAY(DATE(Năm_trên_Lịch,3,9),1),"ddd")</f>
        <v>T7</v>
      </c>
      <c r="L5" s="2" t="str">
        <f>TEXT(WEEKDAY(DATE(Năm_trên_Lịch,3,10),1),"ddd")</f>
        <v>CN</v>
      </c>
      <c r="M5" s="2" t="str">
        <f>TEXT(WEEKDAY(DATE(Năm_trên_Lịch,3,11),1),"ddd")</f>
        <v>T2</v>
      </c>
      <c r="N5" s="2" t="str">
        <f>TEXT(WEEKDAY(DATE(Năm_trên_Lịch,3,12),1),"ddd")</f>
        <v>T3</v>
      </c>
      <c r="O5" s="2" t="str">
        <f>TEXT(WEEKDAY(DATE(Năm_trên_Lịch,3,13),1),"ddd")</f>
        <v>T4</v>
      </c>
      <c r="P5" s="2" t="str">
        <f>TEXT(WEEKDAY(DATE(Năm_trên_Lịch,3,14),1),"ddd")</f>
        <v>T5</v>
      </c>
      <c r="Q5" s="2" t="str">
        <f>TEXT(WEEKDAY(DATE(Năm_trên_Lịch,3,15),1),"ddd")</f>
        <v>T6</v>
      </c>
      <c r="R5" s="2" t="str">
        <f>TEXT(WEEKDAY(DATE(Năm_trên_Lịch,3,16),1),"ddd")</f>
        <v>T7</v>
      </c>
      <c r="S5" s="2" t="str">
        <f>TEXT(WEEKDAY(DATE(Năm_trên_Lịch,3,17),1),"ddd")</f>
        <v>CN</v>
      </c>
      <c r="T5" s="2" t="str">
        <f>TEXT(WEEKDAY(DATE(Năm_trên_Lịch,3,18),1),"ddd")</f>
        <v>T2</v>
      </c>
      <c r="U5" s="2" t="str">
        <f>TEXT(WEEKDAY(DATE(Năm_trên_Lịch,3,19),1),"ddd")</f>
        <v>T3</v>
      </c>
      <c r="V5" s="2" t="str">
        <f>TEXT(WEEKDAY(DATE(Năm_trên_Lịch,3,20),1),"ddd")</f>
        <v>T4</v>
      </c>
      <c r="W5" s="2" t="str">
        <f>TEXT(WEEKDAY(DATE(Năm_trên_Lịch,3,21),1),"ddd")</f>
        <v>T5</v>
      </c>
      <c r="X5" s="2" t="str">
        <f>TEXT(WEEKDAY(DATE(Năm_trên_Lịch,3,22),1),"ddd")</f>
        <v>T6</v>
      </c>
      <c r="Y5" s="2" t="str">
        <f>TEXT(WEEKDAY(DATE(Năm_trên_Lịch,3,23),1),"ddd")</f>
        <v>T7</v>
      </c>
      <c r="Z5" s="2" t="str">
        <f>TEXT(WEEKDAY(DATE(Năm_trên_Lịch,3,24),1),"ddd")</f>
        <v>CN</v>
      </c>
      <c r="AA5" s="2" t="str">
        <f>TEXT(WEEKDAY(DATE(Năm_trên_Lịch,3,25),1),"ddd")</f>
        <v>T2</v>
      </c>
      <c r="AB5" s="2" t="str">
        <f>TEXT(WEEKDAY(DATE(Năm_trên_Lịch,3,26),1),"ddd")</f>
        <v>T3</v>
      </c>
      <c r="AC5" s="2" t="str">
        <f>TEXT(WEEKDAY(DATE(Năm_trên_Lịch,3,27),1),"ddd")</f>
        <v>T4</v>
      </c>
      <c r="AD5" s="2" t="str">
        <f>TEXT(WEEKDAY(DATE(Năm_trên_Lịch,3,28),1),"ddd")</f>
        <v>T5</v>
      </c>
      <c r="AE5" s="2" t="str">
        <f>TEXT(WEEKDAY(DATE(Năm_trên_Lịch,3,29),1),"ddd")</f>
        <v>T6</v>
      </c>
      <c r="AF5" s="2" t="str">
        <f>TEXT(WEEKDAY(DATE(Năm_trên_Lịch,3,30),1),"ddd")</f>
        <v>T7</v>
      </c>
      <c r="AG5" s="2" t="str">
        <f>TEXT(WEEKDAY(DATE(Năm_trên_Lịch,3,31),1),"ddd")</f>
        <v>CN</v>
      </c>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48</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COUNTA(Tháng_Ba[[#This Row],[1]:[31]])</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COUNTA(Tháng_Ba[[#This Row],[1]:[31]])</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COUNTA(Tháng_Ba[[#This Row],[1]:[31]])</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COUNTA(Tháng_Ba[[#This Row],[1]:[31]])</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COUNTA(Tháng_Ba[[#This Row],[1]:[31]])</f>
        <v>0</v>
      </c>
    </row>
    <row r="12" spans="2:34" ht="30" customHeight="1" x14ac:dyDescent="0.25">
      <c r="B12" s="17" t="str">
        <f>Tên_Tháng&amp;" Tổng"</f>
        <v>Tháng Ba Tổng</v>
      </c>
      <c r="C12" s="10">
        <f>SUBTOTAL(103,Tháng_Ba[1])</f>
        <v>0</v>
      </c>
      <c r="D12" s="10">
        <f>SUBTOTAL(103,Tháng_Ba[2])</f>
        <v>0</v>
      </c>
      <c r="E12" s="10">
        <f>SUBTOTAL(103,Tháng_Ba[3])</f>
        <v>0</v>
      </c>
      <c r="F12" s="10">
        <f>SUBTOTAL(103,Tháng_Ba[4])</f>
        <v>0</v>
      </c>
      <c r="G12" s="10">
        <f>SUBTOTAL(103,Tháng_Ba[5])</f>
        <v>0</v>
      </c>
      <c r="H12" s="10">
        <f>SUBTOTAL(103,Tháng_Ba[6])</f>
        <v>0</v>
      </c>
      <c r="I12" s="10">
        <f>SUBTOTAL(103,Tháng_Ba[7])</f>
        <v>0</v>
      </c>
      <c r="J12" s="10">
        <f>SUBTOTAL(103,Tháng_Ba[8])</f>
        <v>0</v>
      </c>
      <c r="K12" s="10">
        <f>SUBTOTAL(103,Tháng_Ba[9])</f>
        <v>0</v>
      </c>
      <c r="L12" s="10">
        <f>SUBTOTAL(103,Tháng_Ba[10])</f>
        <v>0</v>
      </c>
      <c r="M12" s="10">
        <f>SUBTOTAL(103,Tháng_Ba[11])</f>
        <v>0</v>
      </c>
      <c r="N12" s="10">
        <f>SUBTOTAL(103,Tháng_Ba[12])</f>
        <v>0</v>
      </c>
      <c r="O12" s="10">
        <f>SUBTOTAL(103,Tháng_Ba[13])</f>
        <v>0</v>
      </c>
      <c r="P12" s="10">
        <f>SUBTOTAL(103,Tháng_Ba[14])</f>
        <v>0</v>
      </c>
      <c r="Q12" s="10">
        <f>SUBTOTAL(103,Tháng_Ba[15])</f>
        <v>0</v>
      </c>
      <c r="R12" s="10">
        <f>SUBTOTAL(103,Tháng_Ba[16])</f>
        <v>0</v>
      </c>
      <c r="S12" s="10">
        <f>SUBTOTAL(103,Tháng_Ba[17])</f>
        <v>0</v>
      </c>
      <c r="T12" s="10">
        <f>SUBTOTAL(103,Tháng_Ba[18])</f>
        <v>0</v>
      </c>
      <c r="U12" s="10">
        <f>SUBTOTAL(103,Tháng_Ba[19])</f>
        <v>0</v>
      </c>
      <c r="V12" s="10">
        <f>SUBTOTAL(103,Tháng_Ba[20])</f>
        <v>0</v>
      </c>
      <c r="W12" s="10">
        <f>SUBTOTAL(103,Tháng_Ba[21])</f>
        <v>0</v>
      </c>
      <c r="X12" s="10">
        <f>SUBTOTAL(103,Tháng_Ba[22])</f>
        <v>0</v>
      </c>
      <c r="Y12" s="10">
        <f>SUBTOTAL(103,Tháng_Ba[23])</f>
        <v>0</v>
      </c>
      <c r="Z12" s="10">
        <f>SUBTOTAL(103,Tháng_Ba[24])</f>
        <v>0</v>
      </c>
      <c r="AA12" s="10">
        <f>SUBTOTAL(103,Tháng_Ba[25])</f>
        <v>0</v>
      </c>
      <c r="AB12" s="10">
        <f>SUBTOTAL(103,Tháng_Ba[26])</f>
        <v>0</v>
      </c>
      <c r="AC12" s="10">
        <f>SUBTOTAL(103,Tháng_Ba[27])</f>
        <v>0</v>
      </c>
      <c r="AD12" s="10">
        <f>SUBTOTAL(103,Tháng_Ba[28])</f>
        <v>0</v>
      </c>
      <c r="AE12" s="10">
        <f>SUBTOTAL(103,Tháng_Ba[29])</f>
        <v>0</v>
      </c>
      <c r="AF12" s="10">
        <f>SUBTOTAL(103,Tháng_Ba[30])</f>
        <v>0</v>
      </c>
      <c r="AG12" s="10">
        <f>SUBTOTAL(103,Tháng_Ba[31])</f>
        <v>0</v>
      </c>
      <c r="AH12" s="10">
        <f>SUBTOTAL(109,Tháng_Ba[Tổng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740" priority="2" stopIfTrue="1">
      <formula>C7=Khóa_Tùy_chỉnh_2</formula>
    </cfRule>
    <cfRule type="expression" dxfId="739" priority="3" stopIfTrue="1">
      <formula>C7=Khóa_Tùy_chỉnh_1</formula>
    </cfRule>
    <cfRule type="expression" dxfId="738" priority="4" stopIfTrue="1">
      <formula>C7=Khóa_Ốm</formula>
    </cfRule>
    <cfRule type="expression" dxfId="737" priority="5" stopIfTrue="1">
      <formula>C7=Khóa_Việc_riêng</formula>
    </cfRule>
    <cfRule type="expression" dxfId="736"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{7C2B6C3E-666E-4369-8C57-FD32A7D03A3C}</x14:id>
        </ext>
      </extLst>
    </cfRule>
  </conditionalFormatting>
  <dataValidations count="14">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200-000000000000}"/>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200-000001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200-000002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200-000003000000}"/>
    <dataValidation allowBlank="1" showInputMessage="1" showErrorMessage="1" prompt="Nhập nhãn mô tả khóa tùy chỉnh ở bên trái" sqref="O2:Q2 S2:U2" xr:uid="{00000000-0002-0000-0200-000004000000}"/>
    <dataValidation allowBlank="1" showInputMessage="1" showErrorMessage="1" prompt="Nhập một chữ cái rồi tùy chỉnh nhãn ở bên phải để thêm một mục khóa khác" sqref="N2 R2" xr:uid="{00000000-0002-0000-0200-000005000000}"/>
    <dataValidation allowBlank="1" showInputMessage="1" showErrorMessage="1" prompt="Chữ &quot;Ô&quot; cho biết vắng mặt do ốm" sqref="K2" xr:uid="{00000000-0002-0000-0200-000006000000}"/>
    <dataValidation allowBlank="1" showInputMessage="1" showErrorMessage="1" prompt="Chữ &quot;V&quot; cho biết vắng mặt do lý do cá nhân" sqref="G2" xr:uid="{00000000-0002-0000-0200-000007000000}"/>
    <dataValidation allowBlank="1" showInputMessage="1" showErrorMessage="1" prompt="Chữ &quot;N&quot; cho biết vắng mặt do nghỉ phép" sqref="C2" xr:uid="{00000000-0002-0000-0200-000008000000}"/>
    <dataValidation allowBlank="1" showInputMessage="1" showErrorMessage="1" prompt="Tiêu đề được cập nhật tự động nằm trong ô này. Để sửa đổi tiêu đề, cập nhật B1 trên trang tính Tháng Một" sqref="B1" xr:uid="{00000000-0002-0000-0200-000009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200-00000A000000}"/>
    <dataValidation allowBlank="1" showInputMessage="1" showErrorMessage="1" prompt="Theo dõi sự vắng mặt trong Tháng Ba tại trang tính này" sqref="A1" xr:uid="{00000000-0002-0000-0200-00000B000000}"/>
    <dataValidation allowBlank="1" showInputMessage="1" showErrorMessage="1" prompt="Tự động tính tổng số ngày một nhân viên đã vắng mặt tháng này trong cột này" sqref="AH6" xr:uid="{00000000-0002-0000-0200-00000C000000}"/>
    <dataValidation allowBlank="1" showInputMessage="1" showErrorMessage="1" prompt="Năm được cập nhật tự động dựa trên năm đã nhập trong trang tính Tháng Một." sqref="AH4" xr:uid="{00000000-0002-0000-02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E000000}">
          <x14:formula1>
            <xm:f>'Tên Nhân viên'!$B$4:$B$8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59</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TEXT(WEEKDAY(DATE(Năm_trên_Lịch,4,1),1),"aaa")</f>
        <v>T2</v>
      </c>
      <c r="D5" s="2" t="str">
        <f>TEXT(WEEKDAY(DATE(Năm_trên_Lịch,4,2),1),"aaa")</f>
        <v>T3</v>
      </c>
      <c r="E5" s="2" t="str">
        <f>TEXT(WEEKDAY(DATE(Năm_trên_Lịch,4,3),1),"aaa")</f>
        <v>T4</v>
      </c>
      <c r="F5" s="2" t="str">
        <f>TEXT(WEEKDAY(DATE(Năm_trên_Lịch,4,4),1),"aaa")</f>
        <v>T5</v>
      </c>
      <c r="G5" s="2" t="str">
        <f>TEXT(WEEKDAY(DATE(Năm_trên_Lịch,4,5),1),"aaa")</f>
        <v>T6</v>
      </c>
      <c r="H5" s="2" t="str">
        <f>TEXT(WEEKDAY(DATE(Năm_trên_Lịch,4,6),1),"aaa")</f>
        <v>T7</v>
      </c>
      <c r="I5" s="2" t="str">
        <f>TEXT(WEEKDAY(DATE(Năm_trên_Lịch,4,7),1),"aaa")</f>
        <v>CN</v>
      </c>
      <c r="J5" s="2" t="str">
        <f>TEXT(WEEKDAY(DATE(Năm_trên_Lịch,4,8),1),"aaa")</f>
        <v>T2</v>
      </c>
      <c r="K5" s="2" t="str">
        <f>TEXT(WEEKDAY(DATE(Năm_trên_Lịch,4,9),1),"aaa")</f>
        <v>T3</v>
      </c>
      <c r="L5" s="2" t="str">
        <f>TEXT(WEEKDAY(DATE(Năm_trên_Lịch,4,10),1),"aaa")</f>
        <v>T4</v>
      </c>
      <c r="M5" s="2" t="str">
        <f>TEXT(WEEKDAY(DATE(Năm_trên_Lịch,4,11),1),"aaa")</f>
        <v>T5</v>
      </c>
      <c r="N5" s="2" t="str">
        <f>TEXT(WEEKDAY(DATE(Năm_trên_Lịch,4,12),1),"aaa")</f>
        <v>T6</v>
      </c>
      <c r="O5" s="2" t="str">
        <f>TEXT(WEEKDAY(DATE(Năm_trên_Lịch,4,13),1),"aaa")</f>
        <v>T7</v>
      </c>
      <c r="P5" s="2" t="str">
        <f>TEXT(WEEKDAY(DATE(Năm_trên_Lịch,4,14),1),"aaa")</f>
        <v>CN</v>
      </c>
      <c r="Q5" s="2" t="str">
        <f>TEXT(WEEKDAY(DATE(Năm_trên_Lịch,4,15),1),"aaa")</f>
        <v>T2</v>
      </c>
      <c r="R5" s="2" t="str">
        <f>TEXT(WEEKDAY(DATE(Năm_trên_Lịch,4,16),1),"aaa")</f>
        <v>T3</v>
      </c>
      <c r="S5" s="2" t="str">
        <f>TEXT(WEEKDAY(DATE(Năm_trên_Lịch,4,17),1),"aaa")</f>
        <v>T4</v>
      </c>
      <c r="T5" s="2" t="str">
        <f>TEXT(WEEKDAY(DATE(Năm_trên_Lịch,4,18),1),"aaa")</f>
        <v>T5</v>
      </c>
      <c r="U5" s="2" t="str">
        <f>TEXT(WEEKDAY(DATE(Năm_trên_Lịch,4,19),1),"aaa")</f>
        <v>T6</v>
      </c>
      <c r="V5" s="2" t="str">
        <f>TEXT(WEEKDAY(DATE(Năm_trên_Lịch,4,20),1),"aaa")</f>
        <v>T7</v>
      </c>
      <c r="W5" s="2" t="str">
        <f>TEXT(WEEKDAY(DATE(Năm_trên_Lịch,4,21),1),"aaa")</f>
        <v>CN</v>
      </c>
      <c r="X5" s="2" t="str">
        <f>TEXT(WEEKDAY(DATE(Năm_trên_Lịch,4,22),1),"aaa")</f>
        <v>T2</v>
      </c>
      <c r="Y5" s="2" t="str">
        <f>TEXT(WEEKDAY(DATE(Năm_trên_Lịch,4,23),1),"aaa")</f>
        <v>T3</v>
      </c>
      <c r="Z5" s="2" t="str">
        <f>TEXT(WEEKDAY(DATE(Năm_trên_Lịch,4,24),1),"aaa")</f>
        <v>T4</v>
      </c>
      <c r="AA5" s="2" t="str">
        <f>TEXT(WEEKDAY(DATE(Năm_trên_Lịch,4,25),1),"aaa")</f>
        <v>T5</v>
      </c>
      <c r="AB5" s="2" t="str">
        <f>TEXT(WEEKDAY(DATE(Năm_trên_Lịch,4,26),1),"aaa")</f>
        <v>T6</v>
      </c>
      <c r="AC5" s="2" t="str">
        <f>TEXT(WEEKDAY(DATE(Năm_trên_Lịch,4,27),1),"aaa")</f>
        <v>T7</v>
      </c>
      <c r="AD5" s="2" t="str">
        <f>TEXT(WEEKDAY(DATE(Năm_trên_Lịch,4,28),1),"aaa")</f>
        <v>CN</v>
      </c>
      <c r="AE5" s="2" t="str">
        <f>TEXT(WEEKDAY(DATE(Năm_trên_Lịch,4,29),1),"aaa")</f>
        <v>T2</v>
      </c>
      <c r="AF5" s="2" t="str">
        <f>TEXT(WEEKDAY(DATE(Năm_trên_Lịch,4,30),1),"aaa")</f>
        <v>T3</v>
      </c>
      <c r="AG5" s="2"/>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18" t="s">
        <v>52</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COUNTA(Tháng_Tư[[#This Row],[1]:[30]])</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COUNTA(Tháng_Tư[[#This Row],[1]:[30]])</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COUNTA(Tháng_Tư[[#This Row],[1]:[30]])</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COUNTA(Tháng_Tư[[#This Row],[1]:[30]])</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COUNTA(Tháng_Tư[[#This Row],[1]:[30]])</f>
        <v>0</v>
      </c>
    </row>
    <row r="12" spans="2:34" ht="30" customHeight="1" x14ac:dyDescent="0.25">
      <c r="B12" s="17" t="str">
        <f>Tên_Tháng&amp;" Tổng"</f>
        <v>Tháng Tư Tổng</v>
      </c>
      <c r="C12" s="10">
        <f>SUBTOTAL(103,Tháng_Tư[1])</f>
        <v>0</v>
      </c>
      <c r="D12" s="10">
        <f>SUBTOTAL(103,Tháng_Tư[2])</f>
        <v>0</v>
      </c>
      <c r="E12" s="10">
        <f>SUBTOTAL(103,Tháng_Tư[3])</f>
        <v>0</v>
      </c>
      <c r="F12" s="10">
        <f>SUBTOTAL(103,Tháng_Tư[4])</f>
        <v>0</v>
      </c>
      <c r="G12" s="10">
        <f>SUBTOTAL(103,Tháng_Tư[5])</f>
        <v>0</v>
      </c>
      <c r="H12" s="10">
        <f>SUBTOTAL(103,Tháng_Tư[6])</f>
        <v>0</v>
      </c>
      <c r="I12" s="10">
        <f>SUBTOTAL(103,Tháng_Tư[7])</f>
        <v>0</v>
      </c>
      <c r="J12" s="10">
        <f>SUBTOTAL(103,Tháng_Tư[8])</f>
        <v>0</v>
      </c>
      <c r="K12" s="10">
        <f>SUBTOTAL(103,Tháng_Tư[9])</f>
        <v>0</v>
      </c>
      <c r="L12" s="10">
        <f>SUBTOTAL(103,Tháng_Tư[10])</f>
        <v>0</v>
      </c>
      <c r="M12" s="10">
        <f>SUBTOTAL(103,Tháng_Tư[11])</f>
        <v>0</v>
      </c>
      <c r="N12" s="10">
        <f>SUBTOTAL(103,Tháng_Tư[12])</f>
        <v>0</v>
      </c>
      <c r="O12" s="10">
        <f>SUBTOTAL(103,Tháng_Tư[13])</f>
        <v>0</v>
      </c>
      <c r="P12" s="10">
        <f>SUBTOTAL(103,Tháng_Tư[14])</f>
        <v>0</v>
      </c>
      <c r="Q12" s="10">
        <f>SUBTOTAL(103,Tháng_Tư[15])</f>
        <v>0</v>
      </c>
      <c r="R12" s="10">
        <f>SUBTOTAL(103,Tháng_Tư[16])</f>
        <v>0</v>
      </c>
      <c r="S12" s="10">
        <f>SUBTOTAL(103,Tháng_Tư[17])</f>
        <v>0</v>
      </c>
      <c r="T12" s="10">
        <f>SUBTOTAL(103,Tháng_Tư[18])</f>
        <v>0</v>
      </c>
      <c r="U12" s="10">
        <f>SUBTOTAL(103,Tháng_Tư[19])</f>
        <v>0</v>
      </c>
      <c r="V12" s="10">
        <f>SUBTOTAL(103,Tháng_Tư[20])</f>
        <v>0</v>
      </c>
      <c r="W12" s="10">
        <f>SUBTOTAL(103,Tháng_Tư[21])</f>
        <v>0</v>
      </c>
      <c r="X12" s="10">
        <f>SUBTOTAL(103,Tháng_Tư[22])</f>
        <v>0</v>
      </c>
      <c r="Y12" s="10">
        <f>SUBTOTAL(103,Tháng_Tư[23])</f>
        <v>0</v>
      </c>
      <c r="Z12" s="10">
        <f>SUBTOTAL(103,Tháng_Tư[24])</f>
        <v>0</v>
      </c>
      <c r="AA12" s="10">
        <f>SUBTOTAL(103,Tháng_Tư[25])</f>
        <v>0</v>
      </c>
      <c r="AB12" s="10">
        <f>SUBTOTAL(103,Tháng_Tư[26])</f>
        <v>0</v>
      </c>
      <c r="AC12" s="10">
        <f>SUBTOTAL(103,Tháng_Tư[27])</f>
        <v>0</v>
      </c>
      <c r="AD12" s="10">
        <f>SUBTOTAL(103,Tháng_Tư[28])</f>
        <v>0</v>
      </c>
      <c r="AE12" s="10">
        <f>SUBTOTAL(103,Tháng_Tư[29])</f>
        <v>0</v>
      </c>
      <c r="AF12" s="10">
        <f>SUBTOTAL(103,Tháng_Tư[30])</f>
        <v>0</v>
      </c>
      <c r="AG12" s="10">
        <f>SUBTOTAL(103,Tháng_Tư[30])</f>
        <v>0</v>
      </c>
      <c r="AH12" s="10">
        <f>SUBTOTAL(109,Tháng_Tư[Tổng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666" priority="2" stopIfTrue="1">
      <formula>C7=Khóa_Tùy_chỉnh_2</formula>
    </cfRule>
    <cfRule type="expression" dxfId="665" priority="3" stopIfTrue="1">
      <formula>C7=Khóa_Tùy_chỉnh_1</formula>
    </cfRule>
    <cfRule type="expression" dxfId="664" priority="4" stopIfTrue="1">
      <formula>C7=Khóa_Ốm</formula>
    </cfRule>
    <cfRule type="expression" dxfId="663" priority="5" stopIfTrue="1">
      <formula>C7=Khóa_Việc_riêng</formula>
    </cfRule>
    <cfRule type="expression" dxfId="662"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{0C86709F-D813-4066-A3F1-C30F11214F4B}</x14:id>
        </ext>
      </extLst>
    </cfRule>
  </conditionalFormatting>
  <dataValidations count="14">
    <dataValidation allowBlank="1" showInputMessage="1" showErrorMessage="1" prompt="Năm được cập nhật tự động dựa trên năm đã nhập trong trang tính Tháng Một." sqref="AH4" xr:uid="{00000000-0002-0000-0300-000000000000}"/>
    <dataValidation allowBlank="1" showInputMessage="1" showErrorMessage="1" prompt="Tự động tính tổng số ngày một nhân viên đã vắng mặt tháng này trong cột này" sqref="AH6" xr:uid="{00000000-0002-0000-0300-000001000000}"/>
    <dataValidation allowBlank="1" showInputMessage="1" showErrorMessage="1" prompt="Theo dõi sự vắng mặt trong Tháng Tư tại trang tính này" sqref="A1" xr:uid="{00000000-0002-0000-0300-000002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300-000003000000}"/>
    <dataValidation allowBlank="1" showInputMessage="1" showErrorMessage="1" prompt="Tiêu đề được cập nhật tự động nằm trong ô này. Để sửa đổi tiêu đề, cập nhật B1 trên trang tính Tháng Một" sqref="B1" xr:uid="{00000000-0002-0000-0300-000004000000}"/>
    <dataValidation allowBlank="1" showInputMessage="1" showErrorMessage="1" prompt="Chữ &quot;N&quot; cho biết vắng mặt do nghỉ phép" sqref="C2" xr:uid="{00000000-0002-0000-0300-000005000000}"/>
    <dataValidation allowBlank="1" showInputMessage="1" showErrorMessage="1" prompt="Chữ &quot;V&quot; cho biết vắng mặt do lý do cá nhân" sqref="G2" xr:uid="{00000000-0002-0000-0300-000006000000}"/>
    <dataValidation allowBlank="1" showInputMessage="1" showErrorMessage="1" prompt="Chữ &quot;Ô&quot; cho biết vắng mặt do ốm" sqref="K2" xr:uid="{00000000-0002-0000-0300-000007000000}"/>
    <dataValidation allowBlank="1" showInputMessage="1" showErrorMessage="1" prompt="Nhập một chữ cái rồi tùy chỉnh nhãn ở bên phải để thêm một mục khóa khác" sqref="N2 R2" xr:uid="{00000000-0002-0000-0300-000008000000}"/>
    <dataValidation allowBlank="1" showInputMessage="1" showErrorMessage="1" prompt="Nhập nhãn mô tả khóa tùy chỉnh ở bên trái" sqref="O2:Q2 S2:U2" xr:uid="{00000000-0002-0000-0300-000009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300-00000A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300-00000B000000}"/>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300-00000C000000}"/>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3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E000000}">
          <x14:formula1>
            <xm:f>'Tên Nhân viên'!$B$4:$B$8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60</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TEXT(WEEKDAY(DATE(Năm_trên_Lịch,5,1),1),"ddd")</f>
        <v>T4</v>
      </c>
      <c r="D5" s="2" t="str">
        <f>TEXT(WEEKDAY(DATE(Năm_trên_Lịch,5,2),1),"ddd")</f>
        <v>T5</v>
      </c>
      <c r="E5" s="2" t="str">
        <f>TEXT(WEEKDAY(DATE(Năm_trên_Lịch,5,3),1),"ddd")</f>
        <v>T6</v>
      </c>
      <c r="F5" s="2" t="str">
        <f>TEXT(WEEKDAY(DATE(Năm_trên_Lịch,5,4),1),"ddd")</f>
        <v>T7</v>
      </c>
      <c r="G5" s="2" t="str">
        <f>TEXT(WEEKDAY(DATE(Năm_trên_Lịch,5,5),1),"ddd")</f>
        <v>CN</v>
      </c>
      <c r="H5" s="2" t="str">
        <f>TEXT(WEEKDAY(DATE(Năm_trên_Lịch,5,6),1),"ddd")</f>
        <v>T2</v>
      </c>
      <c r="I5" s="2" t="str">
        <f>TEXT(WEEKDAY(DATE(Năm_trên_Lịch,5,7),1),"ddd")</f>
        <v>T3</v>
      </c>
      <c r="J5" s="2" t="str">
        <f>TEXT(WEEKDAY(DATE(Năm_trên_Lịch,5,8),1),"ddd")</f>
        <v>T4</v>
      </c>
      <c r="K5" s="2" t="str">
        <f>TEXT(WEEKDAY(DATE(Năm_trên_Lịch,5,9),1),"ddd")</f>
        <v>T5</v>
      </c>
      <c r="L5" s="2" t="str">
        <f>TEXT(WEEKDAY(DATE(Năm_trên_Lịch,5,10),1),"ddd")</f>
        <v>T6</v>
      </c>
      <c r="M5" s="2" t="str">
        <f>TEXT(WEEKDAY(DATE(Năm_trên_Lịch,5,11),1),"ddd")</f>
        <v>T7</v>
      </c>
      <c r="N5" s="2" t="str">
        <f>TEXT(WEEKDAY(DATE(Năm_trên_Lịch,5,12),1),"ddd")</f>
        <v>CN</v>
      </c>
      <c r="O5" s="2" t="str">
        <f>TEXT(WEEKDAY(DATE(Năm_trên_Lịch,5,13),1),"ddd")</f>
        <v>T2</v>
      </c>
      <c r="P5" s="2" t="str">
        <f>TEXT(WEEKDAY(DATE(Năm_trên_Lịch,5,14),1),"ddd")</f>
        <v>T3</v>
      </c>
      <c r="Q5" s="2" t="str">
        <f>TEXT(WEEKDAY(DATE(Năm_trên_Lịch,5,15),1),"ddd")</f>
        <v>T4</v>
      </c>
      <c r="R5" s="2" t="str">
        <f>TEXT(WEEKDAY(DATE(Năm_trên_Lịch,5,16),1),"ddd")</f>
        <v>T5</v>
      </c>
      <c r="S5" s="2" t="str">
        <f>TEXT(WEEKDAY(DATE(Năm_trên_Lịch,5,17),1),"ddd")</f>
        <v>T6</v>
      </c>
      <c r="T5" s="2" t="str">
        <f>TEXT(WEEKDAY(DATE(Năm_trên_Lịch,5,18),1),"ddd")</f>
        <v>T7</v>
      </c>
      <c r="U5" s="2" t="str">
        <f>TEXT(WEEKDAY(DATE(Năm_trên_Lịch,5,19),1),"ddd")</f>
        <v>CN</v>
      </c>
      <c r="V5" s="2" t="str">
        <f>TEXT(WEEKDAY(DATE(Năm_trên_Lịch,5,20),1),"ddd")</f>
        <v>T2</v>
      </c>
      <c r="W5" s="2" t="str">
        <f>TEXT(WEEKDAY(DATE(Năm_trên_Lịch,5,21),1),"ddd")</f>
        <v>T3</v>
      </c>
      <c r="X5" s="2" t="str">
        <f>TEXT(WEEKDAY(DATE(Năm_trên_Lịch,5,22),1),"ddd")</f>
        <v>T4</v>
      </c>
      <c r="Y5" s="2" t="str">
        <f>TEXT(WEEKDAY(DATE(Năm_trên_Lịch,5,23),1),"ddd")</f>
        <v>T5</v>
      </c>
      <c r="Z5" s="2" t="str">
        <f>TEXT(WEEKDAY(DATE(Năm_trên_Lịch,5,24),1),"ddd")</f>
        <v>T6</v>
      </c>
      <c r="AA5" s="2" t="str">
        <f>TEXT(WEEKDAY(DATE(Năm_trên_Lịch,5,25),1),"ddd")</f>
        <v>T7</v>
      </c>
      <c r="AB5" s="2" t="str">
        <f>TEXT(WEEKDAY(DATE(Năm_trên_Lịch,5,26),1),"ddd")</f>
        <v>CN</v>
      </c>
      <c r="AC5" s="2" t="str">
        <f>TEXT(WEEKDAY(DATE(Năm_trên_Lịch,5,27),1),"ddd")</f>
        <v>T2</v>
      </c>
      <c r="AD5" s="2" t="str">
        <f>TEXT(WEEKDAY(DATE(Năm_trên_Lịch,5,28),1),"ddd")</f>
        <v>T3</v>
      </c>
      <c r="AE5" s="2" t="str">
        <f>TEXT(WEEKDAY(DATE(Năm_trên_Lịch,5,29),1),"ddd")</f>
        <v>T4</v>
      </c>
      <c r="AF5" s="2" t="str">
        <f>TEXT(WEEKDAY(DATE(Năm_trên_Lịch,5,30),1),"ddd")</f>
        <v>T5</v>
      </c>
      <c r="AG5" s="2" t="str">
        <f>TEXT(WEEKDAY(DATE(Năm_trên_Lịch,5,31),1),"ddd")</f>
        <v>T6</v>
      </c>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48</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COUNTA(Tháng_Năm[[#This Row],[1]:[31]])</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COUNTA(Tháng_Năm[[#This Row],[1]:[31]])</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COUNTA(Tháng_Năm[[#This Row],[1]:[31]])</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COUNTA(Tháng_Năm[[#This Row],[1]:[31]])</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COUNTA(Tháng_Năm[[#This Row],[1]:[31]])</f>
        <v>0</v>
      </c>
    </row>
    <row r="12" spans="2:34" ht="30" customHeight="1" x14ac:dyDescent="0.25">
      <c r="B12" s="17" t="str">
        <f>Tên_Tháng&amp;" Tổng"</f>
        <v>Tháng Năm Tổng</v>
      </c>
      <c r="C12" s="10">
        <f>SUBTOTAL(103,Tháng_Năm[1])</f>
        <v>0</v>
      </c>
      <c r="D12" s="10">
        <f>SUBTOTAL(103,Tháng_Năm[2])</f>
        <v>0</v>
      </c>
      <c r="E12" s="10">
        <f>SUBTOTAL(103,Tháng_Năm[3])</f>
        <v>0</v>
      </c>
      <c r="F12" s="10">
        <f>SUBTOTAL(103,Tháng_Năm[4])</f>
        <v>0</v>
      </c>
      <c r="G12" s="10">
        <f>SUBTOTAL(103,Tháng_Năm[5])</f>
        <v>0</v>
      </c>
      <c r="H12" s="10">
        <f>SUBTOTAL(103,Tháng_Năm[6])</f>
        <v>0</v>
      </c>
      <c r="I12" s="10">
        <f>SUBTOTAL(103,Tháng_Năm[7])</f>
        <v>0</v>
      </c>
      <c r="J12" s="10">
        <f>SUBTOTAL(103,Tháng_Năm[8])</f>
        <v>0</v>
      </c>
      <c r="K12" s="10">
        <f>SUBTOTAL(103,Tháng_Năm[9])</f>
        <v>0</v>
      </c>
      <c r="L12" s="10">
        <f>SUBTOTAL(103,Tháng_Năm[10])</f>
        <v>0</v>
      </c>
      <c r="M12" s="10">
        <f>SUBTOTAL(103,Tháng_Năm[11])</f>
        <v>0</v>
      </c>
      <c r="N12" s="10">
        <f>SUBTOTAL(103,Tháng_Năm[12])</f>
        <v>0</v>
      </c>
      <c r="O12" s="10">
        <f>SUBTOTAL(103,Tháng_Năm[13])</f>
        <v>0</v>
      </c>
      <c r="P12" s="10">
        <f>SUBTOTAL(103,Tháng_Năm[14])</f>
        <v>0</v>
      </c>
      <c r="Q12" s="10">
        <f>SUBTOTAL(103,Tháng_Năm[15])</f>
        <v>0</v>
      </c>
      <c r="R12" s="10">
        <f>SUBTOTAL(103,Tháng_Năm[16])</f>
        <v>0</v>
      </c>
      <c r="S12" s="10">
        <f>SUBTOTAL(103,Tháng_Năm[17])</f>
        <v>0</v>
      </c>
      <c r="T12" s="10">
        <f>SUBTOTAL(103,Tháng_Năm[18])</f>
        <v>0</v>
      </c>
      <c r="U12" s="10">
        <f>SUBTOTAL(103,Tháng_Năm[19])</f>
        <v>0</v>
      </c>
      <c r="V12" s="10">
        <f>SUBTOTAL(103,Tháng_Năm[20])</f>
        <v>0</v>
      </c>
      <c r="W12" s="10">
        <f>SUBTOTAL(103,Tháng_Năm[21])</f>
        <v>0</v>
      </c>
      <c r="X12" s="10">
        <f>SUBTOTAL(103,Tháng_Năm[22])</f>
        <v>0</v>
      </c>
      <c r="Y12" s="10">
        <f>SUBTOTAL(103,Tháng_Năm[23])</f>
        <v>0</v>
      </c>
      <c r="Z12" s="10">
        <f>SUBTOTAL(103,Tháng_Năm[24])</f>
        <v>0</v>
      </c>
      <c r="AA12" s="10">
        <f>SUBTOTAL(103,Tháng_Năm[25])</f>
        <v>0</v>
      </c>
      <c r="AB12" s="10">
        <f>SUBTOTAL(103,Tháng_Năm[26])</f>
        <v>0</v>
      </c>
      <c r="AC12" s="10">
        <f>SUBTOTAL(103,Tháng_Năm[27])</f>
        <v>0</v>
      </c>
      <c r="AD12" s="10">
        <f>SUBTOTAL(103,Tháng_Năm[28])</f>
        <v>0</v>
      </c>
      <c r="AE12" s="10">
        <f>SUBTOTAL(103,Tháng_Năm[29])</f>
        <v>0</v>
      </c>
      <c r="AF12" s="10">
        <f>SUBTOTAL(103,Tháng_Năm[30])</f>
        <v>0</v>
      </c>
      <c r="AG12" s="10">
        <f>SUBTOTAL(103,Tháng_Năm[31])</f>
        <v>0</v>
      </c>
      <c r="AH12" s="10">
        <f>SUBTOTAL(109,Tháng_Năm[Tổng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592" priority="2" stopIfTrue="1">
      <formula>C7=Khóa_Tùy_chỉnh_2</formula>
    </cfRule>
    <cfRule type="expression" dxfId="591" priority="3" stopIfTrue="1">
      <formula>C7=Khóa_Tùy_chỉnh_1</formula>
    </cfRule>
    <cfRule type="expression" dxfId="590" priority="4" stopIfTrue="1">
      <formula>C7=Khóa_Ốm</formula>
    </cfRule>
    <cfRule type="expression" dxfId="589" priority="5" stopIfTrue="1">
      <formula>C7=Khóa_Việc_riêng</formula>
    </cfRule>
    <cfRule type="expression" dxfId="588"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{5670947F-8B3C-4A6C-A280-4F5E10811DCE}</x14:id>
        </ext>
      </extLst>
    </cfRule>
  </conditionalFormatting>
  <dataValidations count="14">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400-000000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400-000001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400-000002000000}"/>
    <dataValidation allowBlank="1" showInputMessage="1" showErrorMessage="1" prompt="Nhập nhãn mô tả khóa tùy chỉnh ở bên trái" sqref="O2:Q2 S2:U2" xr:uid="{00000000-0002-0000-0400-000003000000}"/>
    <dataValidation allowBlank="1" showInputMessage="1" showErrorMessage="1" prompt="Nhập một chữ cái rồi tùy chỉnh nhãn ở bên phải để thêm một mục khóa khác" sqref="N2 R2" xr:uid="{00000000-0002-0000-0400-000004000000}"/>
    <dataValidation allowBlank="1" showInputMessage="1" showErrorMessage="1" prompt="Chữ &quot;Ô&quot; cho biết vắng mặt do ốm" sqref="K2" xr:uid="{00000000-0002-0000-0400-000005000000}"/>
    <dataValidation allowBlank="1" showInputMessage="1" showErrorMessage="1" prompt="Chữ &quot;V&quot; cho biết vắng mặt do lý do cá nhân" sqref="G2" xr:uid="{00000000-0002-0000-0400-000006000000}"/>
    <dataValidation allowBlank="1" showInputMessage="1" showErrorMessage="1" prompt="Chữ &quot;N&quot; cho biết vắng mặt do nghỉ phép" sqref="C2" xr:uid="{00000000-0002-0000-0400-000007000000}"/>
    <dataValidation allowBlank="1" showInputMessage="1" showErrorMessage="1" prompt="Tiêu đề được cập nhật tự động nằm trong ô này. Để sửa đổi tiêu đề, cập nhật B1 trên trang tính Tháng Một" sqref="B1" xr:uid="{00000000-0002-0000-0400-000008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400-000009000000}"/>
    <dataValidation allowBlank="1" showInputMessage="1" showErrorMessage="1" prompt="Theo dõi sự vắng mặt trong Tháng Năm tại trang tính này" sqref="A1" xr:uid="{00000000-0002-0000-0400-00000A000000}"/>
    <dataValidation allowBlank="1" showInputMessage="1" showErrorMessage="1" prompt="Tự động tính tổng số ngày một nhân viên đã vắng mặt tháng này trong cột này" sqref="AH6" xr:uid="{00000000-0002-0000-0400-00000B000000}"/>
    <dataValidation allowBlank="1" showInputMessage="1" showErrorMessage="1" prompt="Năm được cập nhật tự động dựa trên năm đã nhập trong trang tính Tháng Một." sqref="AH4" xr:uid="{00000000-0002-0000-0400-00000C000000}"/>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4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E000000}">
          <x14:formula1>
            <xm:f>'Tên Nhân viên'!$B$4:$B$8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55</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TEXT(WEEKDAY(DATE(Năm_trên_Lịch,6,1),1),"ddd")</f>
        <v>T7</v>
      </c>
      <c r="D5" s="2" t="str">
        <f>TEXT(WEEKDAY(DATE(Năm_trên_Lịch,6,2),1),"ddd")</f>
        <v>CN</v>
      </c>
      <c r="E5" s="2" t="str">
        <f>TEXT(WEEKDAY(DATE(Năm_trên_Lịch,6,3),1),"ddd")</f>
        <v>T2</v>
      </c>
      <c r="F5" s="2" t="str">
        <f>TEXT(WEEKDAY(DATE(Năm_trên_Lịch,6,4),1),"ddd")</f>
        <v>T3</v>
      </c>
      <c r="G5" s="2" t="str">
        <f>TEXT(WEEKDAY(DATE(Năm_trên_Lịch,6,5),1),"ddd")</f>
        <v>T4</v>
      </c>
      <c r="H5" s="2" t="str">
        <f>TEXT(WEEKDAY(DATE(Năm_trên_Lịch,6,6),1),"ddd")</f>
        <v>T5</v>
      </c>
      <c r="I5" s="2" t="str">
        <f>TEXT(WEEKDAY(DATE(Năm_trên_Lịch,6,7),1),"ddd")</f>
        <v>T6</v>
      </c>
      <c r="J5" s="2" t="str">
        <f>TEXT(WEEKDAY(DATE(Năm_trên_Lịch,6,8),1),"ddd")</f>
        <v>T7</v>
      </c>
      <c r="K5" s="2" t="str">
        <f>TEXT(WEEKDAY(DATE(Năm_trên_Lịch,6,9),1),"ddd")</f>
        <v>CN</v>
      </c>
      <c r="L5" s="2" t="str">
        <f>TEXT(WEEKDAY(DATE(Năm_trên_Lịch,6,10),1),"ddd")</f>
        <v>T2</v>
      </c>
      <c r="M5" s="2" t="str">
        <f>TEXT(WEEKDAY(DATE(Năm_trên_Lịch,6,11),1),"ddd")</f>
        <v>T3</v>
      </c>
      <c r="N5" s="2" t="str">
        <f>TEXT(WEEKDAY(DATE(Năm_trên_Lịch,6,12),1),"ddd")</f>
        <v>T4</v>
      </c>
      <c r="O5" s="2" t="str">
        <f>TEXT(WEEKDAY(DATE(Năm_trên_Lịch,6,13),1),"ddd")</f>
        <v>T5</v>
      </c>
      <c r="P5" s="2" t="str">
        <f>TEXT(WEEKDAY(DATE(Năm_trên_Lịch,6,14),1),"ddd")</f>
        <v>T6</v>
      </c>
      <c r="Q5" s="2" t="str">
        <f>TEXT(WEEKDAY(DATE(Năm_trên_Lịch,6,15),1),"ddd")</f>
        <v>T7</v>
      </c>
      <c r="R5" s="2" t="str">
        <f>TEXT(WEEKDAY(DATE(Năm_trên_Lịch,6,16),1),"ddd")</f>
        <v>CN</v>
      </c>
      <c r="S5" s="2" t="str">
        <f>TEXT(WEEKDAY(DATE(Năm_trên_Lịch,6,17),1),"ddd")</f>
        <v>T2</v>
      </c>
      <c r="T5" s="2" t="str">
        <f>TEXT(WEEKDAY(DATE(Năm_trên_Lịch,6,18),1),"ddd")</f>
        <v>T3</v>
      </c>
      <c r="U5" s="2" t="str">
        <f>TEXT(WEEKDAY(DATE(Năm_trên_Lịch,6,19),1),"ddd")</f>
        <v>T4</v>
      </c>
      <c r="V5" s="2" t="str">
        <f>TEXT(WEEKDAY(DATE(Năm_trên_Lịch,6,20),1),"ddd")</f>
        <v>T5</v>
      </c>
      <c r="W5" s="2" t="str">
        <f>TEXT(WEEKDAY(DATE(Năm_trên_Lịch,6,21),1),"ddd")</f>
        <v>T6</v>
      </c>
      <c r="X5" s="2" t="str">
        <f>TEXT(WEEKDAY(DATE(Năm_trên_Lịch,6,22),1),"ddd")</f>
        <v>T7</v>
      </c>
      <c r="Y5" s="2" t="str">
        <f>TEXT(WEEKDAY(DATE(Năm_trên_Lịch,6,23),1),"ddd")</f>
        <v>CN</v>
      </c>
      <c r="Z5" s="2" t="str">
        <f>TEXT(WEEKDAY(DATE(Năm_trên_Lịch,6,24),1),"ddd")</f>
        <v>T2</v>
      </c>
      <c r="AA5" s="2" t="str">
        <f>TEXT(WEEKDAY(DATE(Năm_trên_Lịch,6,25),1),"ddd")</f>
        <v>T3</v>
      </c>
      <c r="AB5" s="2" t="str">
        <f>TEXT(WEEKDAY(DATE(Năm_trên_Lịch,6,26),1),"ddd")</f>
        <v>T4</v>
      </c>
      <c r="AC5" s="2" t="str">
        <f>TEXT(WEEKDAY(DATE(Năm_trên_Lịch,6,27),1),"ddd")</f>
        <v>T5</v>
      </c>
      <c r="AD5" s="2" t="str">
        <f>TEXT(WEEKDAY(DATE(Năm_trên_Lịch,6,28),1),"ddd")</f>
        <v>T6</v>
      </c>
      <c r="AE5" s="2" t="str">
        <f>TEXT(WEEKDAY(DATE(Năm_trên_Lịch,6,29),1),"ddd")</f>
        <v>T7</v>
      </c>
      <c r="AF5" s="2" t="str">
        <f>TEXT(WEEKDAY(DATE(Năm_trên_Lịch,6,30),1),"ddd")</f>
        <v>CN</v>
      </c>
      <c r="AG5" s="2"/>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52</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COUNTA(Tháng_Sáu[[#This Row],[1]:[30]])</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COUNTA(Tháng_Sáu[[#This Row],[1]:[30]])</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COUNTA(Tháng_Sáu[[#This Row],[1]:[30]])</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COUNTA(Tháng_Sáu[[#This Row],[1]:[30]])</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COUNTA(Tháng_Sáu[[#This Row],[1]:[30]])</f>
        <v>0</v>
      </c>
    </row>
    <row r="12" spans="2:34" ht="30" customHeight="1" x14ac:dyDescent="0.25">
      <c r="B12" s="17" t="str">
        <f>Tên_Tháng&amp;" Tổng"</f>
        <v>Tháng Sáu Tổng</v>
      </c>
      <c r="C12" s="10">
        <f>SUBTOTAL(103,Tháng_Sáu[1])</f>
        <v>0</v>
      </c>
      <c r="D12" s="10">
        <f>SUBTOTAL(103,Tháng_Sáu[2])</f>
        <v>0</v>
      </c>
      <c r="E12" s="10">
        <f>SUBTOTAL(103,Tháng_Sáu[3])</f>
        <v>0</v>
      </c>
      <c r="F12" s="10">
        <f>SUBTOTAL(103,Tháng_Sáu[4])</f>
        <v>0</v>
      </c>
      <c r="G12" s="10">
        <f>SUBTOTAL(103,Tháng_Sáu[5])</f>
        <v>0</v>
      </c>
      <c r="H12" s="10">
        <f>SUBTOTAL(103,Tháng_Sáu[6])</f>
        <v>0</v>
      </c>
      <c r="I12" s="10">
        <f>SUBTOTAL(103,Tháng_Sáu[7])</f>
        <v>0</v>
      </c>
      <c r="J12" s="10">
        <f>SUBTOTAL(103,Tháng_Sáu[8])</f>
        <v>0</v>
      </c>
      <c r="K12" s="10">
        <f>SUBTOTAL(103,Tháng_Sáu[9])</f>
        <v>0</v>
      </c>
      <c r="L12" s="10">
        <f>SUBTOTAL(103,Tháng_Sáu[10])</f>
        <v>0</v>
      </c>
      <c r="M12" s="10">
        <f>SUBTOTAL(103,Tháng_Sáu[11])</f>
        <v>0</v>
      </c>
      <c r="N12" s="10">
        <f>SUBTOTAL(103,Tháng_Sáu[12])</f>
        <v>0</v>
      </c>
      <c r="O12" s="10">
        <f>SUBTOTAL(103,Tháng_Sáu[13])</f>
        <v>0</v>
      </c>
      <c r="P12" s="10">
        <f>SUBTOTAL(103,Tháng_Sáu[14])</f>
        <v>0</v>
      </c>
      <c r="Q12" s="10">
        <f>SUBTOTAL(103,Tháng_Sáu[15])</f>
        <v>0</v>
      </c>
      <c r="R12" s="10">
        <f>SUBTOTAL(103,Tháng_Sáu[16])</f>
        <v>0</v>
      </c>
      <c r="S12" s="10">
        <f>SUBTOTAL(103,Tháng_Sáu[17])</f>
        <v>0</v>
      </c>
      <c r="T12" s="10">
        <f>SUBTOTAL(103,Tháng_Sáu[18])</f>
        <v>0</v>
      </c>
      <c r="U12" s="10">
        <f>SUBTOTAL(103,Tháng_Sáu[19])</f>
        <v>0</v>
      </c>
      <c r="V12" s="10">
        <f>SUBTOTAL(103,Tháng_Sáu[20])</f>
        <v>0</v>
      </c>
      <c r="W12" s="10">
        <f>SUBTOTAL(103,Tháng_Sáu[21])</f>
        <v>0</v>
      </c>
      <c r="X12" s="10">
        <f>SUBTOTAL(103,Tháng_Sáu[22])</f>
        <v>0</v>
      </c>
      <c r="Y12" s="10">
        <f>SUBTOTAL(103,Tháng_Sáu[23])</f>
        <v>0</v>
      </c>
      <c r="Z12" s="10">
        <f>SUBTOTAL(103,Tháng_Sáu[24])</f>
        <v>0</v>
      </c>
      <c r="AA12" s="10">
        <f>SUBTOTAL(103,Tháng_Sáu[25])</f>
        <v>0</v>
      </c>
      <c r="AB12" s="10">
        <f>SUBTOTAL(103,Tháng_Sáu[26])</f>
        <v>0</v>
      </c>
      <c r="AC12" s="10">
        <f>SUBTOTAL(103,Tháng_Sáu[27])</f>
        <v>0</v>
      </c>
      <c r="AD12" s="10">
        <f>SUBTOTAL(103,Tháng_Sáu[28])</f>
        <v>0</v>
      </c>
      <c r="AE12" s="10">
        <f>SUBTOTAL(103,Tháng_Sáu[29])</f>
        <v>0</v>
      </c>
      <c r="AF12" s="10">
        <f>SUBTOTAL(103,Tháng_Sáu[30])</f>
        <v>0</v>
      </c>
      <c r="AG12" s="10">
        <f>SUBTOTAL(103,Tháng_Sáu[[ ]])</f>
        <v>0</v>
      </c>
      <c r="AH12" s="10">
        <f>SUBTOTAL(109,Tháng_Sáu[Tổng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518" priority="2" stopIfTrue="1">
      <formula>C7=Khóa_Tùy_chỉnh_2</formula>
    </cfRule>
    <cfRule type="expression" dxfId="517" priority="3" stopIfTrue="1">
      <formula>C7=Khóa_Tùy_chỉnh_1</formula>
    </cfRule>
    <cfRule type="expression" dxfId="516" priority="4" stopIfTrue="1">
      <formula>C7=Khóa_Ốm</formula>
    </cfRule>
    <cfRule type="expression" dxfId="515" priority="5" stopIfTrue="1">
      <formula>C7=Khóa_Việc_riêng</formula>
    </cfRule>
    <cfRule type="expression" dxfId="514"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{5E94D469-7B22-408B-924D-8DC8A136AD3B}</x14:id>
        </ext>
      </extLst>
    </cfRule>
  </conditionalFormatting>
  <dataValidations count="14">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500-000000000000}"/>
    <dataValidation allowBlank="1" showInputMessage="1" showErrorMessage="1" prompt="Năm được cập nhật tự động dựa trên năm đã nhập trong trang tính Tháng Một." sqref="AH4" xr:uid="{00000000-0002-0000-0500-000001000000}"/>
    <dataValidation allowBlank="1" showInputMessage="1" showErrorMessage="1" prompt="Tự động tính tổng số ngày một nhân viên đã vắng mặt tháng này trong cột này" sqref="AH6" xr:uid="{00000000-0002-0000-0500-000002000000}"/>
    <dataValidation allowBlank="1" showInputMessage="1" showErrorMessage="1" prompt="Theo dõi sự vắng mặt trong Tháng Sáu tại trang tính này" sqref="A1" xr:uid="{00000000-0002-0000-0500-000003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500-000004000000}"/>
    <dataValidation allowBlank="1" showInputMessage="1" showErrorMessage="1" prompt="Tiêu đề được cập nhật tự động nằm trong ô này. Để sửa đổi tiêu đề, cập nhật B1 trên trang tính Tháng Một" sqref="B1" xr:uid="{00000000-0002-0000-0500-000005000000}"/>
    <dataValidation allowBlank="1" showInputMessage="1" showErrorMessage="1" prompt="Chữ &quot;N&quot; cho biết vắng mặt do nghỉ phép" sqref="C2" xr:uid="{00000000-0002-0000-0500-000006000000}"/>
    <dataValidation allowBlank="1" showInputMessage="1" showErrorMessage="1" prompt="Chữ &quot;V&quot; cho biết vắng mặt do lý do cá nhân" sqref="G2" xr:uid="{00000000-0002-0000-0500-000007000000}"/>
    <dataValidation allowBlank="1" showInputMessage="1" showErrorMessage="1" prompt="Chữ &quot;Ô&quot; cho biết vắng mặt do ốm" sqref="K2" xr:uid="{00000000-0002-0000-0500-000008000000}"/>
    <dataValidation allowBlank="1" showInputMessage="1" showErrorMessage="1" prompt="Nhập một chữ cái rồi tùy chỉnh nhãn ở bên phải để thêm một mục khóa khác" sqref="N2 R2" xr:uid="{00000000-0002-0000-0500-000009000000}"/>
    <dataValidation allowBlank="1" showInputMessage="1" showErrorMessage="1" prompt="Nhập nhãn mô tả khóa tùy chỉnh ở bên trái" sqref="O2:Q2 S2:U2" xr:uid="{00000000-0002-0000-0500-00000A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500-00000B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500-00000C000000}"/>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5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E000000}">
          <x14:formula1>
            <xm:f>'Tên Nhân viên'!$B$4:$B$8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61</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TEXT(WEEKDAY(DATE(Năm_trên_Lịch,7,1),1),"ddd")</f>
        <v>T2</v>
      </c>
      <c r="D5" s="2" t="str">
        <f>TEXT(WEEKDAY(DATE(Năm_trên_Lịch,7,2),1),"ddd")</f>
        <v>T3</v>
      </c>
      <c r="E5" s="2" t="str">
        <f>TEXT(WEEKDAY(DATE(Năm_trên_Lịch,7,3),1),"ddd")</f>
        <v>T4</v>
      </c>
      <c r="F5" s="2" t="str">
        <f>TEXT(WEEKDAY(DATE(Năm_trên_Lịch,7,4),1),"ddd")</f>
        <v>T5</v>
      </c>
      <c r="G5" s="2" t="str">
        <f>TEXT(WEEKDAY(DATE(Năm_trên_Lịch,7,5),1),"ddd")</f>
        <v>T6</v>
      </c>
      <c r="H5" s="2" t="str">
        <f>TEXT(WEEKDAY(DATE(Năm_trên_Lịch,7,6),1),"ddd")</f>
        <v>T7</v>
      </c>
      <c r="I5" s="2" t="str">
        <f>TEXT(WEEKDAY(DATE(Năm_trên_Lịch,7,7),1),"ddd")</f>
        <v>CN</v>
      </c>
      <c r="J5" s="2" t="str">
        <f>TEXT(WEEKDAY(DATE(Năm_trên_Lịch,7,8),1),"ddd")</f>
        <v>T2</v>
      </c>
      <c r="K5" s="2" t="str">
        <f>TEXT(WEEKDAY(DATE(Năm_trên_Lịch,7,9),1),"ddd")</f>
        <v>T3</v>
      </c>
      <c r="L5" s="2" t="str">
        <f>TEXT(WEEKDAY(DATE(Năm_trên_Lịch,7,10),1),"ddd")</f>
        <v>T4</v>
      </c>
      <c r="M5" s="2" t="str">
        <f>TEXT(WEEKDAY(DATE(Năm_trên_Lịch,7,11),1),"ddd")</f>
        <v>T5</v>
      </c>
      <c r="N5" s="2" t="str">
        <f>TEXT(WEEKDAY(DATE(Năm_trên_Lịch,7,12),1),"ddd")</f>
        <v>T6</v>
      </c>
      <c r="O5" s="2" t="str">
        <f>TEXT(WEEKDAY(DATE(Năm_trên_Lịch,7,13),1),"ddd")</f>
        <v>T7</v>
      </c>
      <c r="P5" s="2" t="str">
        <f>TEXT(WEEKDAY(DATE(Năm_trên_Lịch,7,14),1),"ddd")</f>
        <v>CN</v>
      </c>
      <c r="Q5" s="2" t="str">
        <f>TEXT(WEEKDAY(DATE(Năm_trên_Lịch,7,15),1),"ddd")</f>
        <v>T2</v>
      </c>
      <c r="R5" s="2" t="str">
        <f>TEXT(WEEKDAY(DATE(Năm_trên_Lịch,7,16),1),"ddd")</f>
        <v>T3</v>
      </c>
      <c r="S5" s="2" t="str">
        <f>TEXT(WEEKDAY(DATE(Năm_trên_Lịch,7,17),1),"ddd")</f>
        <v>T4</v>
      </c>
      <c r="T5" s="2" t="str">
        <f>TEXT(WEEKDAY(DATE(Năm_trên_Lịch,7,18),1),"ddd")</f>
        <v>T5</v>
      </c>
      <c r="U5" s="2" t="str">
        <f>TEXT(WEEKDAY(DATE(Năm_trên_Lịch,7,19),1),"ddd")</f>
        <v>T6</v>
      </c>
      <c r="V5" s="2" t="str">
        <f>TEXT(WEEKDAY(DATE(Năm_trên_Lịch,7,20),1),"ddd")</f>
        <v>T7</v>
      </c>
      <c r="W5" s="2" t="str">
        <f>TEXT(WEEKDAY(DATE(Năm_trên_Lịch,7,21),1),"ddd")</f>
        <v>CN</v>
      </c>
      <c r="X5" s="2" t="str">
        <f>TEXT(WEEKDAY(DATE(Năm_trên_Lịch,7,22),1),"ddd")</f>
        <v>T2</v>
      </c>
      <c r="Y5" s="2" t="str">
        <f>TEXT(WEEKDAY(DATE(Năm_trên_Lịch,7,23),1),"ddd")</f>
        <v>T3</v>
      </c>
      <c r="Z5" s="2" t="str">
        <f>TEXT(WEEKDAY(DATE(Năm_trên_Lịch,7,24),1),"ddd")</f>
        <v>T4</v>
      </c>
      <c r="AA5" s="2" t="str">
        <f>TEXT(WEEKDAY(DATE(Năm_trên_Lịch,7,25),1),"ddd")</f>
        <v>T5</v>
      </c>
      <c r="AB5" s="2" t="str">
        <f>TEXT(WEEKDAY(DATE(Năm_trên_Lịch,7,26),1),"ddd")</f>
        <v>T6</v>
      </c>
      <c r="AC5" s="2" t="str">
        <f>TEXT(WEEKDAY(DATE(Năm_trên_Lịch,7,27),1),"ddd")</f>
        <v>T7</v>
      </c>
      <c r="AD5" s="2" t="str">
        <f>TEXT(WEEKDAY(DATE(Năm_trên_Lịch,7,28),1),"ddd")</f>
        <v>CN</v>
      </c>
      <c r="AE5" s="2" t="str">
        <f>TEXT(WEEKDAY(DATE(Năm_trên_Lịch,7,29),1),"ddd")</f>
        <v>T2</v>
      </c>
      <c r="AF5" s="2" t="str">
        <f>TEXT(WEEKDAY(DATE(Năm_trên_Lịch,7,30),1),"ddd")</f>
        <v>T3</v>
      </c>
      <c r="AG5" s="2" t="str">
        <f>TEXT(WEEKDAY(DATE(Năm_trên_Lịch,7,31),1),"ddd")</f>
        <v>T4</v>
      </c>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48</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COUNTA(Tháng_Bảy[[#This Row],[1]:[31]])</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COUNTA(Tháng_Bảy[[#This Row],[1]:[31]])</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COUNTA(Tháng_Bảy[[#This Row],[1]:[31]])</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COUNTA(Tháng_Bảy[[#This Row],[1]:[31]])</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COUNTA(Tháng_Bảy[[#This Row],[1]:[31]])</f>
        <v>0</v>
      </c>
    </row>
    <row r="12" spans="2:34" ht="30" customHeight="1" x14ac:dyDescent="0.25">
      <c r="B12" s="17" t="str">
        <f>Tên_Tháng&amp;" Tổng"</f>
        <v>Tháng Bảy Tổng</v>
      </c>
      <c r="C12" s="10">
        <f>SUBTOTAL(103,Tháng_Bảy[1])</f>
        <v>0</v>
      </c>
      <c r="D12" s="10">
        <f>SUBTOTAL(103,Tháng_Bảy[2])</f>
        <v>0</v>
      </c>
      <c r="E12" s="10">
        <f>SUBTOTAL(103,Tháng_Bảy[3])</f>
        <v>0</v>
      </c>
      <c r="F12" s="10">
        <f>SUBTOTAL(103,Tháng_Bảy[4])</f>
        <v>0</v>
      </c>
      <c r="G12" s="10">
        <f>SUBTOTAL(103,Tháng_Bảy[5])</f>
        <v>0</v>
      </c>
      <c r="H12" s="10">
        <f>SUBTOTAL(103,Tháng_Bảy[6])</f>
        <v>0</v>
      </c>
      <c r="I12" s="10">
        <f>SUBTOTAL(103,Tháng_Bảy[7])</f>
        <v>0</v>
      </c>
      <c r="J12" s="10">
        <f>SUBTOTAL(103,Tháng_Bảy[8])</f>
        <v>0</v>
      </c>
      <c r="K12" s="10">
        <f>SUBTOTAL(103,Tháng_Bảy[9])</f>
        <v>0</v>
      </c>
      <c r="L12" s="10">
        <f>SUBTOTAL(103,Tháng_Bảy[10])</f>
        <v>0</v>
      </c>
      <c r="M12" s="10">
        <f>SUBTOTAL(103,Tháng_Bảy[11])</f>
        <v>0</v>
      </c>
      <c r="N12" s="10">
        <f>SUBTOTAL(103,Tháng_Bảy[12])</f>
        <v>0</v>
      </c>
      <c r="O12" s="10">
        <f>SUBTOTAL(103,Tháng_Bảy[13])</f>
        <v>0</v>
      </c>
      <c r="P12" s="10">
        <f>SUBTOTAL(103,Tháng_Bảy[14])</f>
        <v>0</v>
      </c>
      <c r="Q12" s="10">
        <f>SUBTOTAL(103,Tháng_Bảy[15])</f>
        <v>0</v>
      </c>
      <c r="R12" s="10">
        <f>SUBTOTAL(103,Tháng_Bảy[16])</f>
        <v>0</v>
      </c>
      <c r="S12" s="10">
        <f>SUBTOTAL(103,Tháng_Bảy[17])</f>
        <v>0</v>
      </c>
      <c r="T12" s="10">
        <f>SUBTOTAL(103,Tháng_Bảy[18])</f>
        <v>0</v>
      </c>
      <c r="U12" s="10">
        <f>SUBTOTAL(103,Tháng_Bảy[19])</f>
        <v>0</v>
      </c>
      <c r="V12" s="10">
        <f>SUBTOTAL(103,Tháng_Bảy[20])</f>
        <v>0</v>
      </c>
      <c r="W12" s="10">
        <f>SUBTOTAL(103,Tháng_Bảy[21])</f>
        <v>0</v>
      </c>
      <c r="X12" s="10">
        <f>SUBTOTAL(103,Tháng_Bảy[22])</f>
        <v>0</v>
      </c>
      <c r="Y12" s="10">
        <f>SUBTOTAL(103,Tháng_Bảy[23])</f>
        <v>0</v>
      </c>
      <c r="Z12" s="10">
        <f>SUBTOTAL(103,Tháng_Bảy[24])</f>
        <v>0</v>
      </c>
      <c r="AA12" s="10">
        <f>SUBTOTAL(103,Tháng_Bảy[25])</f>
        <v>0</v>
      </c>
      <c r="AB12" s="10">
        <f>SUBTOTAL(103,Tháng_Bảy[26])</f>
        <v>0</v>
      </c>
      <c r="AC12" s="10">
        <f>SUBTOTAL(103,Tháng_Bảy[27])</f>
        <v>0</v>
      </c>
      <c r="AD12" s="10">
        <f>SUBTOTAL(103,Tháng_Bảy[28])</f>
        <v>0</v>
      </c>
      <c r="AE12" s="10">
        <f>SUBTOTAL(103,Tháng_Bảy[29])</f>
        <v>0</v>
      </c>
      <c r="AF12" s="10">
        <f>SUBTOTAL(103,Tháng_Bảy[30])</f>
        <v>0</v>
      </c>
      <c r="AG12" s="10">
        <f>SUBTOTAL(103,Tháng_Bảy[31])</f>
        <v>0</v>
      </c>
      <c r="AH12" s="10">
        <f>SUBTOTAL(109,Tháng_Bảy[Tổng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444" priority="2" stopIfTrue="1">
      <formula>C7=Khóa_Tùy_chỉnh_2</formula>
    </cfRule>
    <cfRule type="expression" dxfId="443" priority="3" stopIfTrue="1">
      <formula>C7=Khóa_Tùy_chỉnh_1</formula>
    </cfRule>
    <cfRule type="expression" dxfId="442" priority="4" stopIfTrue="1">
      <formula>C7=Khóa_Ốm</formula>
    </cfRule>
    <cfRule type="expression" dxfId="441" priority="5" stopIfTrue="1">
      <formula>C7=Khóa_Việc_riêng</formula>
    </cfRule>
    <cfRule type="expression" dxfId="440"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{E0DCF129-9B2A-4CEB-9E56-27607F4BED20}</x14:id>
        </ext>
      </extLst>
    </cfRule>
  </conditionalFormatting>
  <dataValidations count="14">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600-000000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600-000001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600-000002000000}"/>
    <dataValidation allowBlank="1" showInputMessage="1" showErrorMessage="1" prompt="Nhập nhãn mô tả khóa tùy chỉnh ở bên trái" sqref="O2:Q2 S2:U2" xr:uid="{00000000-0002-0000-0600-000003000000}"/>
    <dataValidation allowBlank="1" showInputMessage="1" showErrorMessage="1" prompt="Nhập một chữ cái rồi tùy chỉnh nhãn ở bên phải để thêm một mục khóa khác" sqref="N2 R2" xr:uid="{00000000-0002-0000-0600-000004000000}"/>
    <dataValidation allowBlank="1" showInputMessage="1" showErrorMessage="1" prompt="Chữ &quot;Ô&quot; cho biết vắng mặt do ốm" sqref="K2" xr:uid="{00000000-0002-0000-0600-000005000000}"/>
    <dataValidation allowBlank="1" showInputMessage="1" showErrorMessage="1" prompt="Chữ &quot;V&quot; cho biết vắng mặt do lý do cá nhân" sqref="G2" xr:uid="{00000000-0002-0000-0600-000006000000}"/>
    <dataValidation allowBlank="1" showInputMessage="1" showErrorMessage="1" prompt="Chữ &quot;N&quot; cho biết vắng mặt do nghỉ phép" sqref="C2" xr:uid="{00000000-0002-0000-0600-000007000000}"/>
    <dataValidation allowBlank="1" showInputMessage="1" showErrorMessage="1" prompt="Tiêu đề được cập nhật tự động nằm trong ô này. Để sửa đổi tiêu đề, cập nhật B1 trên trang tính Tháng Một" sqref="B1" xr:uid="{00000000-0002-0000-0600-000008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600-000009000000}"/>
    <dataValidation allowBlank="1" showInputMessage="1" showErrorMessage="1" prompt="Theo dõi sự vắng mặt trong Tháng Bảy tại trang tính này" sqref="A1" xr:uid="{00000000-0002-0000-0600-00000A000000}"/>
    <dataValidation allowBlank="1" showInputMessage="1" showErrorMessage="1" prompt="Tự động tính tổng số ngày một nhân viên đã vắng mặt tháng này trong cột này" sqref="AH6" xr:uid="{00000000-0002-0000-0600-00000B000000}"/>
    <dataValidation allowBlank="1" showInputMessage="1" showErrorMessage="1" prompt="Năm được cập nhật tự động dựa trên năm đã nhập trong trang tính Tháng Một." sqref="AH4" xr:uid="{00000000-0002-0000-0600-00000C000000}"/>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6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E000000}">
          <x14:formula1>
            <xm:f>'Tên Nhân viên'!$B$4:$B$8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749992370372631"/>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62</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TEXT(WEEKDAY(DATE(Năm_trên_Lịch,8,1),1),"ddd")</f>
        <v>T5</v>
      </c>
      <c r="D5" s="2" t="str">
        <f>TEXT(WEEKDAY(DATE(Năm_trên_Lịch,8,2),1),"ddd")</f>
        <v>T6</v>
      </c>
      <c r="E5" s="2" t="str">
        <f>TEXT(WEEKDAY(DATE(Năm_trên_Lịch,8,3),1),"ddd")</f>
        <v>T7</v>
      </c>
      <c r="F5" s="2" t="str">
        <f>TEXT(WEEKDAY(DATE(Năm_trên_Lịch,8,4),1),"ddd")</f>
        <v>CN</v>
      </c>
      <c r="G5" s="2" t="str">
        <f>TEXT(WEEKDAY(DATE(Năm_trên_Lịch,8,5),1),"ddd")</f>
        <v>T2</v>
      </c>
      <c r="H5" s="2" t="str">
        <f>TEXT(WEEKDAY(DATE(Năm_trên_Lịch,8,6),1),"ddd")</f>
        <v>T3</v>
      </c>
      <c r="I5" s="2" t="str">
        <f>TEXT(WEEKDAY(DATE(Năm_trên_Lịch,8,7),1),"ddd")</f>
        <v>T4</v>
      </c>
      <c r="J5" s="2" t="str">
        <f>TEXT(WEEKDAY(DATE(Năm_trên_Lịch,8,8),1),"ddd")</f>
        <v>T5</v>
      </c>
      <c r="K5" s="2" t="str">
        <f>TEXT(WEEKDAY(DATE(Năm_trên_Lịch,8,9),1),"ddd")</f>
        <v>T6</v>
      </c>
      <c r="L5" s="2" t="str">
        <f>TEXT(WEEKDAY(DATE(Năm_trên_Lịch,8,10),1),"ddd")</f>
        <v>T7</v>
      </c>
      <c r="M5" s="2" t="str">
        <f>TEXT(WEEKDAY(DATE(Năm_trên_Lịch,8,11),1),"ddd")</f>
        <v>CN</v>
      </c>
      <c r="N5" s="2" t="str">
        <f>TEXT(WEEKDAY(DATE(Năm_trên_Lịch,8,12),1),"ddd")</f>
        <v>T2</v>
      </c>
      <c r="O5" s="2" t="str">
        <f>TEXT(WEEKDAY(DATE(Năm_trên_Lịch,8,13),1),"ddd")</f>
        <v>T3</v>
      </c>
      <c r="P5" s="2" t="str">
        <f>TEXT(WEEKDAY(DATE(Năm_trên_Lịch,8,14),1),"ddd")</f>
        <v>T4</v>
      </c>
      <c r="Q5" s="2" t="str">
        <f>TEXT(WEEKDAY(DATE(Năm_trên_Lịch,8,15),1),"ddd")</f>
        <v>T5</v>
      </c>
      <c r="R5" s="2" t="str">
        <f>TEXT(WEEKDAY(DATE(Năm_trên_Lịch,8,16),1),"ddd")</f>
        <v>T6</v>
      </c>
      <c r="S5" s="2" t="str">
        <f>TEXT(WEEKDAY(DATE(Năm_trên_Lịch,8,17),1),"ddd")</f>
        <v>T7</v>
      </c>
      <c r="T5" s="2" t="str">
        <f>TEXT(WEEKDAY(DATE(Năm_trên_Lịch,8,18),1),"ddd")</f>
        <v>CN</v>
      </c>
      <c r="U5" s="2" t="str">
        <f>TEXT(WEEKDAY(DATE(Năm_trên_Lịch,8,19),1),"ddd")</f>
        <v>T2</v>
      </c>
      <c r="V5" s="2" t="str">
        <f>TEXT(WEEKDAY(DATE(Năm_trên_Lịch,8,20),1),"ddd")</f>
        <v>T3</v>
      </c>
      <c r="W5" s="2" t="str">
        <f>TEXT(WEEKDAY(DATE(Năm_trên_Lịch,8,21),1),"ddd")</f>
        <v>T4</v>
      </c>
      <c r="X5" s="2" t="str">
        <f>TEXT(WEEKDAY(DATE(Năm_trên_Lịch,8,22),1),"ddd")</f>
        <v>T5</v>
      </c>
      <c r="Y5" s="2" t="str">
        <f>TEXT(WEEKDAY(DATE(Năm_trên_Lịch,8,23),1),"ddd")</f>
        <v>T6</v>
      </c>
      <c r="Z5" s="2" t="str">
        <f>TEXT(WEEKDAY(DATE(Năm_trên_Lịch,8,24),1),"ddd")</f>
        <v>T7</v>
      </c>
      <c r="AA5" s="2" t="str">
        <f>TEXT(WEEKDAY(DATE(Năm_trên_Lịch,8,25),1),"ddd")</f>
        <v>CN</v>
      </c>
      <c r="AB5" s="2" t="str">
        <f>TEXT(WEEKDAY(DATE(Năm_trên_Lịch,8,26),1),"ddd")</f>
        <v>T2</v>
      </c>
      <c r="AC5" s="2" t="str">
        <f>TEXT(WEEKDAY(DATE(Năm_trên_Lịch,8,27),1),"ddd")</f>
        <v>T3</v>
      </c>
      <c r="AD5" s="2" t="str">
        <f>TEXT(WEEKDAY(DATE(Năm_trên_Lịch,8,28),1),"ddd")</f>
        <v>T4</v>
      </c>
      <c r="AE5" s="2" t="str">
        <f>TEXT(WEEKDAY(DATE(Năm_trên_Lịch,8,29),1),"ddd")</f>
        <v>T5</v>
      </c>
      <c r="AF5" s="2" t="str">
        <f>TEXT(WEEKDAY(DATE(Năm_trên_Lịch,8,30),1),"ddd")</f>
        <v>T6</v>
      </c>
      <c r="AG5" s="2" t="str">
        <f>TEXT(WEEKDAY(DATE(Năm_trên_Lịch,8,31),1),"ddd")</f>
        <v>T7</v>
      </c>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48</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COUNTA(Tháng_Tám[[#This Row],[1]:[31]])</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COUNTA(Tháng_Tám[[#This Row],[1]:[31]])</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COUNTA(Tháng_Tám[[#This Row],[1]:[31]])</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COUNTA(Tháng_Tám[[#This Row],[1]:[31]])</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COUNTA(Tháng_Tám[[#This Row],[1]:[31]])</f>
        <v>0</v>
      </c>
    </row>
    <row r="12" spans="2:34" ht="30" customHeight="1" x14ac:dyDescent="0.25">
      <c r="B12" s="17" t="str">
        <f>Tên_Tháng&amp;" Tổng"</f>
        <v>Tháng Tám Tổng</v>
      </c>
      <c r="C12" s="10">
        <f>SUBTOTAL(103,Tháng_Tám[1])</f>
        <v>0</v>
      </c>
      <c r="D12" s="10">
        <f>SUBTOTAL(103,Tháng_Tám[2])</f>
        <v>0</v>
      </c>
      <c r="E12" s="10">
        <f>SUBTOTAL(103,Tháng_Tám[3])</f>
        <v>0</v>
      </c>
      <c r="F12" s="10">
        <f>SUBTOTAL(103,Tháng_Tám[4])</f>
        <v>0</v>
      </c>
      <c r="G12" s="10">
        <f>SUBTOTAL(103,Tháng_Tám[5])</f>
        <v>0</v>
      </c>
      <c r="H12" s="10">
        <f>SUBTOTAL(103,Tháng_Tám[6])</f>
        <v>0</v>
      </c>
      <c r="I12" s="10">
        <f>SUBTOTAL(103,Tháng_Tám[7])</f>
        <v>0</v>
      </c>
      <c r="J12" s="10">
        <f>SUBTOTAL(103,Tháng_Tám[8])</f>
        <v>0</v>
      </c>
      <c r="K12" s="10">
        <f>SUBTOTAL(103,Tháng_Tám[9])</f>
        <v>0</v>
      </c>
      <c r="L12" s="10">
        <f>SUBTOTAL(103,Tháng_Tám[10])</f>
        <v>0</v>
      </c>
      <c r="M12" s="10">
        <f>SUBTOTAL(103,Tháng_Tám[11])</f>
        <v>0</v>
      </c>
      <c r="N12" s="10">
        <f>SUBTOTAL(103,Tháng_Tám[12])</f>
        <v>0</v>
      </c>
      <c r="O12" s="10">
        <f>SUBTOTAL(103,Tháng_Tám[13])</f>
        <v>0</v>
      </c>
      <c r="P12" s="10">
        <f>SUBTOTAL(103,Tháng_Tám[14])</f>
        <v>0</v>
      </c>
      <c r="Q12" s="10">
        <f>SUBTOTAL(103,Tháng_Tám[15])</f>
        <v>0</v>
      </c>
      <c r="R12" s="10">
        <f>SUBTOTAL(103,Tháng_Tám[16])</f>
        <v>0</v>
      </c>
      <c r="S12" s="10">
        <f>SUBTOTAL(103,Tháng_Tám[17])</f>
        <v>0</v>
      </c>
      <c r="T12" s="10">
        <f>SUBTOTAL(103,Tháng_Tám[18])</f>
        <v>0</v>
      </c>
      <c r="U12" s="10">
        <f>SUBTOTAL(103,Tháng_Tám[19])</f>
        <v>0</v>
      </c>
      <c r="V12" s="10">
        <f>SUBTOTAL(103,Tháng_Tám[20])</f>
        <v>0</v>
      </c>
      <c r="W12" s="10">
        <f>SUBTOTAL(103,Tháng_Tám[21])</f>
        <v>0</v>
      </c>
      <c r="X12" s="10">
        <f>SUBTOTAL(103,Tháng_Tám[22])</f>
        <v>0</v>
      </c>
      <c r="Y12" s="10">
        <f>SUBTOTAL(103,Tháng_Tám[23])</f>
        <v>0</v>
      </c>
      <c r="Z12" s="10">
        <f>SUBTOTAL(103,Tháng_Tám[24])</f>
        <v>0</v>
      </c>
      <c r="AA12" s="10">
        <f>SUBTOTAL(103,Tháng_Tám[25])</f>
        <v>0</v>
      </c>
      <c r="AB12" s="10">
        <f>SUBTOTAL(103,Tháng_Tám[26])</f>
        <v>0</v>
      </c>
      <c r="AC12" s="10">
        <f>SUBTOTAL(103,Tháng_Tám[27])</f>
        <v>0</v>
      </c>
      <c r="AD12" s="10">
        <f>SUBTOTAL(103,Tháng_Tám[28])</f>
        <v>0</v>
      </c>
      <c r="AE12" s="10">
        <f>SUBTOTAL(103,Tháng_Tám[29])</f>
        <v>0</v>
      </c>
      <c r="AF12" s="10">
        <f>SUBTOTAL(103,Tháng_Tám[30])</f>
        <v>0</v>
      </c>
      <c r="AG12" s="10">
        <f>SUBTOTAL(103,Tháng_Tám[31])</f>
        <v>0</v>
      </c>
      <c r="AH12" s="10">
        <f>SUBTOTAL(109,Tháng_Tám[Tổng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370" priority="2" stopIfTrue="1">
      <formula>C7=Khóa_Tùy_chỉnh_2</formula>
    </cfRule>
    <cfRule type="expression" dxfId="369" priority="3" stopIfTrue="1">
      <formula>C7=Khóa_Tùy_chỉnh_1</formula>
    </cfRule>
    <cfRule type="expression" dxfId="368" priority="4" stopIfTrue="1">
      <formula>C7=Khóa_Ốm</formula>
    </cfRule>
    <cfRule type="expression" dxfId="367" priority="5" stopIfTrue="1">
      <formula>C7=Khóa_Việc_riêng</formula>
    </cfRule>
    <cfRule type="expression" dxfId="366"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{09900229-9536-43AB-AAE0-FC121BDECD61}</x14:id>
        </ext>
      </extLst>
    </cfRule>
  </conditionalFormatting>
  <dataValidations count="14">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700-000000000000}"/>
    <dataValidation allowBlank="1" showInputMessage="1" showErrorMessage="1" prompt="Năm được cập nhật tự động dựa trên năm đã nhập trong trang tính Tháng Một." sqref="AH4" xr:uid="{00000000-0002-0000-0700-000001000000}"/>
    <dataValidation allowBlank="1" showInputMessage="1" showErrorMessage="1" prompt="Tự động tính tổng số ngày một nhân viên đã vắng mặt tháng này trong cột này" sqref="AH6" xr:uid="{00000000-0002-0000-0700-000002000000}"/>
    <dataValidation allowBlank="1" showInputMessage="1" showErrorMessage="1" prompt="Theo dõi sự vắng mặt trong Tháng Tám tại trang tính này" sqref="A1" xr:uid="{00000000-0002-0000-0700-000003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700-000004000000}"/>
    <dataValidation allowBlank="1" showInputMessage="1" showErrorMessage="1" prompt="Tiêu đề được cập nhật tự động nằm trong ô này. Để sửa đổi tiêu đề, cập nhật B1 trên trang tính Tháng Một" sqref="B1" xr:uid="{00000000-0002-0000-0700-000005000000}"/>
    <dataValidation allowBlank="1" showInputMessage="1" showErrorMessage="1" prompt="Chữ &quot;N&quot; cho biết vắng mặt do nghỉ phép" sqref="C2" xr:uid="{00000000-0002-0000-0700-000006000000}"/>
    <dataValidation allowBlank="1" showInputMessage="1" showErrorMessage="1" prompt="Chữ &quot;V&quot; cho biết vắng mặt do lý do cá nhân" sqref="G2" xr:uid="{00000000-0002-0000-0700-000007000000}"/>
    <dataValidation allowBlank="1" showInputMessage="1" showErrorMessage="1" prompt="Chữ &quot;Ô&quot; cho biết vắng mặt do ốm" sqref="K2" xr:uid="{00000000-0002-0000-0700-000008000000}"/>
    <dataValidation allowBlank="1" showInputMessage="1" showErrorMessage="1" prompt="Nhập một chữ cái rồi tùy chỉnh nhãn ở bên phải để thêm một mục khóa khác" sqref="N2 R2" xr:uid="{00000000-0002-0000-0700-000009000000}"/>
    <dataValidation allowBlank="1" showInputMessage="1" showErrorMessage="1" prompt="Nhập nhãn mô tả khóa tùy chỉnh ở bên trái" sqref="O2:Q2 S2:U2" xr:uid="{00000000-0002-0000-0700-00000A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700-00000B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700-00000C000000}"/>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7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E000000}">
          <x14:formula1>
            <xm:f>'Tên Nhân viên'!$B$4:$B$8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pageSetUpPr fitToPage="1"/>
  </sheetPr>
  <dimension ref="B1:AH12"/>
  <sheetViews>
    <sheetView showGridLines="0" zoomScaleNormal="100" workbookViewId="0"/>
  </sheetViews>
  <sheetFormatPr defaultRowHeight="30" customHeight="1" x14ac:dyDescent="0.25"/>
  <cols>
    <col min="1" max="1" width="2.7109375" customWidth="1"/>
    <col min="2" max="2" width="25.7109375" customWidth="1"/>
    <col min="3" max="33" width="4.7109375" customWidth="1"/>
    <col min="34" max="34" width="13.5703125" customWidth="1"/>
    <col min="35" max="35" width="2.7109375" customWidth="1"/>
  </cols>
  <sheetData>
    <row r="1" spans="2:34" ht="50.1" customHeight="1" x14ac:dyDescent="0.25">
      <c r="B1" s="11" t="str">
        <f>Tiêu_đề_Vắng_mặt_Nhân_viên</f>
        <v>Lịch biểu Vắng mặt Nhân viên</v>
      </c>
    </row>
    <row r="2" spans="2:34" ht="15" customHeight="1" x14ac:dyDescent="0.25">
      <c r="B2" s="15" t="s">
        <v>1</v>
      </c>
      <c r="C2" s="3" t="s">
        <v>9</v>
      </c>
      <c r="D2" s="20" t="s">
        <v>12</v>
      </c>
      <c r="E2" s="20"/>
      <c r="F2" s="20"/>
      <c r="G2" s="4" t="s">
        <v>15</v>
      </c>
      <c r="H2" s="20" t="s">
        <v>19</v>
      </c>
      <c r="I2" s="20"/>
      <c r="J2" s="20"/>
      <c r="K2" s="5" t="s">
        <v>17</v>
      </c>
      <c r="L2" s="20" t="s">
        <v>24</v>
      </c>
      <c r="M2" s="20"/>
      <c r="N2" s="6"/>
      <c r="O2" s="20" t="s">
        <v>28</v>
      </c>
      <c r="P2" s="20"/>
      <c r="Q2" s="20"/>
      <c r="R2" s="7"/>
      <c r="S2" s="20" t="s">
        <v>33</v>
      </c>
      <c r="T2" s="20"/>
      <c r="U2" s="20"/>
    </row>
    <row r="3" spans="2:34" ht="15" customHeight="1" x14ac:dyDescent="0.25">
      <c r="B3" s="11"/>
    </row>
    <row r="4" spans="2:34" ht="30" customHeight="1" x14ac:dyDescent="0.25">
      <c r="B4" s="9" t="s">
        <v>63</v>
      </c>
      <c r="C4" s="19" t="s">
        <v>10</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9">
        <f>Năm_trên_Lịch</f>
        <v>2019</v>
      </c>
    </row>
    <row r="5" spans="2:34" ht="15" customHeight="1" x14ac:dyDescent="0.25">
      <c r="B5" s="9"/>
      <c r="C5" s="2" t="str">
        <f>TEXT(WEEKDAY(DATE(Năm_trên_Lịch,9,1),1),"ddd")</f>
        <v>CN</v>
      </c>
      <c r="D5" s="2" t="str">
        <f>TEXT(WEEKDAY(DATE(Năm_trên_Lịch,9,2),1),"ddd")</f>
        <v>T2</v>
      </c>
      <c r="E5" s="2" t="str">
        <f>TEXT(WEEKDAY(DATE(Năm_trên_Lịch,9,3),1),"ddd")</f>
        <v>T3</v>
      </c>
      <c r="F5" s="2" t="str">
        <f>TEXT(WEEKDAY(DATE(Năm_trên_Lịch,9,4),1),"ddd")</f>
        <v>T4</v>
      </c>
      <c r="G5" s="2" t="str">
        <f>TEXT(WEEKDAY(DATE(Năm_trên_Lịch,9,5),1),"ddd")</f>
        <v>T5</v>
      </c>
      <c r="H5" s="2" t="str">
        <f>TEXT(WEEKDAY(DATE(Năm_trên_Lịch,9,6),1),"ddd")</f>
        <v>T6</v>
      </c>
      <c r="I5" s="2" t="str">
        <f>TEXT(WEEKDAY(DATE(Năm_trên_Lịch,9,7),1),"ddd")</f>
        <v>T7</v>
      </c>
      <c r="J5" s="2" t="str">
        <f>TEXT(WEEKDAY(DATE(Năm_trên_Lịch,9,8),1),"ddd")</f>
        <v>CN</v>
      </c>
      <c r="K5" s="2" t="str">
        <f>TEXT(WEEKDAY(DATE(Năm_trên_Lịch,9,9),1),"ddd")</f>
        <v>T2</v>
      </c>
      <c r="L5" s="2" t="str">
        <f>TEXT(WEEKDAY(DATE(Năm_trên_Lịch,9,10),1),"ddd")</f>
        <v>T3</v>
      </c>
      <c r="M5" s="2" t="str">
        <f>TEXT(WEEKDAY(DATE(Năm_trên_Lịch,9,11),1),"ddd")</f>
        <v>T4</v>
      </c>
      <c r="N5" s="2" t="str">
        <f>TEXT(WEEKDAY(DATE(Năm_trên_Lịch,9,12),1),"ddd")</f>
        <v>T5</v>
      </c>
      <c r="O5" s="2" t="str">
        <f>TEXT(WEEKDAY(DATE(Năm_trên_Lịch,9,13),1),"ddd")</f>
        <v>T6</v>
      </c>
      <c r="P5" s="2" t="str">
        <f>TEXT(WEEKDAY(DATE(Năm_trên_Lịch,9,14),1),"ddd")</f>
        <v>T7</v>
      </c>
      <c r="Q5" s="2" t="str">
        <f>TEXT(WEEKDAY(DATE(Năm_trên_Lịch,9,15),1),"ddd")</f>
        <v>CN</v>
      </c>
      <c r="R5" s="2" t="str">
        <f>TEXT(WEEKDAY(DATE(Năm_trên_Lịch,9,16),1),"ddd")</f>
        <v>T2</v>
      </c>
      <c r="S5" s="2" t="str">
        <f>TEXT(WEEKDAY(DATE(Năm_trên_Lịch,9,17),1),"ddd")</f>
        <v>T3</v>
      </c>
      <c r="T5" s="2" t="str">
        <f>TEXT(WEEKDAY(DATE(Năm_trên_Lịch,9,18),1),"ddd")</f>
        <v>T4</v>
      </c>
      <c r="U5" s="2" t="str">
        <f>TEXT(WEEKDAY(DATE(Năm_trên_Lịch,9,19),1),"ddd")</f>
        <v>T5</v>
      </c>
      <c r="V5" s="2" t="str">
        <f>TEXT(WEEKDAY(DATE(Năm_trên_Lịch,9,20),1),"ddd")</f>
        <v>T6</v>
      </c>
      <c r="W5" s="2" t="str">
        <f>TEXT(WEEKDAY(DATE(Năm_trên_Lịch,9,21),1),"ddd")</f>
        <v>T7</v>
      </c>
      <c r="X5" s="2" t="str">
        <f>TEXT(WEEKDAY(DATE(Năm_trên_Lịch,9,22),1),"ddd")</f>
        <v>CN</v>
      </c>
      <c r="Y5" s="2" t="str">
        <f>TEXT(WEEKDAY(DATE(Năm_trên_Lịch,9,23),1),"ddd")</f>
        <v>T2</v>
      </c>
      <c r="Z5" s="2" t="str">
        <f>TEXT(WEEKDAY(DATE(Năm_trên_Lịch,9,24),1),"ddd")</f>
        <v>T3</v>
      </c>
      <c r="AA5" s="2" t="str">
        <f>TEXT(WEEKDAY(DATE(Năm_trên_Lịch,9,25),1),"ddd")</f>
        <v>T4</v>
      </c>
      <c r="AB5" s="2" t="str">
        <f>TEXT(WEEKDAY(DATE(Năm_trên_Lịch,9,26),1),"ddd")</f>
        <v>T5</v>
      </c>
      <c r="AC5" s="2" t="str">
        <f>TEXT(WEEKDAY(DATE(Năm_trên_Lịch,9,27),1),"ddd")</f>
        <v>T6</v>
      </c>
      <c r="AD5" s="2" t="str">
        <f>TEXT(WEEKDAY(DATE(Năm_trên_Lịch,9,28),1),"ddd")</f>
        <v>T7</v>
      </c>
      <c r="AE5" s="2" t="str">
        <f>TEXT(WEEKDAY(DATE(Năm_trên_Lịch,9,29),1),"ddd")</f>
        <v>CN</v>
      </c>
      <c r="AF5" s="2" t="str">
        <f>TEXT(WEEKDAY(DATE(Năm_trên_Lịch,9,30),1),"ddd")</f>
        <v>T2</v>
      </c>
      <c r="AG5" s="2"/>
      <c r="AH5" s="9"/>
    </row>
    <row r="6" spans="2:34" ht="15" customHeight="1" x14ac:dyDescent="0.25">
      <c r="B6" s="12" t="s">
        <v>3</v>
      </c>
      <c r="C6" s="2" t="s">
        <v>11</v>
      </c>
      <c r="D6" s="2" t="s">
        <v>13</v>
      </c>
      <c r="E6" s="2" t="s">
        <v>14</v>
      </c>
      <c r="F6" s="2" t="s">
        <v>16</v>
      </c>
      <c r="G6" s="2" t="s">
        <v>18</v>
      </c>
      <c r="H6" s="2" t="s">
        <v>20</v>
      </c>
      <c r="I6" s="2" t="s">
        <v>21</v>
      </c>
      <c r="J6" s="2" t="s">
        <v>22</v>
      </c>
      <c r="K6" s="2" t="s">
        <v>23</v>
      </c>
      <c r="L6" s="2" t="s">
        <v>25</v>
      </c>
      <c r="M6" s="2" t="s">
        <v>26</v>
      </c>
      <c r="N6" s="2" t="s">
        <v>27</v>
      </c>
      <c r="O6" s="2" t="s">
        <v>29</v>
      </c>
      <c r="P6" s="2" t="s">
        <v>30</v>
      </c>
      <c r="Q6" s="2" t="s">
        <v>31</v>
      </c>
      <c r="R6" s="2" t="s">
        <v>32</v>
      </c>
      <c r="S6" s="2" t="s">
        <v>34</v>
      </c>
      <c r="T6" s="2" t="s">
        <v>35</v>
      </c>
      <c r="U6" s="2" t="s">
        <v>36</v>
      </c>
      <c r="V6" s="2" t="s">
        <v>37</v>
      </c>
      <c r="W6" s="2" t="s">
        <v>38</v>
      </c>
      <c r="X6" s="2" t="s">
        <v>39</v>
      </c>
      <c r="Y6" s="2" t="s">
        <v>40</v>
      </c>
      <c r="Z6" s="2" t="s">
        <v>41</v>
      </c>
      <c r="AA6" s="2" t="s">
        <v>42</v>
      </c>
      <c r="AB6" s="2" t="s">
        <v>43</v>
      </c>
      <c r="AC6" s="2" t="s">
        <v>44</v>
      </c>
      <c r="AD6" s="2" t="s">
        <v>45</v>
      </c>
      <c r="AE6" s="2" t="s">
        <v>46</v>
      </c>
      <c r="AF6" s="2" t="s">
        <v>47</v>
      </c>
      <c r="AG6" s="2" t="s">
        <v>52</v>
      </c>
      <c r="AH6" s="13" t="s">
        <v>50</v>
      </c>
    </row>
    <row r="7" spans="2:34" ht="30" customHeight="1" x14ac:dyDescent="0.25">
      <c r="B7" s="1" t="s">
        <v>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8">
        <f>COUNTA(Tháng_Chín[[#This Row],[1]:[30]])</f>
        <v>0</v>
      </c>
    </row>
    <row r="8" spans="2:34" ht="30" customHeight="1" x14ac:dyDescent="0.25">
      <c r="B8" s="1" t="s">
        <v>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8">
        <f>COUNTA(Tháng_Chín[[#This Row],[1]:[30]])</f>
        <v>0</v>
      </c>
    </row>
    <row r="9" spans="2:34" ht="30" customHeight="1" x14ac:dyDescent="0.25">
      <c r="B9" s="1" t="s">
        <v>6</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8">
        <f>COUNTA(Tháng_Chín[[#This Row],[1]:[30]])</f>
        <v>0</v>
      </c>
    </row>
    <row r="10" spans="2:34" ht="30" customHeight="1" x14ac:dyDescent="0.25">
      <c r="B10" s="1" t="s">
        <v>7</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8">
        <f>COUNTA(Tháng_Chín[[#This Row],[1]:[30]])</f>
        <v>0</v>
      </c>
    </row>
    <row r="11" spans="2:34" ht="30" customHeight="1" x14ac:dyDescent="0.25">
      <c r="B11" s="1" t="s">
        <v>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8">
        <f>COUNTA(Tháng_Chín[[#This Row],[1]:[30]])</f>
        <v>0</v>
      </c>
    </row>
    <row r="12" spans="2:34" ht="30" customHeight="1" x14ac:dyDescent="0.25">
      <c r="B12" s="17" t="str">
        <f>Tên_Tháng&amp;" Tổng"</f>
        <v>Tháng Chín Tổng</v>
      </c>
      <c r="C12" s="10">
        <f>SUBTOTAL(103,Tháng_Chín[1])</f>
        <v>0</v>
      </c>
      <c r="D12" s="10">
        <f>SUBTOTAL(103,Tháng_Chín[2])</f>
        <v>0</v>
      </c>
      <c r="E12" s="10">
        <f>SUBTOTAL(103,Tháng_Chín[3])</f>
        <v>0</v>
      </c>
      <c r="F12" s="10">
        <f>SUBTOTAL(103,Tháng_Chín[4])</f>
        <v>0</v>
      </c>
      <c r="G12" s="10">
        <f>SUBTOTAL(103,Tháng_Chín[5])</f>
        <v>0</v>
      </c>
      <c r="H12" s="10">
        <f>SUBTOTAL(103,Tháng_Chín[6])</f>
        <v>0</v>
      </c>
      <c r="I12" s="10">
        <f>SUBTOTAL(103,Tháng_Chín[7])</f>
        <v>0</v>
      </c>
      <c r="J12" s="10">
        <f>SUBTOTAL(103,Tháng_Chín[8])</f>
        <v>0</v>
      </c>
      <c r="K12" s="10">
        <f>SUBTOTAL(103,Tháng_Chín[9])</f>
        <v>0</v>
      </c>
      <c r="L12" s="10">
        <f>SUBTOTAL(103,Tháng_Chín[10])</f>
        <v>0</v>
      </c>
      <c r="M12" s="10">
        <f>SUBTOTAL(103,Tháng_Chín[11])</f>
        <v>0</v>
      </c>
      <c r="N12" s="10">
        <f>SUBTOTAL(103,Tháng_Chín[12])</f>
        <v>0</v>
      </c>
      <c r="O12" s="10">
        <f>SUBTOTAL(103,Tháng_Chín[13])</f>
        <v>0</v>
      </c>
      <c r="P12" s="10">
        <f>SUBTOTAL(103,Tháng_Chín[14])</f>
        <v>0</v>
      </c>
      <c r="Q12" s="10">
        <f>SUBTOTAL(103,Tháng_Chín[15])</f>
        <v>0</v>
      </c>
      <c r="R12" s="10">
        <f>SUBTOTAL(103,Tháng_Chín[16])</f>
        <v>0</v>
      </c>
      <c r="S12" s="10">
        <f>SUBTOTAL(103,Tháng_Chín[17])</f>
        <v>0</v>
      </c>
      <c r="T12" s="10">
        <f>SUBTOTAL(103,Tháng_Chín[18])</f>
        <v>0</v>
      </c>
      <c r="U12" s="10">
        <f>SUBTOTAL(103,Tháng_Chín[19])</f>
        <v>0</v>
      </c>
      <c r="V12" s="10">
        <f>SUBTOTAL(103,Tháng_Chín[20])</f>
        <v>0</v>
      </c>
      <c r="W12" s="10">
        <f>SUBTOTAL(103,Tháng_Chín[21])</f>
        <v>0</v>
      </c>
      <c r="X12" s="10">
        <f>SUBTOTAL(103,Tháng_Chín[22])</f>
        <v>0</v>
      </c>
      <c r="Y12" s="10">
        <f>SUBTOTAL(103,Tháng_Chín[23])</f>
        <v>0</v>
      </c>
      <c r="Z12" s="10">
        <f>SUBTOTAL(103,Tháng_Chín[24])</f>
        <v>0</v>
      </c>
      <c r="AA12" s="10">
        <f>SUBTOTAL(103,Tháng_Chín[25])</f>
        <v>0</v>
      </c>
      <c r="AB12" s="10">
        <f>SUBTOTAL(103,Tháng_Chín[26])</f>
        <v>0</v>
      </c>
      <c r="AC12" s="10">
        <f>SUBTOTAL(103,Tháng_Chín[27])</f>
        <v>0</v>
      </c>
      <c r="AD12" s="10">
        <f>SUBTOTAL(103,Tháng_Chín[28])</f>
        <v>0</v>
      </c>
      <c r="AE12" s="10">
        <f>SUBTOTAL(103,Tháng_Chín[29])</f>
        <v>0</v>
      </c>
      <c r="AF12" s="10">
        <f>SUBTOTAL(103,Tháng_Chín[30])</f>
        <v>0</v>
      </c>
      <c r="AG12" s="10">
        <f>SUBTOTAL(103,Tháng_Chín[[ ]])</f>
        <v>0</v>
      </c>
      <c r="AH12" s="10">
        <f>SUBTOTAL(109,Tháng_Chín[Tổng số Ngày])</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96" priority="2" stopIfTrue="1">
      <formula>C7=Khóa_Tùy_chỉnh_2</formula>
    </cfRule>
    <cfRule type="expression" dxfId="295" priority="3" stopIfTrue="1">
      <formula>C7=Khóa_Tùy_chỉnh_1</formula>
    </cfRule>
    <cfRule type="expression" dxfId="294" priority="4" stopIfTrue="1">
      <formula>C7=Khóa_Ốm</formula>
    </cfRule>
    <cfRule type="expression" dxfId="293" priority="5" stopIfTrue="1">
      <formula>C7=Khóa_Việc_riêng</formula>
    </cfRule>
    <cfRule type="expression" dxfId="292" priority="6" stopIfTrue="1">
      <formula>C7=Khóa_Nghỉ_phép</formula>
    </cfRule>
  </conditionalFormatting>
  <conditionalFormatting sqref="AH7:AH11">
    <cfRule type="dataBar" priority="7">
      <dataBar>
        <cfvo type="min"/>
        <cfvo type="formula" val="DATEDIF(DATE(Năm_trên_Lịch,2,1),DATE(Năm_trên_Lịch,3,1),&quot;d&quot;)"/>
        <color theme="2" tint="-0.249977111117893"/>
      </dataBar>
      <extLst>
        <ext xmlns:x14="http://schemas.microsoft.com/office/spreadsheetml/2009/9/main" uri="{B025F937-C7B1-47D3-B67F-A62EFF666E3E}">
          <x14:id>{1A021984-06A1-41D9-90D2-8C16E885020B}</x14:id>
        </ext>
      </extLst>
    </cfRule>
  </conditionalFormatting>
  <dataValidations count="14">
    <dataValidation allowBlank="1" showInputMessage="1" showErrorMessage="1" prompt="Các ngày trong tháng ở hàng này được tạo tự động. Nhập ngày vắng mặt của nhân viên và lý do vắng mặt vào mỗi cột của từng ngày trong tháng. Để trống nghĩa là không vắng mặt" sqref="C6" xr:uid="{00000000-0002-0000-0800-000000000000}"/>
    <dataValidation allowBlank="1" showInputMessage="1" showErrorMessage="1" prompt="Tên từng tháng của lịch biểu vắng mặt nằm trong ô này. Tổng số lần vắng mặt trong tháng này nằm trong ô cuối cùng của bảng. Chọn tên nhân viên tại cột B của bảng" sqref="B4" xr:uid="{00000000-0002-0000-0800-000001000000}"/>
    <dataValidation allowBlank="1" showInputMessage="1" showErrorMessage="1" prompt="Hàng này xác định các khoá được sử dụng trong bảng: ô C2 là Nghỉ phép, G2 là Việc riêng &amp; K2 là Nghỉ ốm. Ô N2 &amp; R2 là có thể tùy chỉnh" sqref="B2" xr:uid="{00000000-0002-0000-0800-000002000000}"/>
    <dataValidation allowBlank="1" showInputMessage="1" showErrorMessage="1" prompt="Nhập nhãn mô tả khóa tùy chỉnh ở bên trái" sqref="O2:Q2 S2:U2" xr:uid="{00000000-0002-0000-0800-000003000000}"/>
    <dataValidation allowBlank="1" showInputMessage="1" showErrorMessage="1" prompt="Nhập một chữ cái rồi tùy chỉnh nhãn ở bên phải để thêm một mục khóa khác" sqref="N2 R2" xr:uid="{00000000-0002-0000-0800-000004000000}"/>
    <dataValidation allowBlank="1" showInputMessage="1" showErrorMessage="1" prompt="Chữ &quot;Ô&quot; cho biết vắng mặt do ốm" sqref="K2" xr:uid="{00000000-0002-0000-0800-000005000000}"/>
    <dataValidation allowBlank="1" showInputMessage="1" showErrorMessage="1" prompt="Chữ &quot;V&quot; cho biết vắng mặt do lý do cá nhân" sqref="G2" xr:uid="{00000000-0002-0000-0800-000006000000}"/>
    <dataValidation allowBlank="1" showInputMessage="1" showErrorMessage="1" prompt="Chữ &quot;N&quot; cho biết vắng mặt do nghỉ phép" sqref="C2" xr:uid="{00000000-0002-0000-0800-000007000000}"/>
    <dataValidation allowBlank="1" showInputMessage="1" showErrorMessage="1" prompt="Tiêu đề được cập nhật tự động nằm trong ô này. Để sửa đổi tiêu đề, cập nhật B1 trên trang tính Tháng Một" sqref="B1" xr:uid="{00000000-0002-0000-0800-000008000000}"/>
    <dataValidation errorStyle="warning" allowBlank="1" showInputMessage="1" showErrorMessage="1" error="Chọn một tên từ danh sách. Chọn HỦY BỎ, rồi nhấn ALT+MŨI TÊN XUỐNG, sau đó nhấn ENTER để chọn tên" prompt="Nhập tên nhân viên vào trang tính Tên nhân viên, rồi chọn một cái tên trong các tên từ danh sách ở cột này. Nhấn ALT+MŨI TÊN XUỐNG, rồi nhấn ENTER để chọn tên" sqref="B6" xr:uid="{00000000-0002-0000-0800-000009000000}"/>
    <dataValidation allowBlank="1" showInputMessage="1" showErrorMessage="1" prompt="Theo dõi sự vắng mặt trong Tháng Chín tại trang tính này" sqref="A1" xr:uid="{00000000-0002-0000-0800-00000A000000}"/>
    <dataValidation allowBlank="1" showInputMessage="1" showErrorMessage="1" prompt="Tự động tính tổng số ngày một nhân viên đã vắng mặt tháng này trong cột này" sqref="AH6" xr:uid="{00000000-0002-0000-0800-00000B000000}"/>
    <dataValidation allowBlank="1" showInputMessage="1" showErrorMessage="1" prompt="Năm được cập nhật tự động dựa trên năm đã nhập trong trang tính Tháng Một." sqref="AH4" xr:uid="{00000000-0002-0000-0800-00000C000000}"/>
    <dataValidation allowBlank="1" showInputMessage="1" showErrorMessage="1" prompt="Ngày trong tuần ở hàng này được cập nhật tự động cho tháng theo năm trong AH4. Mỗi ngày trong tháng là một cột để ghi chú sự vắng mặt của nhân viên và lý do vắng mặt" sqref="C5" xr:uid="{00000000-0002-0000-0800-00000D000000}"/>
  </dataValidations>
  <printOptions horizontalCentered="1"/>
  <pageMargins left="0.25" right="0.25" top="0.75" bottom="0.75" header="0.3" footer="0.3"/>
  <pageSetup paperSize="9" scale="73"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DATEDIF(DATE(Năm_trên_Lịch,2,1),DATE(Năm_trên_Lịch,3,1),"d")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E000000}">
          <x14:formula1>
            <xm:f>'Tên Nhân viên'!$B$4:$B$8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13</vt:i4>
      </vt:variant>
      <vt:variant>
        <vt:lpstr>Phạm vi Có tên</vt:lpstr>
      </vt:variant>
      <vt:variant>
        <vt:i4>50</vt:i4>
      </vt:variant>
    </vt:vector>
  </HeadingPairs>
  <TitlesOfParts>
    <vt:vector size="63" baseType="lpstr">
      <vt:lpstr>Tháng Một</vt:lpstr>
      <vt:lpstr>Tháng Hai</vt:lpstr>
      <vt:lpstr>Tháng Ba</vt:lpstr>
      <vt:lpstr>Tháng Tư</vt:lpstr>
      <vt:lpstr>Tháng Năm</vt:lpstr>
      <vt:lpstr>Tháng Sáu</vt:lpstr>
      <vt:lpstr>Tháng Bảy</vt:lpstr>
      <vt:lpstr>Tháng Tám</vt:lpstr>
      <vt:lpstr>Tháng Chín</vt:lpstr>
      <vt:lpstr>Tháng Mười</vt:lpstr>
      <vt:lpstr>Tháng Mười Một</vt:lpstr>
      <vt:lpstr>Tháng Mười Hai</vt:lpstr>
      <vt:lpstr>Tên Nhân viên</vt:lpstr>
      <vt:lpstr>Khóa_Nghỉ_phép</vt:lpstr>
      <vt:lpstr>Khóa_Ốm</vt:lpstr>
      <vt:lpstr>Khóa_Tùy_chỉnh_1</vt:lpstr>
      <vt:lpstr>Khóa_Tùy_chỉnh_2</vt:lpstr>
      <vt:lpstr>Khóa_Việc_riêng</vt:lpstr>
      <vt:lpstr>Năm_trên_Lịch</vt:lpstr>
      <vt:lpstr>Nhãn_Khóa_Nghỉ_phép</vt:lpstr>
      <vt:lpstr>Nhãn_Khóa_Ốm</vt:lpstr>
      <vt:lpstr>Nhãn_Khóa_Tùy_chỉnh_1</vt:lpstr>
      <vt:lpstr>Nhãn_Khóa_Tùy_chỉnh_2</vt:lpstr>
      <vt:lpstr>Nhãn_Khóa_Việc_riêng</vt:lpstr>
      <vt:lpstr>'Tháng Ba'!Print_Titles</vt:lpstr>
      <vt:lpstr>'Tháng Bảy'!Print_Titles</vt:lpstr>
      <vt:lpstr>'Tháng Chín'!Print_Titles</vt:lpstr>
      <vt:lpstr>'Tháng Hai'!Print_Titles</vt:lpstr>
      <vt:lpstr>'Tháng Một'!Print_Titles</vt:lpstr>
      <vt:lpstr>'Tháng Mười'!Print_Titles</vt:lpstr>
      <vt:lpstr>'Tháng Mười Hai'!Print_Titles</vt:lpstr>
      <vt:lpstr>'Tháng Mười Một'!Print_Titles</vt:lpstr>
      <vt:lpstr>'Tháng Năm'!Print_Titles</vt:lpstr>
      <vt:lpstr>'Tháng Sáu'!Print_Titles</vt:lpstr>
      <vt:lpstr>'Tháng Tám'!Print_Titles</vt:lpstr>
      <vt:lpstr>'Tháng Tư'!Print_Titles</vt:lpstr>
      <vt:lpstr>Tên_khóa</vt:lpstr>
      <vt:lpstr>'Tháng Ba'!Tên_Tháng</vt:lpstr>
      <vt:lpstr>'Tháng Bảy'!Tên_Tháng</vt:lpstr>
      <vt:lpstr>'Tháng Chín'!Tên_Tháng</vt:lpstr>
      <vt:lpstr>'Tháng Hai'!Tên_Tháng</vt:lpstr>
      <vt:lpstr>'Tháng Một'!Tên_Tháng</vt:lpstr>
      <vt:lpstr>'Tháng Mười'!Tên_Tháng</vt:lpstr>
      <vt:lpstr>'Tháng Mười Hai'!Tên_Tháng</vt:lpstr>
      <vt:lpstr>'Tháng Mười Một'!Tên_Tháng</vt:lpstr>
      <vt:lpstr>'Tháng Năm'!Tên_Tháng</vt:lpstr>
      <vt:lpstr>'Tháng Sáu'!Tên_Tháng</vt:lpstr>
      <vt:lpstr>'Tháng Tám'!Tên_Tháng</vt:lpstr>
      <vt:lpstr>'Tháng Tư'!Tên_Tháng</vt:lpstr>
      <vt:lpstr>Tiêu_đề_1</vt:lpstr>
      <vt:lpstr>Tiêu_đề_10</vt:lpstr>
      <vt:lpstr>Tiêu_đề_11</vt:lpstr>
      <vt:lpstr>Tiêu_đề_12</vt:lpstr>
      <vt:lpstr>Tiêu_đề_2</vt:lpstr>
      <vt:lpstr>Tiêu_đề_3</vt:lpstr>
      <vt:lpstr>Tiêu_đề_4</vt:lpstr>
      <vt:lpstr>Tiêu_đề_5</vt:lpstr>
      <vt:lpstr>Tiêu_đề_6</vt:lpstr>
      <vt:lpstr>Tiêu_đề_7</vt:lpstr>
      <vt:lpstr>Tiêu_đề_8</vt:lpstr>
      <vt:lpstr>Tiêu_đề_9</vt:lpstr>
      <vt:lpstr>Tiêu_đề_Cột_13</vt:lpstr>
      <vt:lpstr>Tiêu_đề_Vắng_mặt_Nhân_viên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2016-12-06T04:52:27Z</dcterms:created>
  <dcterms:modified xsi:type="dcterms:W3CDTF">2019-07-24T08:47:41Z</dcterms:modified>
</cp:coreProperties>
</file>