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uk-UA\target\"/>
    </mc:Choice>
  </mc:AlternateContent>
  <bookViews>
    <workbookView xWindow="-120" yWindow="-120" windowWidth="24240" windowHeight="17640" xr2:uid="{00000000-000D-0000-FFFF-FFFF00000000}"/>
  </bookViews>
  <sheets>
    <sheet name="Початок" sheetId="5" r:id="rId1"/>
    <sheet name="Календар родини" sheetId="4" r:id="rId2"/>
  </sheets>
  <definedNames>
    <definedName name="_xlnm.Print_Area" localSheetId="1">'Календар родини'!$B$1:$AK$50</definedName>
    <definedName name="БерНд1">DATE(КалендарРік,3,1)-WEEKDAY(DATE(КалендарРік,3,1))+1</definedName>
    <definedName name="ВажливіДати">'Календар родини'!$D$6:$G$20</definedName>
    <definedName name="ВерНд1">DATE(КалендарРік,9,1)-WEEKDAY(DATE(КалендарРік,9,1))+1</definedName>
    <definedName name="ГруНд1">DATE(КалендарРік,12,1)-WEEKDAY(DATE(КалендарРік,12,1))+1</definedName>
    <definedName name="ЖовНд1">DATE(КалендарРік,10,1)-WEEKDAY(DATE(КалендарРік,10,1))+1</definedName>
    <definedName name="КалендарРік">'Календар родини'!$AE$3</definedName>
    <definedName name="КвіНд1">DATE(КалендарРік,4,1)-WEEKDAY(DATE(КалендарРік,4,1))+1</definedName>
    <definedName name="ЛипНд1">DATE(КалендарРік,7,1)-WEEKDAY(DATE(КалендарРік,7,1))+1</definedName>
    <definedName name="ЛисНд1">DATE(КалендарРік,11,1)-WEEKDAY(DATE(КалендарРік,11,1))+1</definedName>
    <definedName name="ЛютНд1">DATE(КалендарРік,2,1)-WEEKDAY(DATE(КалендарРік,2,1))+1</definedName>
    <definedName name="СерНд1">DATE(КалендарРік,8,1)-WEEKDAY(DATE(КалендарРік,8,1))+1</definedName>
    <definedName name="СічНд1">DATE(КалендарРік,1,1)-WEEKDAY(DATE(КалендарРік,1,1))+1</definedName>
    <definedName name="ТраНд1">DATE(КалендарРік,5,1)-WEEKDAY(DATE(КалендарРік,5,1))+1</definedName>
    <definedName name="ЧерНд1">DATE(КалендарРік,6,1)-WEEKDAY(DATE(КалендарРік,6,1))+1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<sst xmlns="http://schemas.openxmlformats.org/spreadsheetml/2006/main" count="112" uniqueCount="35">
  <si>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ПРО ЦЕЙ ШАБЛОН</t>
  </si>
  <si>
    <t>Відстежуйте важливі дати та додавайте нотатки до сімейного календаря.</t>
  </si>
  <si>
    <t>Налаштуйте заголовок календаря та виберіть рік.</t>
  </si>
  <si>
    <t>Кожного місяця календар автоматично оновлюється.</t>
  </si>
  <si>
    <t>Примітка. </t>
  </si>
  <si>
    <t>Додаткові вказівки наведено на аркуші “Сімейний календар” у стовпці А. Цей текст приховано навмисно. Щоб вилучити текст, виберіть стовпець A й натисніть клавішу Delete. Щоб відобразити текст, виберіть стовпець A та змініть колір шрифту.</t>
  </si>
  <si>
    <t>Щоб дізнатися більше про таблицю, натисніть у ній клавіші Shift+F10, виберіть "Таблиця", а потім – "Текст заміщення".</t>
  </si>
  <si>
    <t>Створіть на цьому аркуші сімейний календар на будь-який рік. Корисні вказівки щодо роботи з аркушем наведено в клітинках у цьому стовпці. Подальші вказівки наведено в клітинці A3.</t>
  </si>
  <si>
    <t>Надпис “Важливі дати” розташовано в клітинці D5, надпис “Нотатки” – U5. Введіть важливі дати в клітинки D6–D20, заходи та події – H6–H20, нотатки – U6–U20. Подальші вказівки наведено в клітинці A23.</t>
  </si>
  <si>
    <t>Календар на рік розташовано в клітинках C24–AJ49, на січень – C25–I31, лютий – L25–R31, березень – U25–AA31, квітень – AD25–AJ31.</t>
  </si>
  <si>
    <t>У цьому рядку вказано назви місяців. Надпис “Січень” розташовано в клітинці C24, “Лютий” – L24, “Березень” – U24, “Квітень” – AD24.</t>
  </si>
  <si>
    <t>У цьому рядку вказано назви днів тижня. Назви днів тижня для січня наведено в клітинках C25–I25, лютого – L25–R25, березня – U25–AA25, квітня – AD25–AJ25.</t>
  </si>
  <si>
    <t>У цьому рядку дати оновлюються автоматично. Дати на січень розташовано в правій частині клітинок C26–I31, лютий – L26–R31, березень – U26–AA31, квітень –AD26–AJ31. Подальші вказівки наведено в клітинці A32.</t>
  </si>
  <si>
    <t>Календар на травень розташовано в клітинках C34–I40, червень – L34–R40, липень – U34–AA40, серпень – AD34–AJ40.</t>
  </si>
  <si>
    <t>У цьому рядку вказано назви місяців. Надпис “Травень” розташовано в клітинці C33, “Червень” –L33, “Липень” – U33, “Серпень” – AD33.</t>
  </si>
  <si>
    <t>У цьому рядку вказано назви днів тижня. Назви днів тижня для травня наведено в клітинках C34–I34, для червня – L34–R34, липня – U34–AA34, серпня – AD34–AJ34.</t>
  </si>
  <si>
    <t>У цьому рядку дати оновлюються автоматично. Дати на травень розташовано в правій частині клітинок С35–I40, червень – L35–R40, липень – U35–AA35, серпень – AD35–AJ40. Подальші вказівки наведено в клітинці A41.</t>
  </si>
  <si>
    <t>Календар на вересень розташовано в клітинках C43–I49, жовтень – L43–R49, листопад – U43–AA49, грудень – AD43–AJ49.</t>
  </si>
  <si>
    <t>У цьому рядку вказано назви місяців. Надпис “Вересень” розташовано в клітинці C42, “Жовтень” – L42, “Листопад” – U42, “Грудень” – AD42.</t>
  </si>
  <si>
    <t>У цьому рядку вказано назви днів тижня. Назви днів тижня для вересня наведено в клітинках C43–I43, для жовтня – L43–R43, листопада – U43–AA43, грудня – AD43–AJ43.</t>
  </si>
  <si>
    <t>У цьому рядку дати оновлюються автоматично. Дати на вересень розташовано в правій частині клітинок C44–I49, жовтень – L44–R49, листопад – U44–AA49, грудень – AD44–AJ49.</t>
  </si>
  <si>
    <t>Пн</t>
  </si>
  <si>
    <t>Календар родини Шуменко</t>
  </si>
  <si>
    <t>Важливі дати</t>
  </si>
  <si>
    <t>Вт</t>
  </si>
  <si>
    <t>Ср</t>
  </si>
  <si>
    <t>Чт</t>
  </si>
  <si>
    <t>Пт</t>
  </si>
  <si>
    <t>Новий рік</t>
  </si>
  <si>
    <t>День народження Олега</t>
  </si>
  <si>
    <t>Сб</t>
  </si>
  <si>
    <t>Нд</t>
  </si>
  <si>
    <t>Нотатки</t>
  </si>
  <si>
    <t>Підказка. Скористайтеся лічильником, щоб змінити рік в цій клітинці.</t>
  </si>
  <si>
    <t>Налаштуйте заголовок календаря в клітинці D3 та введіть рік у клітинці AE3. Підказку наведено в клітинці AL3. Подальші вказівки наведено в клітинці 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</si>
</sst>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  <numFmt numFmtId="166" formatCode="d"/>
    <numFmt numFmtId="167" formatCode="mmmm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0" borderId="0"/>
    <xf numFmtId="0" fontId="23" fillId="0" borderId="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7" applyNumberFormat="0" applyAlignment="0" applyProtection="0"/>
    <xf numFmtId="0" fontId="36" fillId="8" borderId="8" applyNumberFormat="0" applyAlignment="0" applyProtection="0"/>
    <xf numFmtId="0" fontId="37" fillId="8" borderId="7" applyNumberFormat="0" applyAlignment="0" applyProtection="0"/>
    <xf numFmtId="0" fontId="38" fillId="0" borderId="9" applyNumberFormat="0" applyFill="0" applyAlignment="0" applyProtection="0"/>
    <xf numFmtId="0" fontId="39" fillId="9" borderId="10" applyNumberFormat="0" applyAlignment="0" applyProtection="0"/>
    <xf numFmtId="0" fontId="40" fillId="0" borderId="0" applyNumberFormat="0" applyFill="0" applyBorder="0" applyAlignment="0" applyProtection="0"/>
    <xf numFmtId="0" fontId="28" fillId="10" borderId="11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4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16" fillId="0" borderId="0" xfId="0" applyFont="1"/>
    <xf numFmtId="0" fontId="22" fillId="0" borderId="0" xfId="0" applyFont="1" applyFill="1" applyBorder="1" applyAlignment="1">
      <alignment horizontal="center"/>
    </xf>
    <xf numFmtId="0" fontId="24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9" fillId="0" borderId="0" xfId="0" applyNumberFormat="1" applyFont="1"/>
    <xf numFmtId="166" fontId="0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14" fontId="7" fillId="2" borderId="0" xfId="0" applyNumberFormat="1" applyFont="1" applyFill="1" applyAlignment="1">
      <alignment horizontal="right" indent="1"/>
    </xf>
    <xf numFmtId="0" fontId="10" fillId="2" borderId="2" xfId="0" applyFont="1" applyFill="1" applyBorder="1"/>
    <xf numFmtId="0" fontId="16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0" fillId="2" borderId="1" xfId="0" applyFont="1" applyFill="1" applyBorder="1"/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  <cellStyle name="Звичайний 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Рамка в стилі шкільної дошки" descr="Рамка у стилі дерев’яної шкільної дошк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40</xdr:col>
      <xdr:colOff>1</xdr:colOff>
      <xdr:row>3</xdr:row>
      <xdr:rowOff>0</xdr:rowOff>
    </xdr:to>
    <xdr:sp macro="" textlink="">
      <xdr:nvSpPr>
        <xdr:cNvPr id="4" name="Указівки" descr="Порада. Скористайтеся лічильником, щоб змінити рік календаря.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uk" sz="1000" b="0" i="1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</a:rPr>
            <a:t>Скористайтеся лічильником, щоб змінити рік календаря.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Роздільник у стилі шкільної дошки" descr="Роздільник у стилі шкільної дошки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Лічильник" descr="Натисніть цю кнопку лічильника, щоб змінити рік календаря або змінити значення року в клітинці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Січень" displayName="Січень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Пн" dataDxfId="105"/>
    <tableColumn id="2" xr3:uid="{D28A6F25-5E4C-4F17-88ED-16968913DBE9}" name="Вт" dataDxfId="104"/>
    <tableColumn id="3" xr3:uid="{BB2355F6-BB28-486C-8D20-834DCACD4F3F}" name="Ср" dataDxfId="103"/>
    <tableColumn id="4" xr3:uid="{50E92CC5-40CA-4805-9BB5-CE0DB8786693}" name="Чт" dataDxfId="102"/>
    <tableColumn id="5" xr3:uid="{E4BB72AD-4D9E-41F4-90A0-D41C1000188D}" name="Пт" dataDxfId="101"/>
    <tableColumn id="6" xr3:uid="{2B371CF3-31DE-453E-9B23-86C0A18DD970}" name="Сб" dataDxfId="100"/>
    <tableColumn id="7" xr3:uid="{66ED2259-FB70-4D39-BDC5-24C72D11CFAF}" name="Нд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січень. Дні тижня автоматично оновлюються для року, введеного в клітинку AE3 цієї таблиці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Травень" displayName="Травень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Пн" dataDxfId="24"/>
    <tableColumn id="2" xr3:uid="{BA329B39-24F6-49D6-B18B-B0D068298D8D}" name="Вт" dataDxfId="23"/>
    <tableColumn id="3" xr3:uid="{C799F152-9858-4AF4-A0FF-8FCA81C8D628}" name="Ср" dataDxfId="22"/>
    <tableColumn id="4" xr3:uid="{E983E442-3CDE-46FF-8F09-DAE022ADCC87}" name="Чт" dataDxfId="21"/>
    <tableColumn id="5" xr3:uid="{8149405D-CCBC-4B4B-85BE-1A4FF328E013}" name="Пт" dataDxfId="20"/>
    <tableColumn id="6" xr3:uid="{9C43832F-4334-4B42-B414-EFF19262FEE6}" name="Сб" dataDxfId="19"/>
    <tableColumn id="7" xr3:uid="{9AF096CA-BE9E-4E1D-838B-C9706D1EF82D}" name="Нд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травень. Дні тижня автоматично оновлюються для року, введеного в клітинку AE3 цієї таблиці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Червень" displayName="Червень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Пн" dataDxfId="15"/>
    <tableColumn id="2" xr3:uid="{D09E41EB-4C62-4845-BE36-E7C6C3889C0C}" name="Вт" dataDxfId="14"/>
    <tableColumn id="3" xr3:uid="{7E15A4CB-F43F-4EBE-BA7C-AF20ECC6CFCF}" name="Ср" dataDxfId="13"/>
    <tableColumn id="4" xr3:uid="{FB6E5EE0-423F-4A55-9060-8B0B30DC7B4C}" name="Чт" dataDxfId="12"/>
    <tableColumn id="5" xr3:uid="{C7F55345-04C4-4F39-ADF6-BE38EF870C9A}" name="Пт" dataDxfId="11"/>
    <tableColumn id="6" xr3:uid="{89E766D5-3601-41EB-A409-D3C988BFEBDC}" name="Сб" dataDxfId="10"/>
    <tableColumn id="7" xr3:uid="{B37A6A8B-9721-42FA-8CA0-0914B15D5A98}" name="Нд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червень. Дні тижня автоматично оновлюються для року, введеного в клітинку AE3 цієї таблиці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Липень" displayName="Липень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Пн" dataDxfId="6"/>
    <tableColumn id="2" xr3:uid="{84C699AB-6496-441A-B237-2EB283CEFEAE}" name="Вт" dataDxfId="5"/>
    <tableColumn id="3" xr3:uid="{F183BF59-9DC2-4398-81DB-F0438980A67D}" name="Ср" dataDxfId="4"/>
    <tableColumn id="4" xr3:uid="{57B4D1AE-A132-42AB-B0DA-DFFC07D5E12F}" name="Чт" dataDxfId="3"/>
    <tableColumn id="5" xr3:uid="{99F0B57B-81B2-4F58-814B-9AF63612A63B}" name="Пт" dataDxfId="2"/>
    <tableColumn id="6" xr3:uid="{85194B0F-B914-42E3-9849-D706E0596F18}" name="Сб" dataDxfId="1"/>
    <tableColumn id="7" xr3:uid="{D5875EA9-3BE5-41A0-8B63-BDE1DE894F6A}" name="Нд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липень. Дні тижня автоматично оновлюються для року, введеного в клітинку AE3 цієї таблиці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Лютий" displayName="Лютий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Пн" dataDxfId="96"/>
    <tableColumn id="2" xr3:uid="{A205A52F-8E37-498A-A5CC-6FD0732AF131}" name="Вт" dataDxfId="95"/>
    <tableColumn id="3" xr3:uid="{4F8A4A4F-781E-4A2F-9EF3-0FF67EE2444C}" name="Ср" dataDxfId="94"/>
    <tableColumn id="4" xr3:uid="{CDAFA5B3-2779-483C-99FC-75278781B8FD}" name="Чт" dataDxfId="93"/>
    <tableColumn id="5" xr3:uid="{C5B99975-7BB5-4A5D-8222-AC94AE515D3A}" name="Пт" dataDxfId="92"/>
    <tableColumn id="6" xr3:uid="{5AF46251-0E40-4F5B-94D6-BDC11EC73FDB}" name="Сб" dataDxfId="91"/>
    <tableColumn id="7" xr3:uid="{658ADFA5-E083-46E9-B4B2-6F07BA9C7140}" name="Нд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лютий. Дні тижня автоматично оновлюються для року, введеного в клітинку AE3 цієї таблиці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Березень" displayName="Березень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Пн" dataDxfId="87"/>
    <tableColumn id="2" xr3:uid="{1976C28A-BF43-4F82-B3A1-179B4B4AF804}" name="Вт" dataDxfId="86"/>
    <tableColumn id="3" xr3:uid="{DFDBD758-6531-462B-9AE8-3686E98FFCA9}" name="Ср" dataDxfId="85"/>
    <tableColumn id="4" xr3:uid="{3AA99097-3DF7-4398-A496-FF080F2CE97E}" name="Чт" dataDxfId="84"/>
    <tableColumn id="5" xr3:uid="{0E76D483-C95C-4DD9-9CAE-A97C8544598B}" name="Пт" dataDxfId="83"/>
    <tableColumn id="6" xr3:uid="{7D921C56-69EB-4ABA-9B90-EA9F831DCC34}" name="Сб" dataDxfId="82"/>
    <tableColumn id="7" xr3:uid="{03450A21-A6C8-4854-B72B-E981E5FC9DC9}" name="Нд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березень. Дні тижня автоматично оновлюються для року, введеного в клітинку AE3 цієї таблиці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Квітень" displayName="Квітень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Пн" dataDxfId="78"/>
    <tableColumn id="2" xr3:uid="{0221955E-CD3B-479A-BF28-D0EB57D80A7C}" name="Вт" dataDxfId="77"/>
    <tableColumn id="3" xr3:uid="{273B5508-3FFE-4EFC-8827-E1E9731A6D7E}" name="Ср" dataDxfId="76"/>
    <tableColumn id="4" xr3:uid="{7F787E39-16E5-49DD-AA24-872C926B911A}" name="Чт" dataDxfId="75"/>
    <tableColumn id="5" xr3:uid="{8AAAF603-B5C0-498D-9D55-5F9E7E387865}" name="Пт" dataDxfId="74"/>
    <tableColumn id="6" xr3:uid="{79472EDD-BC97-4C5A-A27E-F1390E092491}" name="Сб" dataDxfId="73"/>
    <tableColumn id="7" xr3:uid="{85A34A75-8BEB-40C8-9A1F-62A4F246DB22}" name="Нд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квітень. Дні тижня автоматично оновлюються для року, введеного в клітинку AE3 цієї таблиці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Серпень" displayName="Серпень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Пн" dataDxfId="69"/>
    <tableColumn id="2" xr3:uid="{01DDCFDC-70E0-489A-AAAE-CD22902F985B}" name="Вт" dataDxfId="68"/>
    <tableColumn id="3" xr3:uid="{6CBD51C1-76AC-4F6D-BE33-4C9402A220A5}" name="Ср" dataDxfId="67"/>
    <tableColumn id="4" xr3:uid="{EC58AF9D-EB3F-4E1D-8E68-2B1EF525DBAB}" name="Чт" dataDxfId="66"/>
    <tableColumn id="5" xr3:uid="{C367D5EF-1033-48E8-A2C7-4068935677BF}" name="Пт" dataDxfId="65"/>
    <tableColumn id="6" xr3:uid="{219986D6-6C09-4E7C-B268-689E81800E13}" name="Сб" dataDxfId="64"/>
    <tableColumn id="7" xr3:uid="{B02FE3BD-CE1D-4250-99CE-0DB5D42E3E4D}" name="Нд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серпень. Дні тижня автоматично оновлюються для року, введеного в клітинку AE3 цієї таблиці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Грудень" displayName="Грудень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Пн" dataDxfId="60"/>
    <tableColumn id="2" xr3:uid="{DCB993F9-E5E9-4213-9C84-46F6E62105D7}" name="Вт" dataDxfId="59"/>
    <tableColumn id="3" xr3:uid="{ED7C5EA4-3B5B-404A-99A0-AD0C523D02E8}" name="Ср" dataDxfId="58"/>
    <tableColumn id="4" xr3:uid="{35FA642E-79F1-4B64-ACDB-3AB30A01BB43}" name="Чт" dataDxfId="57"/>
    <tableColumn id="5" xr3:uid="{9119F847-2CFB-4518-954A-408F67803C6D}" name="Пт" dataDxfId="56"/>
    <tableColumn id="6" xr3:uid="{CFC3B963-A43F-4B9E-A411-25CF38B5B8FB}" name="Сб" dataDxfId="55"/>
    <tableColumn id="7" xr3:uid="{6773B7AD-6C98-4B11-ACCC-958503B6DC12}" name="Нд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грудень. Дні тижня автоматично оновлюються для року, введеного в клітинку AE3 цієї таблиці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Листопад" displayName="Листопад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Пн" dataDxfId="51"/>
    <tableColumn id="2" xr3:uid="{AA21C15B-CFEE-4282-AC89-A2518C48FE57}" name="Вт" dataDxfId="50"/>
    <tableColumn id="3" xr3:uid="{50DEF649-6E83-425F-B0F7-9FB8FE7EBB63}" name="Ср" dataDxfId="49"/>
    <tableColumn id="4" xr3:uid="{2FE2FBD4-4B90-4F5C-A8AE-A8CEA2DD5861}" name="Чт" dataDxfId="48"/>
    <tableColumn id="5" xr3:uid="{B65AFF60-D315-4718-AF6E-4F26244C19DF}" name="Пт" dataDxfId="47"/>
    <tableColumn id="6" xr3:uid="{E8D0DE96-B2CD-47F6-94B9-529A472368BA}" name="Сб" dataDxfId="46"/>
    <tableColumn id="7" xr3:uid="{61C86030-ECA7-41C7-A52D-7CF24741A743}" name="Нд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листопад. Дні тижня автоматично оновлюються для року, введеного в клітинку AE3 цієї таблиці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Жовтень" displayName="Жовтень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Пн" dataDxfId="42"/>
    <tableColumn id="2" xr3:uid="{58818C2A-A8BB-4BEE-A471-DDCB2289F220}" name="Вт" dataDxfId="41"/>
    <tableColumn id="3" xr3:uid="{38A99EE2-D9B0-471F-B412-28E7BA093F28}" name="Ср" dataDxfId="40"/>
    <tableColumn id="4" xr3:uid="{E8BBD341-C110-4365-902F-BF128A3818B7}" name="Чт" dataDxfId="39"/>
    <tableColumn id="5" xr3:uid="{AECC25E7-B42C-47DE-AC99-4E3039CC4F71}" name="Пт" dataDxfId="38"/>
    <tableColumn id="6" xr3:uid="{2A622645-E1EE-49EF-9B76-A5C8939E6835}" name="Сб" dataDxfId="37"/>
    <tableColumn id="7" xr3:uid="{DEF76847-D46C-406F-9AAB-FEC40A323551}" name="Нд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жовтень. Дні тижня автоматично оновлюються для року, введеного в клітинку AE3 цієї таблиці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Вересень" displayName="Вересень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Пн" dataDxfId="33"/>
    <tableColumn id="2" xr3:uid="{5C3756F3-44FD-4E9C-98D1-C798168ABA12}" name="Вт" dataDxfId="32"/>
    <tableColumn id="3" xr3:uid="{D23E7CE4-63A9-46CF-A6CA-8AB7B4338DE2}" name="Ср" dataDxfId="31"/>
    <tableColumn id="4" xr3:uid="{C18943D6-8975-4A03-9EFA-1A748AC4727A}" name="Чт" dataDxfId="30"/>
    <tableColumn id="5" xr3:uid="{8FB9889B-D0CF-4FE9-8A62-5B7B1FE7C4A9}" name="Пт" dataDxfId="29"/>
    <tableColumn id="6" xr3:uid="{B1B5B5E1-3349-4348-8E65-46C36ADC9DFB}" name="Сб" dataDxfId="28"/>
    <tableColumn id="7" xr3:uid="{94CDB875-64F6-4E7A-A810-55D75100150A}" name="Нд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на вересень. Дні тижня автоматично оновлюються для року, введеного в клітинку AE3 цієї таблиці.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5.140625" customWidth="1"/>
    <col min="3" max="3" width="2.7109375" customWidth="1"/>
  </cols>
  <sheetData>
    <row r="1" spans="2:2" ht="18" thickBot="1" x14ac:dyDescent="0.35">
      <c r="B1" s="22" t="s">
        <v>0</v>
      </c>
    </row>
    <row r="2" spans="2:2" ht="30" customHeight="1" thickTop="1" x14ac:dyDescent="0.2">
      <c r="B2" s="24" t="s">
        <v>1</v>
      </c>
    </row>
    <row r="3" spans="2:2" s="23" customFormat="1" ht="30" customHeight="1" x14ac:dyDescent="0.2">
      <c r="B3" s="24" t="s">
        <v>2</v>
      </c>
    </row>
    <row r="4" spans="2:2" s="23" customFormat="1" ht="30" customHeight="1" x14ac:dyDescent="0.2">
      <c r="B4" s="24" t="s">
        <v>3</v>
      </c>
    </row>
    <row r="5" spans="2:2" s="23" customFormat="1" ht="15" x14ac:dyDescent="0.2">
      <c r="B5" s="25" t="s">
        <v>4</v>
      </c>
    </row>
    <row r="6" spans="2:2" ht="45" x14ac:dyDescent="0.2">
      <c r="B6" s="24" t="s">
        <v>5</v>
      </c>
    </row>
    <row r="7" spans="2:2" ht="30" x14ac:dyDescent="0.25">
      <c r="B7" s="31" t="s">
        <v>6</v>
      </c>
    </row>
    <row r="9" spans="2:2" ht="15" x14ac:dyDescent="0.2">
      <c r="B9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50"/>
  <sheetViews>
    <sheetView showGridLines="0" zoomScaleNormal="100" workbookViewId="0"/>
  </sheetViews>
  <sheetFormatPr defaultRowHeight="12.75" x14ac:dyDescent="0.2"/>
  <cols>
    <col min="1" max="1" width="3.42578125" style="20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1:40" ht="20.25" customHeight="1" x14ac:dyDescent="0.2">
      <c r="A1" s="26" t="s">
        <v>7</v>
      </c>
    </row>
    <row r="2" spans="1:40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40" s="28" customFormat="1" ht="34.5" customHeight="1" x14ac:dyDescent="0.45">
      <c r="A3" s="27" t="s">
        <v>34</v>
      </c>
      <c r="C3" s="29"/>
      <c r="D3" s="51" t="s">
        <v>22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>
        <f ca="1">YEAR(TODAY())</f>
        <v>2019</v>
      </c>
      <c r="AF3" s="52"/>
      <c r="AG3" s="52"/>
      <c r="AH3" s="52"/>
      <c r="AI3" s="52"/>
      <c r="AJ3" s="30"/>
      <c r="AL3" s="50" t="s">
        <v>33</v>
      </c>
      <c r="AM3" s="50"/>
      <c r="AN3" s="50"/>
    </row>
    <row r="4" spans="1:40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ht="15.75" customHeight="1" x14ac:dyDescent="0.25">
      <c r="A5" s="27" t="s">
        <v>8</v>
      </c>
      <c r="C5" s="14"/>
      <c r="D5" s="3" t="s">
        <v>23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32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1:40" x14ac:dyDescent="0.2">
      <c r="C6" s="4"/>
      <c r="D6" s="48">
        <f ca="1">DATE(YEAR(TODAY()),1,1)</f>
        <v>43466</v>
      </c>
      <c r="E6" s="48"/>
      <c r="F6" s="48"/>
      <c r="G6" s="48"/>
      <c r="H6" s="47" t="s">
        <v>28</v>
      </c>
      <c r="I6" s="47"/>
      <c r="J6" s="47"/>
      <c r="K6" s="47"/>
      <c r="L6" s="47"/>
      <c r="M6" s="47"/>
      <c r="N6" s="47"/>
      <c r="O6" s="47"/>
      <c r="P6" s="47"/>
      <c r="Q6" s="47"/>
      <c r="R6" s="13"/>
      <c r="S6" s="6"/>
      <c r="T6" s="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4"/>
    </row>
    <row r="7" spans="1:40" ht="14.25" x14ac:dyDescent="0.2">
      <c r="C7" s="5"/>
      <c r="D7" s="48">
        <f ca="1">DATE(YEAR(TODAY()),3,25)</f>
        <v>43549</v>
      </c>
      <c r="E7" s="48"/>
      <c r="F7" s="48"/>
      <c r="G7" s="48"/>
      <c r="H7" s="47" t="s">
        <v>29</v>
      </c>
      <c r="I7" s="47"/>
      <c r="J7" s="47"/>
      <c r="K7" s="47"/>
      <c r="L7" s="47"/>
      <c r="M7" s="47"/>
      <c r="N7" s="47"/>
      <c r="O7" s="47"/>
      <c r="P7" s="47"/>
      <c r="Q7" s="47"/>
      <c r="R7" s="13"/>
      <c r="S7" s="6"/>
      <c r="T7" s="4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"/>
    </row>
    <row r="8" spans="1:40" ht="14.25" x14ac:dyDescent="0.2">
      <c r="C8" s="5"/>
      <c r="D8" s="48"/>
      <c r="E8" s="48"/>
      <c r="F8" s="48"/>
      <c r="G8" s="48"/>
      <c r="H8" s="47"/>
      <c r="I8" s="47"/>
      <c r="J8" s="47"/>
      <c r="K8" s="47"/>
      <c r="L8" s="47"/>
      <c r="M8" s="47"/>
      <c r="N8" s="47"/>
      <c r="O8" s="47"/>
      <c r="P8" s="47"/>
      <c r="Q8" s="47"/>
      <c r="R8" s="13"/>
      <c r="S8" s="6"/>
      <c r="T8" s="4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"/>
    </row>
    <row r="9" spans="1:40" ht="14.25" x14ac:dyDescent="0.2">
      <c r="C9" s="5"/>
      <c r="D9" s="48"/>
      <c r="E9" s="48"/>
      <c r="F9" s="48"/>
      <c r="G9" s="48"/>
      <c r="H9" s="47"/>
      <c r="I9" s="47"/>
      <c r="J9" s="47"/>
      <c r="K9" s="47"/>
      <c r="L9" s="47"/>
      <c r="M9" s="47"/>
      <c r="N9" s="47"/>
      <c r="O9" s="47"/>
      <c r="P9" s="47"/>
      <c r="Q9" s="47"/>
      <c r="R9" s="13"/>
      <c r="S9" s="6"/>
      <c r="T9" s="4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"/>
    </row>
    <row r="10" spans="1:40" ht="14.25" x14ac:dyDescent="0.2">
      <c r="C10" s="5"/>
      <c r="D10" s="48"/>
      <c r="E10" s="48"/>
      <c r="F10" s="48"/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3"/>
      <c r="S10" s="6"/>
      <c r="T10" s="4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"/>
    </row>
    <row r="11" spans="1:40" ht="14.25" x14ac:dyDescent="0.2">
      <c r="C11" s="5"/>
      <c r="D11" s="48"/>
      <c r="E11" s="48"/>
      <c r="F11" s="48"/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3"/>
      <c r="S11" s="6"/>
      <c r="T11" s="4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"/>
    </row>
    <row r="12" spans="1:40" ht="14.25" x14ac:dyDescent="0.2">
      <c r="C12" s="5"/>
      <c r="D12" s="48"/>
      <c r="E12" s="48"/>
      <c r="F12" s="48"/>
      <c r="G12" s="4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3"/>
      <c r="S12" s="6"/>
      <c r="T12" s="4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"/>
    </row>
    <row r="13" spans="1:40" ht="14.25" x14ac:dyDescent="0.2">
      <c r="C13" s="5"/>
      <c r="D13" s="48"/>
      <c r="E13" s="48"/>
      <c r="F13" s="48"/>
      <c r="G13" s="4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13"/>
      <c r="S13" s="6"/>
      <c r="T13" s="4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"/>
    </row>
    <row r="14" spans="1:40" ht="14.25" x14ac:dyDescent="0.2">
      <c r="C14" s="5"/>
      <c r="D14" s="48"/>
      <c r="E14" s="48"/>
      <c r="F14" s="48"/>
      <c r="G14" s="4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13"/>
      <c r="S14" s="6"/>
      <c r="T14" s="4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"/>
    </row>
    <row r="15" spans="1:40" ht="14.25" x14ac:dyDescent="0.2">
      <c r="C15" s="5"/>
      <c r="D15" s="48"/>
      <c r="E15" s="48"/>
      <c r="F15" s="48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3"/>
      <c r="S15" s="6"/>
      <c r="T15" s="4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"/>
    </row>
    <row r="16" spans="1:40" ht="14.25" x14ac:dyDescent="0.2">
      <c r="C16" s="5"/>
      <c r="D16" s="48"/>
      <c r="E16" s="48"/>
      <c r="F16" s="48"/>
      <c r="G16" s="48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13"/>
      <c r="S16" s="6"/>
      <c r="T16" s="4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"/>
    </row>
    <row r="17" spans="1:37" ht="14.25" x14ac:dyDescent="0.2">
      <c r="C17" s="5"/>
      <c r="D17" s="48"/>
      <c r="E17" s="48"/>
      <c r="F17" s="48"/>
      <c r="G17" s="4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3"/>
      <c r="S17" s="6"/>
      <c r="T17" s="4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"/>
    </row>
    <row r="18" spans="1:37" ht="14.25" x14ac:dyDescent="0.2">
      <c r="C18" s="5"/>
      <c r="D18" s="48"/>
      <c r="E18" s="48"/>
      <c r="F18" s="48"/>
      <c r="G18" s="4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3"/>
      <c r="S18" s="6"/>
      <c r="T18" s="4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"/>
    </row>
    <row r="19" spans="1:37" ht="14.25" x14ac:dyDescent="0.2">
      <c r="C19" s="5"/>
      <c r="D19" s="48"/>
      <c r="E19" s="48"/>
      <c r="F19" s="48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13"/>
      <c r="S19" s="6"/>
      <c r="T19" s="4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"/>
    </row>
    <row r="20" spans="1:37" ht="14.25" x14ac:dyDescent="0.2">
      <c r="C20" s="5"/>
      <c r="D20" s="48"/>
      <c r="E20" s="48"/>
      <c r="F20" s="48"/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3"/>
      <c r="S20" s="6"/>
      <c r="T20" s="4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"/>
    </row>
    <row r="21" spans="1:37" ht="14.25" x14ac:dyDescent="0.2">
      <c r="C21" s="5"/>
      <c r="D21" s="46"/>
      <c r="E21" s="46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45"/>
      <c r="E22" s="45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>
      <c r="A23" s="26" t="s">
        <v>9</v>
      </c>
    </row>
    <row r="24" spans="1:37" ht="15.75" x14ac:dyDescent="0.25">
      <c r="A24" s="26" t="s">
        <v>10</v>
      </c>
      <c r="C24" s="44">
        <f ca="1">DATE(КалендарРік,1,1)</f>
        <v>43466</v>
      </c>
      <c r="D24" s="44"/>
      <c r="E24" s="44"/>
      <c r="F24" s="44"/>
      <c r="G24" s="44"/>
      <c r="H24" s="44"/>
      <c r="I24" s="44"/>
      <c r="J24" s="32"/>
      <c r="K24" s="33"/>
      <c r="L24" s="44">
        <f ca="1">DATE(КалендарРік,2,1)</f>
        <v>43497</v>
      </c>
      <c r="M24" s="44"/>
      <c r="N24" s="44"/>
      <c r="O24" s="44"/>
      <c r="P24" s="44"/>
      <c r="Q24" s="44"/>
      <c r="R24" s="44"/>
      <c r="S24" s="32"/>
      <c r="T24" s="40"/>
      <c r="U24" s="44">
        <f ca="1">DATE(КалендарРік,3,1)</f>
        <v>43525</v>
      </c>
      <c r="V24" s="44"/>
      <c r="W24" s="44"/>
      <c r="X24" s="44"/>
      <c r="Y24" s="44"/>
      <c r="Z24" s="44"/>
      <c r="AA24" s="44"/>
      <c r="AB24" s="32"/>
      <c r="AC24" s="37"/>
      <c r="AD24" s="44">
        <f ca="1">DATE(КалендарРік,4,1)</f>
        <v>43556</v>
      </c>
      <c r="AE24" s="44"/>
      <c r="AF24" s="44"/>
      <c r="AG24" s="44"/>
      <c r="AH24" s="44"/>
      <c r="AI24" s="44"/>
      <c r="AJ24" s="44"/>
    </row>
    <row r="25" spans="1:37" ht="15.75" x14ac:dyDescent="0.25">
      <c r="A25" s="26" t="s">
        <v>11</v>
      </c>
      <c r="C25" s="21" t="s">
        <v>21</v>
      </c>
      <c r="D25" s="21" t="s">
        <v>24</v>
      </c>
      <c r="E25" s="21" t="s">
        <v>25</v>
      </c>
      <c r="F25" s="21" t="s">
        <v>26</v>
      </c>
      <c r="G25" s="21" t="s">
        <v>27</v>
      </c>
      <c r="H25" s="21" t="s">
        <v>30</v>
      </c>
      <c r="I25" s="21" t="s">
        <v>31</v>
      </c>
      <c r="J25" s="34"/>
      <c r="K25" s="35"/>
      <c r="L25" s="21" t="s">
        <v>21</v>
      </c>
      <c r="M25" s="21" t="s">
        <v>24</v>
      </c>
      <c r="N25" s="21" t="s">
        <v>25</v>
      </c>
      <c r="O25" s="21" t="s">
        <v>26</v>
      </c>
      <c r="P25" s="21" t="s">
        <v>27</v>
      </c>
      <c r="Q25" s="21" t="s">
        <v>30</v>
      </c>
      <c r="R25" s="21" t="s">
        <v>31</v>
      </c>
      <c r="S25" s="34"/>
      <c r="T25" s="40"/>
      <c r="U25" s="21" t="s">
        <v>21</v>
      </c>
      <c r="V25" s="21" t="s">
        <v>24</v>
      </c>
      <c r="W25" s="21" t="s">
        <v>25</v>
      </c>
      <c r="X25" s="21" t="s">
        <v>26</v>
      </c>
      <c r="Y25" s="21" t="s">
        <v>27</v>
      </c>
      <c r="Z25" s="21" t="s">
        <v>30</v>
      </c>
      <c r="AA25" s="21" t="s">
        <v>31</v>
      </c>
      <c r="AB25" s="34"/>
      <c r="AC25" s="33"/>
      <c r="AD25" s="21" t="s">
        <v>21</v>
      </c>
      <c r="AE25" s="21" t="s">
        <v>24</v>
      </c>
      <c r="AF25" s="21" t="s">
        <v>25</v>
      </c>
      <c r="AG25" s="21" t="s">
        <v>26</v>
      </c>
      <c r="AH25" s="21" t="s">
        <v>27</v>
      </c>
      <c r="AI25" s="21" t="s">
        <v>30</v>
      </c>
      <c r="AJ25" s="21" t="s">
        <v>31</v>
      </c>
    </row>
    <row r="26" spans="1:37" ht="15" x14ac:dyDescent="0.2">
      <c r="A26" s="26" t="s">
        <v>12</v>
      </c>
      <c r="C26" s="43" t="str">
        <f ca="1">IF(DAY(СічНд1)=1,"",IF(AND(YEAR(СічНд1+1)=КалендарРік,MONTH(СічНд1+1)=1),СічНд1+1,""))</f>
        <v/>
      </c>
      <c r="D26" s="43">
        <f ca="1">IF(DAY(СічНд1)=1,"",IF(AND(YEAR(СічНд1+2)=КалендарРік,MONTH(СічНд1+2)=1),СічНд1+2,""))</f>
        <v>43466</v>
      </c>
      <c r="E26" s="43">
        <f ca="1">IF(DAY(СічНд1)=1,"",IF(AND(YEAR(СічНд1+3)=КалендарРік,MONTH(СічНд1+3)=1),СічНд1+3,""))</f>
        <v>43467</v>
      </c>
      <c r="F26" s="43">
        <f ca="1">IF(DAY(СічНд1)=1,"",IF(AND(YEAR(СічНд1+4)=КалендарРік,MONTH(СічНд1+4)=1),СічНд1+4,""))</f>
        <v>43468</v>
      </c>
      <c r="G26" s="43">
        <f ca="1">IF(DAY(СічНд1)=1,"",IF(AND(YEAR(СічНд1+5)=КалендарРік,MONTH(СічНд1+5)=1),СічНд1+5,""))</f>
        <v>43469</v>
      </c>
      <c r="H26" s="43">
        <f ca="1">IF(DAY(СічНд1)=1,"",IF(AND(YEAR(СічНд1+6)=КалендарРік,MONTH(СічНд1+6)=1),СічНд1+6,""))</f>
        <v>43470</v>
      </c>
      <c r="I26" s="43">
        <f ca="1">IF(DAY(СічНд1)=1,IF(AND(YEAR(СічНд1)=КалендарРік,MONTH(СічНд1)=1),СічНд1,""),IF(AND(YEAR(СічНд1+7)=КалендарРік,MONTH(СічНд1+7)=1),СічНд1+7,""))</f>
        <v>43471</v>
      </c>
      <c r="J26" s="36"/>
      <c r="K26" s="35"/>
      <c r="L26" s="43" t="str">
        <f ca="1">IF(DAY(ЛютНд1)=1,"",IF(AND(YEAR(ЛютНд1+1)=КалендарРік,MONTH(ЛютНд1+1)=2),ЛютНд1+1,""))</f>
        <v/>
      </c>
      <c r="M26" s="43" t="str">
        <f ca="1">IF(DAY(ЛютНд1)=1,"",IF(AND(YEAR(ЛютНд1+2)=КалендарРік,MONTH(ЛютНд1+2)=2),ЛютНд1+2,""))</f>
        <v/>
      </c>
      <c r="N26" s="43" t="str">
        <f ca="1">IF(DAY(ЛютНд1)=1,"",IF(AND(YEAR(ЛютНд1+3)=КалендарРік,MONTH(ЛютНд1+3)=2),ЛютНд1+3,""))</f>
        <v/>
      </c>
      <c r="O26" s="43" t="str">
        <f ca="1">IF(DAY(ЛютНд1)=1,"",IF(AND(YEAR(ЛютНд1+4)=КалендарРік,MONTH(ЛютНд1+4)=2),ЛютНд1+4,""))</f>
        <v/>
      </c>
      <c r="P26" s="43">
        <f ca="1">IF(DAY(ЛютНд1)=1,"",IF(AND(YEAR(ЛютНд1+5)=КалендарРік,MONTH(ЛютНд1+5)=2),ЛютНд1+5,""))</f>
        <v>43497</v>
      </c>
      <c r="Q26" s="43">
        <f ca="1">IF(DAY(ЛютНд1)=1,"",IF(AND(YEAR(ЛютНд1+6)=КалендарРік,MONTH(ЛютНд1+6)=2),ЛютНд1+6,""))</f>
        <v>43498</v>
      </c>
      <c r="R26" s="43">
        <f ca="1">IF(DAY(ЛютНд1)=1,IF(AND(YEAR(ЛютНд1)=КалендарРік,MONTH(ЛютНд1)=2),ЛютНд1,""),IF(AND(YEAR(ЛютНд1+7)=КалендарРік,MONTH(ЛютНд1+7)=2),ЛютНд1+7,""))</f>
        <v>43499</v>
      </c>
      <c r="S26" s="36"/>
      <c r="T26" s="40"/>
      <c r="U26" s="43" t="str">
        <f ca="1">IF(DAY(БерНд1)=1,"",IF(AND(YEAR(БерНд1+1)=КалендарРік,MONTH(БерНд1+1)=3),БерНд1+1,""))</f>
        <v/>
      </c>
      <c r="V26" s="43" t="str">
        <f ca="1">IF(DAY(БерНд1)=1,"",IF(AND(YEAR(БерНд1+2)=КалендарРік,MONTH(БерНд1+2)=3),БерНд1+2,""))</f>
        <v/>
      </c>
      <c r="W26" s="43" t="str">
        <f ca="1">IF(DAY(БерНд1)=1,"",IF(AND(YEAR(БерНд1+3)=КалендарРік,MONTH(БерНд1+3)=3),БерНд1+3,""))</f>
        <v/>
      </c>
      <c r="X26" s="43" t="str">
        <f ca="1">IF(DAY(БерНд1)=1,"",IF(AND(YEAR(БерНд1+4)=КалендарРік,MONTH(БерНд1+4)=3),БерНд1+4,""))</f>
        <v/>
      </c>
      <c r="Y26" s="43">
        <f ca="1">IF(DAY(БерНд1)=1,"",IF(AND(YEAR(БерНд1+5)=КалендарРік,MONTH(БерНд1+5)=3),БерНд1+5,""))</f>
        <v>43525</v>
      </c>
      <c r="Z26" s="43">
        <f ca="1">IF(DAY(БерНд1)=1,"",IF(AND(YEAR(БерНд1+6)=КалендарРік,MONTH(БерНд1+6)=3),БерНд1+6,""))</f>
        <v>43526</v>
      </c>
      <c r="AA26" s="43">
        <f ca="1">IF(DAY(БерНд1)=1,IF(AND(YEAR(БерНд1)=КалендарРік,MONTH(БерНд1)=3),БерНд1,""),IF(AND(YEAR(БерНд1+7)=КалендарРік,MONTH(БерНд1+7)=3),БерНд1+7,""))</f>
        <v>43527</v>
      </c>
      <c r="AB26" s="36"/>
      <c r="AC26" s="35"/>
      <c r="AD26" s="43">
        <f ca="1">IF(DAY(КвіНд1)=1,"",IF(AND(YEAR(КвіНд1+1)=КалендарРік,MONTH(КвіНд1+1)=4),КвіНд1+1,""))</f>
        <v>43556</v>
      </c>
      <c r="AE26" s="43">
        <f ca="1">IF(DAY(КвіНд1)=1,"",IF(AND(YEAR(КвіНд1+2)=КалендарРік,MONTH(КвіНд1+2)=4),КвіНд1+2,""))</f>
        <v>43557</v>
      </c>
      <c r="AF26" s="43">
        <f ca="1">IF(DAY(КвіНд1)=1,"",IF(AND(YEAR(КвіНд1+3)=КалендарРік,MONTH(КвіНд1+3)=4),КвіНд1+3,""))</f>
        <v>43558</v>
      </c>
      <c r="AG26" s="43">
        <f ca="1">IF(DAY(КвіНд1)=1,"",IF(AND(YEAR(КвіНд1+4)=КалендарРік,MONTH(КвіНд1+4)=4),КвіНд1+4,""))</f>
        <v>43559</v>
      </c>
      <c r="AH26" s="43">
        <f ca="1">IF(DAY(КвіНд1)=1,"",IF(AND(YEAR(КвіНд1+5)=КалендарРік,MONTH(КвіНд1+5)=4),КвіНд1+5,""))</f>
        <v>43560</v>
      </c>
      <c r="AI26" s="43">
        <f ca="1">IF(DAY(КвіНд1)=1,"",IF(AND(YEAR(КвіНд1+6)=КалендарРік,MONTH(КвіНд1+6)=4),КвіНд1+6,""))</f>
        <v>43561</v>
      </c>
      <c r="AJ26" s="43">
        <f ca="1">IF(DAY(КвіНд1)=1,IF(AND(YEAR(КвіНд1)=КалендарРік,MONTH(КвіНд1)=4),КвіНд1,""),IF(AND(YEAR(КвіНд1+7)=КалендарРік,MONTH(КвіНд1+7)=4),КвіНд1+7,""))</f>
        <v>43562</v>
      </c>
    </row>
    <row r="27" spans="1:37" x14ac:dyDescent="0.2">
      <c r="C27" s="43">
        <f ca="1">IF(DAY(СічНд1)=1,IF(AND(YEAR(СічНд1+1)=КалендарРік,MONTH(СічНд1+1)=1),СічНд1+1,""),IF(AND(YEAR(СічНд1+8)=КалендарРік,MONTH(СічНд1+8)=1),СічНд1+8,""))</f>
        <v>43472</v>
      </c>
      <c r="D27" s="43">
        <f ca="1">IF(DAY(СічНд1)=1,IF(AND(YEAR(СічНд1+2)=КалендарРік,MONTH(СічНд1+2)=1),СічНд1+2,""),IF(AND(YEAR(СічНд1+9)=КалендарРік,MONTH(СічНд1+9)=1),СічНд1+9,""))</f>
        <v>43473</v>
      </c>
      <c r="E27" s="43">
        <f ca="1">IF(DAY(СічНд1)=1,IF(AND(YEAR(СічНд1+3)=КалендарРік,MONTH(СічНд1+3)=1),СічНд1+3,""),IF(AND(YEAR(СічНд1+10)=КалендарРік,MONTH(СічНд1+10)=1),СічНд1+10,""))</f>
        <v>43474</v>
      </c>
      <c r="F27" s="43">
        <f ca="1">IF(DAY(СічНд1)=1,IF(AND(YEAR(СічНд1+4)=КалендарРік,MONTH(СічНд1+4)=1),СічНд1+4,""),IF(AND(YEAR(СічНд1+11)=КалендарРік,MONTH(СічНд1+11)=1),СічНд1+11,""))</f>
        <v>43475</v>
      </c>
      <c r="G27" s="43">
        <f ca="1">IF(DAY(СічНд1)=1,IF(AND(YEAR(СічНд1+5)=КалендарРік,MONTH(СічНд1+5)=1),СічНд1+5,""),IF(AND(YEAR(СічНд1+12)=КалендарРік,MONTH(СічНд1+12)=1),СічНд1+12,""))</f>
        <v>43476</v>
      </c>
      <c r="H27" s="43">
        <f ca="1">IF(DAY(СічНд1)=1,IF(AND(YEAR(СічНд1+6)=КалендарРік,MONTH(СічНд1+6)=1),СічНд1+6,""),IF(AND(YEAR(СічНд1+13)=КалендарРік,MONTH(СічНд1+13)=1),СічНд1+13,""))</f>
        <v>43477</v>
      </c>
      <c r="I27" s="43">
        <f ca="1">IF(DAY(СічНд1)=1,IF(AND(YEAR(СічНд1+7)=КалендарРік,MONTH(СічНд1+7)=1),СічНд1+7,""),IF(AND(YEAR(СічНд1+14)=КалендарРік,MONTH(СічНд1+14)=1),СічНд1+14,""))</f>
        <v>43478</v>
      </c>
      <c r="J27" s="36"/>
      <c r="K27" s="35"/>
      <c r="L27" s="43">
        <f ca="1">IF(DAY(ЛютНд1)=1,IF(AND(YEAR(ЛютНд1+1)=КалендарРік,MONTH(ЛютНд1+1)=2),ЛютНд1+1,""),IF(AND(YEAR(ЛютНд1+8)=КалендарРік,MONTH(ЛютНд1+8)=2),ЛютНд1+8,""))</f>
        <v>43500</v>
      </c>
      <c r="M27" s="43">
        <f ca="1">IF(DAY(ЛютНд1)=1,IF(AND(YEAR(ЛютНд1+2)=КалендарРік,MONTH(ЛютНд1+2)=2),ЛютНд1+2,""),IF(AND(YEAR(ЛютНд1+9)=КалендарРік,MONTH(ЛютНд1+9)=2),ЛютНд1+9,""))</f>
        <v>43501</v>
      </c>
      <c r="N27" s="43">
        <f ca="1">IF(DAY(ЛютНд1)=1,IF(AND(YEAR(ЛютНд1+3)=КалендарРік,MONTH(ЛютНд1+3)=2),ЛютНд1+3,""),IF(AND(YEAR(ЛютНд1+10)=КалендарРік,MONTH(ЛютНд1+10)=2),ЛютНд1+10,""))</f>
        <v>43502</v>
      </c>
      <c r="O27" s="43">
        <f ca="1">IF(DAY(ЛютНд1)=1,IF(AND(YEAR(ЛютНд1+4)=КалендарРік,MONTH(ЛютНд1+4)=2),ЛютНд1+4,""),IF(AND(YEAR(ЛютНд1+11)=КалендарРік,MONTH(ЛютНд1+11)=2),ЛютНд1+11,""))</f>
        <v>43503</v>
      </c>
      <c r="P27" s="43">
        <f ca="1">IF(DAY(ЛютНд1)=1,IF(AND(YEAR(ЛютНд1+5)=КалендарРік,MONTH(ЛютНд1+5)=2),ЛютНд1+5,""),IF(AND(YEAR(ЛютНд1+12)=КалендарРік,MONTH(ЛютНд1+12)=2),ЛютНд1+12,""))</f>
        <v>43504</v>
      </c>
      <c r="Q27" s="43">
        <f ca="1">IF(DAY(ЛютНд1)=1,IF(AND(YEAR(ЛютНд1+6)=КалендарРік,MONTH(ЛютНд1+6)=2),ЛютНд1+6,""),IF(AND(YEAR(ЛютНд1+13)=КалендарРік,MONTH(ЛютНд1+13)=2),ЛютНд1+13,""))</f>
        <v>43505</v>
      </c>
      <c r="R27" s="43">
        <f ca="1">IF(DAY(ЛютНд1)=1,IF(AND(YEAR(ЛютНд1+7)=КалендарРік,MONTH(ЛютНд1+7)=2),ЛютНд1+7,""),IF(AND(YEAR(ЛютНд1+14)=КалендарРік,MONTH(ЛютНд1+14)=2),ЛютНд1+14,""))</f>
        <v>43506</v>
      </c>
      <c r="S27" s="36"/>
      <c r="T27" s="40"/>
      <c r="U27" s="43">
        <f ca="1">IF(DAY(БерНд1)=1,IF(AND(YEAR(БерНд1+1)=КалендарРік,MONTH(БерНд1+1)=3),БерНд1+1,""),IF(AND(YEAR(БерНд1+8)=КалендарРік,MONTH(БерНд1+8)=3),БерНд1+8,""))</f>
        <v>43528</v>
      </c>
      <c r="V27" s="43">
        <f ca="1">IF(DAY(БерНд1)=1,IF(AND(YEAR(БерНд1+2)=КалендарРік,MONTH(БерНд1+2)=3),БерНд1+2,""),IF(AND(YEAR(БерНд1+9)=КалендарРік,MONTH(БерНд1+9)=3),БерНд1+9,""))</f>
        <v>43529</v>
      </c>
      <c r="W27" s="43">
        <f ca="1">IF(DAY(БерНд1)=1,IF(AND(YEAR(БерНд1+3)=КалендарРік,MONTH(БерНд1+3)=3),БерНд1+3,""),IF(AND(YEAR(БерНд1+10)=КалендарРік,MONTH(БерНд1+10)=3),БерНд1+10,""))</f>
        <v>43530</v>
      </c>
      <c r="X27" s="43">
        <f ca="1">IF(DAY(БерНд1)=1,IF(AND(YEAR(БерНд1+4)=КалендарРік,MONTH(БерНд1+4)=3),БерНд1+4,""),IF(AND(YEAR(БерНд1+11)=КалендарРік,MONTH(БерНд1+11)=3),БерНд1+11,""))</f>
        <v>43531</v>
      </c>
      <c r="Y27" s="43">
        <f ca="1">IF(DAY(БерНд1)=1,IF(AND(YEAR(БерНд1+5)=КалендарРік,MONTH(БерНд1+5)=3),БерНд1+5,""),IF(AND(YEAR(БерНд1+12)=КалендарРік,MONTH(БерНд1+12)=3),БерНд1+12,""))</f>
        <v>43532</v>
      </c>
      <c r="Z27" s="43">
        <f ca="1">IF(DAY(БерНд1)=1,IF(AND(YEAR(БерНд1+6)=КалендарРік,MONTH(БерНд1+6)=3),БерНд1+6,""),IF(AND(YEAR(БерНд1+13)=КалендарРік,MONTH(БерНд1+13)=3),БерНд1+13,""))</f>
        <v>43533</v>
      </c>
      <c r="AA27" s="43">
        <f ca="1">IF(DAY(БерНд1)=1,IF(AND(YEAR(БерНд1+7)=КалендарРік,MONTH(БерНд1+7)=3),БерНд1+7,""),IF(AND(YEAR(БерНд1+14)=КалендарРік,MONTH(БерНд1+14)=3),БерНд1+14,""))</f>
        <v>43534</v>
      </c>
      <c r="AB27" s="36"/>
      <c r="AC27" s="35"/>
      <c r="AD27" s="43">
        <f ca="1">IF(DAY(КвіНд1)=1,IF(AND(YEAR(КвіНд1+1)=КалендарРік,MONTH(КвіНд1+1)=4),КвіНд1+1,""),IF(AND(YEAR(КвіНд1+8)=КалендарРік,MONTH(КвіНд1+8)=4),КвіНд1+8,""))</f>
        <v>43563</v>
      </c>
      <c r="AE27" s="43">
        <f ca="1">IF(DAY(КвіНд1)=1,IF(AND(YEAR(КвіНд1+2)=КалендарРік,MONTH(КвіНд1+2)=4),КвіНд1+2,""),IF(AND(YEAR(КвіНд1+9)=КалендарРік,MONTH(КвіНд1+9)=4),КвіНд1+9,""))</f>
        <v>43564</v>
      </c>
      <c r="AF27" s="43">
        <f ca="1">IF(DAY(КвіНд1)=1,IF(AND(YEAR(КвіНд1+3)=КалендарРік,MONTH(КвіНд1+3)=4),КвіНд1+3,""),IF(AND(YEAR(КвіНд1+10)=КалендарРік,MONTH(КвіНд1+10)=4),КвіНд1+10,""))</f>
        <v>43565</v>
      </c>
      <c r="AG27" s="43">
        <f ca="1">IF(DAY(КвіНд1)=1,IF(AND(YEAR(КвіНд1+4)=КалендарРік,MONTH(КвіНд1+4)=4),КвіНд1+4,""),IF(AND(YEAR(КвіНд1+11)=КалендарРік,MONTH(КвіНд1+11)=4),КвіНд1+11,""))</f>
        <v>43566</v>
      </c>
      <c r="AH27" s="43">
        <f ca="1">IF(DAY(КвіНд1)=1,IF(AND(YEAR(КвіНд1+5)=КалендарРік,MONTH(КвіНд1+5)=4),КвіНд1+5,""),IF(AND(YEAR(КвіНд1+12)=КалендарРік,MONTH(КвіНд1+12)=4),КвіНд1+12,""))</f>
        <v>43567</v>
      </c>
      <c r="AI27" s="43">
        <f ca="1">IF(DAY(КвіНд1)=1,IF(AND(YEAR(КвіНд1+6)=КалендарРік,MONTH(КвіНд1+6)=4),КвіНд1+6,""),IF(AND(YEAR(КвіНд1+13)=КалендарРік,MONTH(КвіНд1+13)=4),КвіНд1+13,""))</f>
        <v>43568</v>
      </c>
      <c r="AJ27" s="43">
        <f ca="1">IF(DAY(КвіНд1)=1,IF(AND(YEAR(КвіНд1+7)=КалендарРік,MONTH(КвіНд1+7)=4),КвіНд1+7,""),IF(AND(YEAR(КвіНд1+14)=КалендарРік,MONTH(КвіНд1+14)=4),КвіНд1+14,""))</f>
        <v>43569</v>
      </c>
    </row>
    <row r="28" spans="1:37" x14ac:dyDescent="0.2">
      <c r="C28" s="43">
        <f ca="1">IF(DAY(СічНд1)=1,IF(AND(YEAR(СічНд1+8)=КалендарРік,MONTH(СічНд1+8)=1),СічНд1+8,""),IF(AND(YEAR(СічНд1+15)=КалендарРік,MONTH(СічНд1+15)=1),СічНд1+15,""))</f>
        <v>43479</v>
      </c>
      <c r="D28" s="43">
        <f ca="1">IF(DAY(СічНд1)=1,IF(AND(YEAR(СічНд1+9)=КалендарРік,MONTH(СічНд1+9)=1),СічНд1+9,""),IF(AND(YEAR(СічНд1+16)=КалендарРік,MONTH(СічНд1+16)=1),СічНд1+16,""))</f>
        <v>43480</v>
      </c>
      <c r="E28" s="43">
        <f ca="1">IF(DAY(СічНд1)=1,IF(AND(YEAR(СічНд1+10)=КалендарРік,MONTH(СічНд1+10)=1),СічНд1+10,""),IF(AND(YEAR(СічНд1+17)=КалендарРік,MONTH(СічНд1+17)=1),СічНд1+17,""))</f>
        <v>43481</v>
      </c>
      <c r="F28" s="43">
        <f ca="1">IF(DAY(СічНд1)=1,IF(AND(YEAR(СічНд1+11)=КалендарРік,MONTH(СічНд1+11)=1),СічНд1+11,""),IF(AND(YEAR(СічНд1+18)=КалендарРік,MONTH(СічНд1+18)=1),СічНд1+18,""))</f>
        <v>43482</v>
      </c>
      <c r="G28" s="43">
        <f ca="1">IF(DAY(СічНд1)=1,IF(AND(YEAR(СічНд1+12)=КалендарРік,MONTH(СічНд1+12)=1),СічНд1+12,""),IF(AND(YEAR(СічНд1+19)=КалендарРік,MONTH(СічНд1+19)=1),СічНд1+19,""))</f>
        <v>43483</v>
      </c>
      <c r="H28" s="43">
        <f ca="1">IF(DAY(СічНд1)=1,IF(AND(YEAR(СічНд1+13)=КалендарРік,MONTH(СічНд1+13)=1),СічНд1+13,""),IF(AND(YEAR(СічНд1+20)=КалендарРік,MONTH(СічНд1+20)=1),СічНд1+20,""))</f>
        <v>43484</v>
      </c>
      <c r="I28" s="43">
        <f ca="1">IF(DAY(СічНд1)=1,IF(AND(YEAR(СічНд1+14)=КалендарРік,MONTH(СічНд1+14)=1),СічНд1+14,""),IF(AND(YEAR(СічНд1+21)=КалендарРік,MONTH(СічНд1+21)=1),СічНд1+21,""))</f>
        <v>43485</v>
      </c>
      <c r="J28" s="36"/>
      <c r="K28" s="35"/>
      <c r="L28" s="43">
        <f ca="1">IF(DAY(ЛютНд1)=1,IF(AND(YEAR(ЛютНд1+8)=КалендарРік,MONTH(ЛютНд1+8)=2),ЛютНд1+8,""),IF(AND(YEAR(ЛютНд1+15)=КалендарРік,MONTH(ЛютНд1+15)=2),ЛютНд1+15,""))</f>
        <v>43507</v>
      </c>
      <c r="M28" s="43">
        <f ca="1">IF(DAY(ЛютНд1)=1,IF(AND(YEAR(ЛютНд1+9)=КалендарРік,MONTH(ЛютНд1+9)=2),ЛютНд1+9,""),IF(AND(YEAR(ЛютНд1+16)=КалендарРік,MONTH(ЛютНд1+16)=2),ЛютНд1+16,""))</f>
        <v>43508</v>
      </c>
      <c r="N28" s="43">
        <f ca="1">IF(DAY(ЛютНд1)=1,IF(AND(YEAR(ЛютНд1+10)=КалендарРік,MONTH(ЛютНд1+10)=2),ЛютНд1+10,""),IF(AND(YEAR(ЛютНд1+17)=КалендарРік,MONTH(ЛютНд1+17)=2),ЛютНд1+17,""))</f>
        <v>43509</v>
      </c>
      <c r="O28" s="43">
        <f ca="1">IF(DAY(ЛютНд1)=1,IF(AND(YEAR(ЛютНд1+11)=КалендарРік,MONTH(ЛютНд1+11)=2),ЛютНд1+11,""),IF(AND(YEAR(ЛютНд1+18)=КалендарРік,MONTH(ЛютНд1+18)=2),ЛютНд1+18,""))</f>
        <v>43510</v>
      </c>
      <c r="P28" s="43">
        <f ca="1">IF(DAY(ЛютНд1)=1,IF(AND(YEAR(ЛютНд1+12)=КалендарРік,MONTH(ЛютНд1+12)=2),ЛютНд1+12,""),IF(AND(YEAR(ЛютНд1+19)=КалендарРік,MONTH(ЛютНд1+19)=2),ЛютНд1+19,""))</f>
        <v>43511</v>
      </c>
      <c r="Q28" s="43">
        <f ca="1">IF(DAY(ЛютНд1)=1,IF(AND(YEAR(ЛютНд1+13)=КалендарРік,MONTH(ЛютНд1+13)=2),ЛютНд1+13,""),IF(AND(YEAR(ЛютНд1+20)=КалендарРік,MONTH(ЛютНд1+20)=2),ЛютНд1+20,""))</f>
        <v>43512</v>
      </c>
      <c r="R28" s="43">
        <f ca="1">IF(DAY(ЛютНд1)=1,IF(AND(YEAR(ЛютНд1+14)=КалендарРік,MONTH(ЛютНд1+14)=2),ЛютНд1+14,""),IF(AND(YEAR(ЛютНд1+21)=КалендарРік,MONTH(ЛютНд1+21)=2),ЛютНд1+21,""))</f>
        <v>43513</v>
      </c>
      <c r="S28" s="36"/>
      <c r="T28" s="40"/>
      <c r="U28" s="43">
        <f ca="1">IF(DAY(БерНд1)=1,IF(AND(YEAR(БерНд1+8)=КалендарРік,MONTH(БерНд1+8)=3),БерНд1+8,""),IF(AND(YEAR(БерНд1+15)=КалендарРік,MONTH(БерНд1+15)=3),БерНд1+15,""))</f>
        <v>43535</v>
      </c>
      <c r="V28" s="43">
        <f ca="1">IF(DAY(БерНд1)=1,IF(AND(YEAR(БерНд1+9)=КалендарРік,MONTH(БерНд1+9)=3),БерНд1+9,""),IF(AND(YEAR(БерНд1+16)=КалендарРік,MONTH(БерНд1+16)=3),БерНд1+16,""))</f>
        <v>43536</v>
      </c>
      <c r="W28" s="43">
        <f ca="1">IF(DAY(БерНд1)=1,IF(AND(YEAR(БерНд1+10)=КалендарРік,MONTH(БерНд1+10)=3),БерНд1+10,""),IF(AND(YEAR(БерНд1+17)=КалендарРік,MONTH(БерНд1+17)=3),БерНд1+17,""))</f>
        <v>43537</v>
      </c>
      <c r="X28" s="43">
        <f ca="1">IF(DAY(БерНд1)=1,IF(AND(YEAR(БерНд1+11)=КалендарРік,MONTH(БерНд1+11)=3),БерНд1+11,""),IF(AND(YEAR(БерНд1+18)=КалендарРік,MONTH(БерНд1+18)=3),БерНд1+18,""))</f>
        <v>43538</v>
      </c>
      <c r="Y28" s="43">
        <f ca="1">IF(DAY(БерНд1)=1,IF(AND(YEAR(БерНд1+12)=КалендарРік,MONTH(БерНд1+12)=3),БерНд1+12,""),IF(AND(YEAR(БерНд1+19)=КалендарРік,MONTH(БерНд1+19)=3),БерНд1+19,""))</f>
        <v>43539</v>
      </c>
      <c r="Z28" s="43">
        <f ca="1">IF(DAY(БерНд1)=1,IF(AND(YEAR(БерНд1+13)=КалендарРік,MONTH(БерНд1+13)=3),БерНд1+13,""),IF(AND(YEAR(БерНд1+20)=КалендарРік,MONTH(БерНд1+20)=3),БерНд1+20,""))</f>
        <v>43540</v>
      </c>
      <c r="AA28" s="43">
        <f ca="1">IF(DAY(БерНд1)=1,IF(AND(YEAR(БерНд1+14)=КалендарРік,MONTH(БерНд1+14)=3),БерНд1+14,""),IF(AND(YEAR(БерНд1+21)=КалендарРік,MONTH(БерНд1+21)=3),БерНд1+21,""))</f>
        <v>43541</v>
      </c>
      <c r="AB28" s="36"/>
      <c r="AC28" s="35"/>
      <c r="AD28" s="43">
        <f ca="1">IF(DAY(КвіНд1)=1,IF(AND(YEAR(КвіНд1+8)=КалендарРік,MONTH(КвіНд1+8)=4),КвіНд1+8,""),IF(AND(YEAR(КвіНд1+15)=КалендарРік,MONTH(КвіНд1+15)=4),КвіНд1+15,""))</f>
        <v>43570</v>
      </c>
      <c r="AE28" s="43">
        <f ca="1">IF(DAY(КвіНд1)=1,IF(AND(YEAR(КвіНд1+9)=КалендарРік,MONTH(КвіНд1+9)=4),КвіНд1+9,""),IF(AND(YEAR(КвіНд1+16)=КалендарРік,MONTH(КвіНд1+16)=4),КвіНд1+16,""))</f>
        <v>43571</v>
      </c>
      <c r="AF28" s="43">
        <f ca="1">IF(DAY(КвіНд1)=1,IF(AND(YEAR(КвіНд1+10)=КалендарРік,MONTH(КвіНд1+10)=4),КвіНд1+10,""),IF(AND(YEAR(КвіНд1+17)=КалендарРік,MONTH(КвіНд1+17)=4),КвіНд1+17,""))</f>
        <v>43572</v>
      </c>
      <c r="AG28" s="43">
        <f ca="1">IF(DAY(КвіНд1)=1,IF(AND(YEAR(КвіНд1+11)=КалендарРік,MONTH(КвіНд1+11)=4),КвіНд1+11,""),IF(AND(YEAR(КвіНд1+18)=КалендарРік,MONTH(КвіНд1+18)=4),КвіНд1+18,""))</f>
        <v>43573</v>
      </c>
      <c r="AH28" s="43">
        <f ca="1">IF(DAY(КвіНд1)=1,IF(AND(YEAR(КвіНд1+12)=КалендарРік,MONTH(КвіНд1+12)=4),КвіНд1+12,""),IF(AND(YEAR(КвіНд1+19)=КалендарРік,MONTH(КвіНд1+19)=4),КвіНд1+19,""))</f>
        <v>43574</v>
      </c>
      <c r="AI28" s="43">
        <f ca="1">IF(DAY(КвіНд1)=1,IF(AND(YEAR(КвіНд1+13)=КалендарРік,MONTH(КвіНд1+13)=4),КвіНд1+13,""),IF(AND(YEAR(КвіНд1+20)=КалендарРік,MONTH(КвіНд1+20)=4),КвіНд1+20,""))</f>
        <v>43575</v>
      </c>
      <c r="AJ28" s="43">
        <f ca="1">IF(DAY(КвіНд1)=1,IF(AND(YEAR(КвіНд1+14)=КалендарРік,MONTH(КвіНд1+14)=4),КвіНд1+14,""),IF(AND(YEAR(КвіНд1+21)=КалендарРік,MONTH(КвіНд1+21)=4),КвіНд1+21,""))</f>
        <v>43576</v>
      </c>
    </row>
    <row r="29" spans="1:37" x14ac:dyDescent="0.2">
      <c r="C29" s="43">
        <f ca="1">IF(DAY(СічНд1)=1,IF(AND(YEAR(СічНд1+15)=КалендарРік,MONTH(СічНд1+15)=1),СічНд1+15,""),IF(AND(YEAR(СічНд1+22)=КалендарРік,MONTH(СічНд1+22)=1),СічНд1+22,""))</f>
        <v>43486</v>
      </c>
      <c r="D29" s="43">
        <f ca="1">IF(DAY(СічНд1)=1,IF(AND(YEAR(СічНд1+16)=КалендарРік,MONTH(СічНд1+16)=1),СічНд1+16,""),IF(AND(YEAR(СічНд1+23)=КалендарРік,MONTH(СічНд1+23)=1),СічНд1+23,""))</f>
        <v>43487</v>
      </c>
      <c r="E29" s="43">
        <f ca="1">IF(DAY(СічНд1)=1,IF(AND(YEAR(СічНд1+17)=КалендарРік,MONTH(СічНд1+17)=1),СічНд1+17,""),IF(AND(YEAR(СічНд1+24)=КалендарРік,MONTH(СічНд1+24)=1),СічНд1+24,""))</f>
        <v>43488</v>
      </c>
      <c r="F29" s="43">
        <f ca="1">IF(DAY(СічНд1)=1,IF(AND(YEAR(СічНд1+18)=КалендарРік,MONTH(СічНд1+18)=1),СічНд1+18,""),IF(AND(YEAR(СічНд1+25)=КалендарРік,MONTH(СічНд1+25)=1),СічНд1+25,""))</f>
        <v>43489</v>
      </c>
      <c r="G29" s="43">
        <f ca="1">IF(DAY(СічНд1)=1,IF(AND(YEAR(СічНд1+19)=КалендарРік,MONTH(СічНд1+19)=1),СічНд1+19,""),IF(AND(YEAR(СічНд1+26)=КалендарРік,MONTH(СічНд1+26)=1),СічНд1+26,""))</f>
        <v>43490</v>
      </c>
      <c r="H29" s="43">
        <f ca="1">IF(DAY(СічНд1)=1,IF(AND(YEAR(СічНд1+20)=КалендарРік,MONTH(СічНд1+20)=1),СічНд1+20,""),IF(AND(YEAR(СічНд1+27)=КалендарРік,MONTH(СічНд1+27)=1),СічНд1+27,""))</f>
        <v>43491</v>
      </c>
      <c r="I29" s="43">
        <f ca="1">IF(DAY(СічНд1)=1,IF(AND(YEAR(СічНд1+21)=КалендарРік,MONTH(СічНд1+21)=1),СічНд1+21,""),IF(AND(YEAR(СічНд1+28)=КалендарРік,MONTH(СічНд1+28)=1),СічНд1+28,""))</f>
        <v>43492</v>
      </c>
      <c r="J29" s="36"/>
      <c r="K29" s="35"/>
      <c r="L29" s="43">
        <f ca="1">IF(DAY(ЛютНд1)=1,IF(AND(YEAR(ЛютНд1+15)=КалендарРік,MONTH(ЛютНд1+15)=2),ЛютНд1+15,""),IF(AND(YEAR(ЛютНд1+22)=КалендарРік,MONTH(ЛютНд1+22)=2),ЛютНд1+22,""))</f>
        <v>43514</v>
      </c>
      <c r="M29" s="43">
        <f ca="1">IF(DAY(ЛютНд1)=1,IF(AND(YEAR(ЛютНд1+16)=КалендарРік,MONTH(ЛютНд1+16)=2),ЛютНд1+16,""),IF(AND(YEAR(ЛютНд1+23)=КалендарРік,MONTH(ЛютНд1+23)=2),ЛютНд1+23,""))</f>
        <v>43515</v>
      </c>
      <c r="N29" s="43">
        <f ca="1">IF(DAY(ЛютНд1)=1,IF(AND(YEAR(ЛютНд1+17)=КалендарРік,MONTH(ЛютНд1+17)=2),ЛютНд1+17,""),IF(AND(YEAR(ЛютНд1+24)=КалендарРік,MONTH(ЛютНд1+24)=2),ЛютНд1+24,""))</f>
        <v>43516</v>
      </c>
      <c r="O29" s="43">
        <f ca="1">IF(DAY(ЛютНд1)=1,IF(AND(YEAR(ЛютНд1+18)=КалендарРік,MONTH(ЛютНд1+18)=2),ЛютНд1+18,""),IF(AND(YEAR(ЛютНд1+25)=КалендарРік,MONTH(ЛютНд1+25)=2),ЛютНд1+25,""))</f>
        <v>43517</v>
      </c>
      <c r="P29" s="43">
        <f ca="1">IF(DAY(ЛютНд1)=1,IF(AND(YEAR(ЛютНд1+19)=КалендарРік,MONTH(ЛютНд1+19)=2),ЛютНд1+19,""),IF(AND(YEAR(ЛютНд1+26)=КалендарРік,MONTH(ЛютНд1+26)=2),ЛютНд1+26,""))</f>
        <v>43518</v>
      </c>
      <c r="Q29" s="43">
        <f ca="1">IF(DAY(ЛютНд1)=1,IF(AND(YEAR(ЛютНд1+20)=КалендарРік,MONTH(ЛютНд1+20)=2),ЛютНд1+20,""),IF(AND(YEAR(ЛютНд1+27)=КалендарРік,MONTH(ЛютНд1+27)=2),ЛютНд1+27,""))</f>
        <v>43519</v>
      </c>
      <c r="R29" s="43">
        <f ca="1">IF(DAY(ЛютНд1)=1,IF(AND(YEAR(ЛютНд1+21)=КалендарРік,MONTH(ЛютНд1+21)=2),ЛютНд1+21,""),IF(AND(YEAR(ЛютНд1+28)=КалендарРік,MONTH(ЛютНд1+28)=2),ЛютНд1+28,""))</f>
        <v>43520</v>
      </c>
      <c r="S29" s="36"/>
      <c r="T29" s="40"/>
      <c r="U29" s="43">
        <f ca="1">IF(DAY(БерНд1)=1,IF(AND(YEAR(БерНд1+15)=КалендарРік,MONTH(БерНд1+15)=3),БерНд1+15,""),IF(AND(YEAR(БерНд1+22)=КалендарРік,MONTH(БерНд1+22)=3),БерНд1+22,""))</f>
        <v>43542</v>
      </c>
      <c r="V29" s="43">
        <f ca="1">IF(DAY(БерНд1)=1,IF(AND(YEAR(БерНд1+16)=КалендарРік,MONTH(БерНд1+16)=3),БерНд1+16,""),IF(AND(YEAR(БерНд1+23)=КалендарРік,MONTH(БерНд1+23)=3),БерНд1+23,""))</f>
        <v>43543</v>
      </c>
      <c r="W29" s="43">
        <f ca="1">IF(DAY(БерНд1)=1,IF(AND(YEAR(БерНд1+17)=КалендарРік,MONTH(БерНд1+17)=3),БерНд1+17,""),IF(AND(YEAR(БерНд1+24)=КалендарРік,MONTH(БерНд1+24)=3),БерНд1+24,""))</f>
        <v>43544</v>
      </c>
      <c r="X29" s="43">
        <f ca="1">IF(DAY(БерНд1)=1,IF(AND(YEAR(БерНд1+18)=КалендарРік,MONTH(БерНд1+18)=3),БерНд1+18,""),IF(AND(YEAR(БерНд1+25)=КалендарРік,MONTH(БерНд1+25)=3),БерНд1+25,""))</f>
        <v>43545</v>
      </c>
      <c r="Y29" s="43">
        <f ca="1">IF(DAY(БерНд1)=1,IF(AND(YEAR(БерНд1+19)=КалендарРік,MONTH(БерНд1+19)=3),БерНд1+19,""),IF(AND(YEAR(БерНд1+26)=КалендарРік,MONTH(БерНд1+26)=3),БерНд1+26,""))</f>
        <v>43546</v>
      </c>
      <c r="Z29" s="43">
        <f ca="1">IF(DAY(БерНд1)=1,IF(AND(YEAR(БерНд1+20)=КалендарРік,MONTH(БерНд1+20)=3),БерНд1+20,""),IF(AND(YEAR(БерНд1+27)=КалендарРік,MONTH(БерНд1+27)=3),БерНд1+27,""))</f>
        <v>43547</v>
      </c>
      <c r="AA29" s="43">
        <f ca="1">IF(DAY(БерНд1)=1,IF(AND(YEAR(БерНд1+21)=КалендарРік,MONTH(БерНд1+21)=3),БерНд1+21,""),IF(AND(YEAR(БерНд1+28)=КалендарРік,MONTH(БерНд1+28)=3),БерНд1+28,""))</f>
        <v>43548</v>
      </c>
      <c r="AB29" s="36"/>
      <c r="AC29" s="35"/>
      <c r="AD29" s="43">
        <f ca="1">IF(DAY(КвіНд1)=1,IF(AND(YEAR(КвіНд1+15)=КалендарРік,MONTH(КвіНд1+15)=4),КвіНд1+15,""),IF(AND(YEAR(КвіНд1+22)=КалендарРік,MONTH(КвіНд1+22)=4),КвіНд1+22,""))</f>
        <v>43577</v>
      </c>
      <c r="AE29" s="43">
        <f ca="1">IF(DAY(КвіНд1)=1,IF(AND(YEAR(КвіНд1+16)=КалендарРік,MONTH(КвіНд1+16)=4),КвіНд1+16,""),IF(AND(YEAR(КвіНд1+23)=КалендарРік,MONTH(КвіНд1+23)=4),КвіНд1+23,""))</f>
        <v>43578</v>
      </c>
      <c r="AF29" s="43">
        <f ca="1">IF(DAY(КвіНд1)=1,IF(AND(YEAR(КвіНд1+17)=КалендарРік,MONTH(КвіНд1+17)=4),КвіНд1+17,""),IF(AND(YEAR(КвіНд1+24)=КалендарРік,MONTH(КвіНд1+24)=4),КвіНд1+24,""))</f>
        <v>43579</v>
      </c>
      <c r="AG29" s="43">
        <f ca="1">IF(DAY(КвіНд1)=1,IF(AND(YEAR(КвіНд1+18)=КалендарРік,MONTH(КвіНд1+18)=4),КвіНд1+18,""),IF(AND(YEAR(КвіНд1+25)=КалендарРік,MONTH(КвіНд1+25)=4),КвіНд1+25,""))</f>
        <v>43580</v>
      </c>
      <c r="AH29" s="43">
        <f ca="1">IF(DAY(КвіНд1)=1,IF(AND(YEAR(КвіНд1+19)=КалендарРік,MONTH(КвіНд1+19)=4),КвіНд1+19,""),IF(AND(YEAR(КвіНд1+26)=КалендарРік,MONTH(КвіНд1+26)=4),КвіНд1+26,""))</f>
        <v>43581</v>
      </c>
      <c r="AI29" s="43">
        <f ca="1">IF(DAY(КвіНд1)=1,IF(AND(YEAR(КвіНд1+20)=КалендарРік,MONTH(КвіНд1+20)=4),КвіНд1+20,""),IF(AND(YEAR(КвіНд1+27)=КалендарРік,MONTH(КвіНд1+27)=4),КвіНд1+27,""))</f>
        <v>43582</v>
      </c>
      <c r="AJ29" s="43">
        <f ca="1">IF(DAY(КвіНд1)=1,IF(AND(YEAR(КвіНд1+21)=КалендарРік,MONTH(КвіНд1+21)=4),КвіНд1+21,""),IF(AND(YEAR(КвіНд1+28)=КалендарРік,MONTH(КвіНд1+28)=4),КвіНд1+28,""))</f>
        <v>43583</v>
      </c>
    </row>
    <row r="30" spans="1:37" x14ac:dyDescent="0.2">
      <c r="C30" s="43">
        <f ca="1">IF(DAY(СічНд1)=1,IF(AND(YEAR(СічНд1+22)=КалендарРік,MONTH(СічНд1+22)=1),СічНд1+22,""),IF(AND(YEAR(СічНд1+29)=КалендарРік,MONTH(СічНд1+29)=1),СічНд1+29,""))</f>
        <v>43493</v>
      </c>
      <c r="D30" s="43">
        <f ca="1">IF(DAY(СічНд1)=1,IF(AND(YEAR(СічНд1+23)=КалендарРік,MONTH(СічНд1+23)=1),СічНд1+23,""),IF(AND(YEAR(СічНд1+30)=КалендарРік,MONTH(СічНд1+30)=1),СічНд1+30,""))</f>
        <v>43494</v>
      </c>
      <c r="E30" s="43">
        <f ca="1">IF(DAY(СічНд1)=1,IF(AND(YEAR(СічНд1+24)=КалендарРік,MONTH(СічНд1+24)=1),СічНд1+24,""),IF(AND(YEAR(СічНд1+31)=КалендарРік,MONTH(СічНд1+31)=1),СічНд1+31,""))</f>
        <v>43495</v>
      </c>
      <c r="F30" s="43">
        <f ca="1">IF(DAY(СічНд1)=1,IF(AND(YEAR(СічНд1+25)=КалендарРік,MONTH(СічНд1+25)=1),СічНд1+25,""),IF(AND(YEAR(СічНд1+32)=КалендарРік,MONTH(СічНд1+32)=1),СічНд1+32,""))</f>
        <v>43496</v>
      </c>
      <c r="G30" s="43" t="str">
        <f ca="1">IF(DAY(СічНд1)=1,IF(AND(YEAR(СічНд1+26)=КалендарРік,MONTH(СічНд1+26)=1),СічНд1+26,""),IF(AND(YEAR(СічНд1+33)=КалендарРік,MONTH(СічНд1+33)=1),СічНд1+33,""))</f>
        <v/>
      </c>
      <c r="H30" s="43" t="str">
        <f ca="1">IF(DAY(СічНд1)=1,IF(AND(YEAR(СічНд1+27)=КалендарРік,MONTH(СічНд1+27)=1),СічНд1+27,""),IF(AND(YEAR(СічНд1+34)=КалендарРік,MONTH(СічНд1+34)=1),СічНд1+34,""))</f>
        <v/>
      </c>
      <c r="I30" s="43" t="str">
        <f ca="1">IF(DAY(СічНд1)=1,IF(AND(YEAR(СічНд1+28)=КалендарРік,MONTH(СічНд1+28)=1),СічНд1+28,""),IF(AND(YEAR(СічНд1+35)=КалендарРік,MONTH(СічНд1+35)=1),СічНд1+35,""))</f>
        <v/>
      </c>
      <c r="J30" s="36"/>
      <c r="K30" s="35"/>
      <c r="L30" s="43">
        <f ca="1">IF(DAY(ЛютНд1)=1,IF(AND(YEAR(ЛютНд1+22)=КалендарРік,MONTH(ЛютНд1+22)=2),ЛютНд1+22,""),IF(AND(YEAR(ЛютНд1+29)=КалендарРік,MONTH(ЛютНд1+29)=2),ЛютНд1+29,""))</f>
        <v>43521</v>
      </c>
      <c r="M30" s="43">
        <f ca="1">IF(DAY(ЛютНд1)=1,IF(AND(YEAR(ЛютНд1+23)=КалендарРік,MONTH(ЛютНд1+23)=2),ЛютНд1+23,""),IF(AND(YEAR(ЛютНд1+30)=КалендарРік,MONTH(ЛютНд1+30)=2),ЛютНд1+30,""))</f>
        <v>43522</v>
      </c>
      <c r="N30" s="43">
        <f ca="1">IF(DAY(ЛютНд1)=1,IF(AND(YEAR(ЛютНд1+24)=КалендарРік,MONTH(ЛютНд1+24)=2),ЛютНд1+24,""),IF(AND(YEAR(ЛютНд1+31)=КалендарРік,MONTH(ЛютНд1+31)=2),ЛютНд1+31,""))</f>
        <v>43523</v>
      </c>
      <c r="O30" s="43">
        <f ca="1">IF(DAY(ЛютНд1)=1,IF(AND(YEAR(ЛютНд1+25)=КалендарРік,MONTH(ЛютНд1+25)=2),ЛютНд1+25,""),IF(AND(YEAR(ЛютНд1+32)=КалендарРік,MONTH(ЛютНд1+32)=2),ЛютНд1+32,""))</f>
        <v>43524</v>
      </c>
      <c r="P30" s="43" t="str">
        <f ca="1">IF(DAY(ЛютНд1)=1,IF(AND(YEAR(ЛютНд1+26)=КалендарРік,MONTH(ЛютНд1+26)=2),ЛютНд1+26,""),IF(AND(YEAR(ЛютНд1+33)=КалендарРік,MONTH(ЛютНд1+33)=2),ЛютНд1+33,""))</f>
        <v/>
      </c>
      <c r="Q30" s="43" t="str">
        <f ca="1">IF(DAY(ЛютНд1)=1,IF(AND(YEAR(ЛютНд1+27)=КалендарРік,MONTH(ЛютНд1+27)=2),ЛютНд1+27,""),IF(AND(YEAR(ЛютНд1+34)=КалендарРік,MONTH(ЛютНд1+34)=2),ЛютНд1+34,""))</f>
        <v/>
      </c>
      <c r="R30" s="43" t="str">
        <f ca="1">IF(DAY(ЛютНд1)=1,IF(AND(YEAR(ЛютНд1+28)=КалендарРік,MONTH(ЛютНд1+28)=2),ЛютНд1+28,""),IF(AND(YEAR(ЛютНд1+35)=КалендарРік,MONTH(ЛютНд1+35)=2),ЛютНд1+35,""))</f>
        <v/>
      </c>
      <c r="S30" s="36"/>
      <c r="T30" s="40"/>
      <c r="U30" s="43">
        <f ca="1">IF(DAY(БерНд1)=1,IF(AND(YEAR(БерНд1+22)=КалендарРік,MONTH(БерНд1+22)=3),БерНд1+22,""),IF(AND(YEAR(БерНд1+29)=КалендарРік,MONTH(БерНд1+29)=3),БерНд1+29,""))</f>
        <v>43549</v>
      </c>
      <c r="V30" s="43">
        <f ca="1">IF(DAY(БерНд1)=1,IF(AND(YEAR(БерНд1+23)=КалендарРік,MONTH(БерНд1+23)=3),БерНд1+23,""),IF(AND(YEAR(БерНд1+30)=КалендарРік,MONTH(БерНд1+30)=3),БерНд1+30,""))</f>
        <v>43550</v>
      </c>
      <c r="W30" s="43">
        <f ca="1">IF(DAY(БерНд1)=1,IF(AND(YEAR(БерНд1+24)=КалендарРік,MONTH(БерНд1+24)=3),БерНд1+24,""),IF(AND(YEAR(БерНд1+31)=КалендарРік,MONTH(БерНд1+31)=3),БерНд1+31,""))</f>
        <v>43551</v>
      </c>
      <c r="X30" s="43">
        <f ca="1">IF(DAY(БерНд1)=1,IF(AND(YEAR(БерНд1+25)=КалендарРік,MONTH(БерНд1+25)=3),БерНд1+25,""),IF(AND(YEAR(БерНд1+32)=КалендарРік,MONTH(БерНд1+32)=3),БерНд1+32,""))</f>
        <v>43552</v>
      </c>
      <c r="Y30" s="43">
        <f ca="1">IF(DAY(БерНд1)=1,IF(AND(YEAR(БерНд1+26)=КалендарРік,MONTH(БерНд1+26)=3),БерНд1+26,""),IF(AND(YEAR(БерНд1+33)=КалендарРік,MONTH(БерНд1+33)=3),БерНд1+33,""))</f>
        <v>43553</v>
      </c>
      <c r="Z30" s="43">
        <f ca="1">IF(DAY(БерНд1)=1,IF(AND(YEAR(БерНд1+27)=КалендарРік,MONTH(БерНд1+27)=3),БерНд1+27,""),IF(AND(YEAR(БерНд1+34)=КалендарРік,MONTH(БерНд1+34)=3),БерНд1+34,""))</f>
        <v>43554</v>
      </c>
      <c r="AA30" s="43">
        <f ca="1">IF(DAY(БерНд1)=1,IF(AND(YEAR(БерНд1+28)=КалендарРік,MONTH(БерНд1+28)=3),БерНд1+28,""),IF(AND(YEAR(БерНд1+35)=КалендарРік,MONTH(БерНд1+35)=3),БерНд1+35,""))</f>
        <v>43555</v>
      </c>
      <c r="AB30" s="36"/>
      <c r="AC30" s="35"/>
      <c r="AD30" s="43">
        <f ca="1">IF(DAY(КвіНд1)=1,IF(AND(YEAR(КвіНд1+22)=КалендарРік,MONTH(КвіНд1+22)=4),КвіНд1+22,""),IF(AND(YEAR(КвіНд1+29)=КалендарРік,MONTH(КвіНд1+29)=4),КвіНд1+29,""))</f>
        <v>43584</v>
      </c>
      <c r="AE30" s="43">
        <f ca="1">IF(DAY(КвіНд1)=1,IF(AND(YEAR(КвіНд1+23)=КалендарРік,MONTH(КвіНд1+23)=4),КвіНд1+23,""),IF(AND(YEAR(КвіНд1+30)=КалендарРік,MONTH(КвіНд1+30)=4),КвіНд1+30,""))</f>
        <v>43585</v>
      </c>
      <c r="AF30" s="43" t="str">
        <f ca="1">IF(DAY(КвіНд1)=1,IF(AND(YEAR(КвіНд1+24)=КалендарРік,MONTH(КвіНд1+24)=4),КвіНд1+24,""),IF(AND(YEAR(КвіНд1+31)=КалендарРік,MONTH(КвіНд1+31)=4),КвіНд1+31,""))</f>
        <v/>
      </c>
      <c r="AG30" s="43" t="str">
        <f ca="1">IF(DAY(КвіНд1)=1,IF(AND(YEAR(КвіНд1+25)=КалендарРік,MONTH(КвіНд1+25)=4),КвіНд1+25,""),IF(AND(YEAR(КвіНд1+32)=КалендарРік,MONTH(КвіНд1+32)=4),КвіНд1+32,""))</f>
        <v/>
      </c>
      <c r="AH30" s="43" t="str">
        <f ca="1">IF(DAY(КвіНд1)=1,IF(AND(YEAR(КвіНд1+26)=КалендарРік,MONTH(КвіНд1+26)=4),КвіНд1+26,""),IF(AND(YEAR(КвіНд1+33)=КалендарРік,MONTH(КвіНд1+33)=4),КвіНд1+33,""))</f>
        <v/>
      </c>
      <c r="AI30" s="43" t="str">
        <f ca="1">IF(DAY(КвіНд1)=1,IF(AND(YEAR(КвіНд1+27)=КалендарРік,MONTH(КвіНд1+27)=4),КвіНд1+27,""),IF(AND(YEAR(КвіНд1+34)=КалендарРік,MONTH(КвіНд1+34)=4),КвіНд1+34,""))</f>
        <v/>
      </c>
      <c r="AJ30" s="43" t="str">
        <f ca="1">IF(DAY(КвіНд1)=1,IF(AND(YEAR(КвіНд1+28)=КалендарРік,MONTH(КвіНд1+28)=4),КвіНд1+28,""),IF(AND(YEAR(КвіНд1+35)=КалендарРік,MONTH(КвіНд1+35)=4),КвіНд1+35,""))</f>
        <v/>
      </c>
    </row>
    <row r="31" spans="1:37" x14ac:dyDescent="0.2">
      <c r="C31" s="43" t="str">
        <f ca="1">IF(DAY(СічНд1)=1,IF(AND(YEAR(СічНд1+29)=КалендарРік,MONTH(СічНд1+29)=1),СічНд1+29,""),IF(AND(YEAR(СічНд1+36)=КалендарРік,MONTH(СічНд1+36)=1),СічНд1+36,""))</f>
        <v/>
      </c>
      <c r="D31" s="43" t="str">
        <f ca="1">IF(DAY(СічНд1)=1,IF(AND(YEAR(СічНд1+30)=КалендарРік,MONTH(СічНд1+30)=1),СічНд1+30,""),IF(AND(YEAR(СічНд1+37)=КалендарРік,MONTH(СічНд1+37)=1),СічНд1+37,""))</f>
        <v/>
      </c>
      <c r="E31" s="43" t="str">
        <f ca="1">IF(DAY(СічНд1)=1,IF(AND(YEAR(СічНд1+31)=КалендарРік,MONTH(СічНд1+31)=1),СічНд1+31,""),IF(AND(YEAR(СічНд1+38)=КалендарРік,MONTH(СічНд1+38)=1),СічНд1+38,""))</f>
        <v/>
      </c>
      <c r="F31" s="43" t="str">
        <f ca="1">IF(DAY(СічНд1)=1,IF(AND(YEAR(СічНд1+32)=КалендарРік,MONTH(СічНд1+32)=1),СічНд1+32,""),IF(AND(YEAR(СічНд1+39)=КалендарРік,MONTH(СічНд1+39)=1),СічНд1+39,""))</f>
        <v/>
      </c>
      <c r="G31" s="43" t="str">
        <f ca="1">IF(DAY(СічНд1)=1,IF(AND(YEAR(СічНд1+33)=КалендарРік,MONTH(СічНд1+33)=1),СічНд1+33,""),IF(AND(YEAR(СічНд1+40)=КалендарРік,MONTH(СічНд1+40)=1),СічНд1+40,""))</f>
        <v/>
      </c>
      <c r="H31" s="43" t="str">
        <f ca="1">IF(DAY(СічНд1)=1,IF(AND(YEAR(СічНд1+34)=КалендарРік,MONTH(СічНд1+34)=1),СічНд1+34,""),IF(AND(YEAR(СічНд1+41)=КалендарРік,MONTH(СічНд1+41)=1),СічНд1+41,""))</f>
        <v/>
      </c>
      <c r="I31" s="43" t="str">
        <f ca="1">IF(DAY(СічНд1)=1,IF(AND(YEAR(СічНд1+35)=КалендарРік,MONTH(СічНд1+35)=1),СічНд1+35,""),IF(AND(YEAR(СічНд1+42)=КалендарРік,MONTH(СічНд1+42)=1),СічНд1+42,""))</f>
        <v/>
      </c>
      <c r="J31" s="36"/>
      <c r="K31" s="35"/>
      <c r="L31" s="43" t="str">
        <f ca="1">IF(DAY(ЛютНд1)=1,IF(AND(YEAR(ЛютНд1+29)=КалендарРік,MONTH(ЛютНд1+29)=2),ЛютНд1+29,""),IF(AND(YEAR(ЛютНд1+36)=КалендарРік,MONTH(ЛютНд1+36)=2),ЛютНд1+36,""))</f>
        <v/>
      </c>
      <c r="M31" s="43" t="str">
        <f ca="1">IF(DAY(ЛютНд1)=1,IF(AND(YEAR(ЛютНд1+30)=КалендарРік,MONTH(ЛютНд1+30)=2),ЛютНд1+30,""),IF(AND(YEAR(ЛютНд1+37)=КалендарРік,MONTH(ЛютНд1+37)=2),ЛютНд1+37,""))</f>
        <v/>
      </c>
      <c r="N31" s="43" t="str">
        <f ca="1">IF(DAY(ЛютНд1)=1,IF(AND(YEAR(ЛютНд1+31)=КалендарРік,MONTH(ЛютНд1+31)=2),ЛютНд1+31,""),IF(AND(YEAR(ЛютНд1+38)=КалендарРік,MONTH(ЛютНд1+38)=2),ЛютНд1+38,""))</f>
        <v/>
      </c>
      <c r="O31" s="43" t="str">
        <f ca="1">IF(DAY(ЛютНд1)=1,IF(AND(YEAR(ЛютНд1+32)=КалендарРік,MONTH(ЛютНд1+32)=2),ЛютНд1+32,""),IF(AND(YEAR(ЛютНд1+39)=КалендарРік,MONTH(ЛютНд1+39)=2),ЛютНд1+39,""))</f>
        <v/>
      </c>
      <c r="P31" s="43" t="str">
        <f ca="1">IF(DAY(ЛютНд1)=1,IF(AND(YEAR(ЛютНд1+33)=КалендарРік,MONTH(ЛютНд1+33)=2),ЛютНд1+33,""),IF(AND(YEAR(ЛютНд1+40)=КалендарРік,MONTH(ЛютНд1+40)=2),ЛютНд1+40,""))</f>
        <v/>
      </c>
      <c r="Q31" s="43" t="str">
        <f ca="1">IF(DAY(ЛютНд1)=1,IF(AND(YEAR(ЛютНд1+34)=КалендарРік,MONTH(ЛютНд1+34)=2),ЛютНд1+34,""),IF(AND(YEAR(ЛютНд1+41)=КалендарРік,MONTH(ЛютНд1+41)=2),ЛютНд1+41,""))</f>
        <v/>
      </c>
      <c r="R31" s="43" t="str">
        <f ca="1">IF(DAY(ЛютНд1)=1,IF(AND(YEAR(ЛютНд1+35)=КалендарРік,MONTH(ЛютНд1+35)=2),ЛютНд1+35,""),IF(AND(YEAR(ЛютНд1+42)=КалендарРік,MONTH(ЛютНд1+42)=2),ЛютНд1+42,""))</f>
        <v/>
      </c>
      <c r="S31" s="36"/>
      <c r="T31" s="40"/>
      <c r="U31" s="43" t="str">
        <f ca="1">IF(DAY(БерНд1)=1,IF(AND(YEAR(БерНд1+29)=КалендарРік,MONTH(БерНд1+29)=3),БерНд1+29,""),IF(AND(YEAR(БерНд1+36)=КалендарРік,MONTH(БерНд1+36)=3),БерНд1+36,""))</f>
        <v/>
      </c>
      <c r="V31" s="43" t="str">
        <f ca="1">IF(DAY(БерНд1)=1,IF(AND(YEAR(БерНд1+30)=КалендарРік,MONTH(БерНд1+30)=3),БерНд1+30,""),IF(AND(YEAR(БерНд1+37)=КалендарРік,MONTH(БерНд1+37)=3),БерНд1+37,""))</f>
        <v/>
      </c>
      <c r="W31" s="43" t="str">
        <f ca="1">IF(DAY(БерНд1)=1,IF(AND(YEAR(БерНд1+31)=КалендарРік,MONTH(БерНд1+31)=3),БерНд1+31,""),IF(AND(YEAR(БерНд1+38)=КалендарРік,MONTH(БерНд1+38)=3),БерНд1+38,""))</f>
        <v/>
      </c>
      <c r="X31" s="43" t="str">
        <f ca="1">IF(DAY(БерНд1)=1,IF(AND(YEAR(БерНд1+32)=КалендарРік,MONTH(БерНд1+32)=3),БерНд1+32,""),IF(AND(YEAR(БерНд1+39)=КалендарРік,MONTH(БерНд1+39)=3),БерНд1+39,""))</f>
        <v/>
      </c>
      <c r="Y31" s="43" t="str">
        <f ca="1">IF(DAY(БерНд1)=1,IF(AND(YEAR(БерНд1+33)=КалендарРік,MONTH(БерНд1+33)=3),БерНд1+33,""),IF(AND(YEAR(БерНд1+40)=КалендарРік,MONTH(БерНд1+40)=3),БерНд1+40,""))</f>
        <v/>
      </c>
      <c r="Z31" s="43" t="str">
        <f ca="1">IF(DAY(БерНд1)=1,IF(AND(YEAR(БерНд1+34)=КалендарРік,MONTH(БерНд1+34)=3),БерНд1+34,""),IF(AND(YEAR(БерНд1+41)=КалендарРік,MONTH(БерНд1+41)=3),БерНд1+41,""))</f>
        <v/>
      </c>
      <c r="AA31" s="43" t="str">
        <f ca="1">IF(DAY(БерНд1)=1,IF(AND(YEAR(БерНд1+35)=КалендарРік,MONTH(БерНд1+35)=3),БерНд1+35,""),IF(AND(YEAR(БерНд1+42)=КалендарРік,MONTH(БерНд1+42)=3),БерНд1+42,""))</f>
        <v/>
      </c>
      <c r="AB31" s="36"/>
      <c r="AC31" s="35"/>
      <c r="AD31" s="43" t="str">
        <f ca="1">IF(DAY(КвіНд1)=1,IF(AND(YEAR(КвіНд1+29)=КалендарРік,MONTH(КвіНд1+29)=4),КвіНд1+29,""),IF(AND(YEAR(КвіНд1+36)=КалендарРік,MONTH(КвіНд1+36)=4),КвіНд1+36,""))</f>
        <v/>
      </c>
      <c r="AE31" s="43" t="str">
        <f ca="1">IF(DAY(КвіНд1)=1,IF(AND(YEAR(КвіНд1+30)=КалендарРік,MONTH(КвіНд1+30)=4),КвіНд1+30,""),IF(AND(YEAR(КвіНд1+37)=КалендарРік,MONTH(КвіНд1+37)=4),КвіНд1+37,""))</f>
        <v/>
      </c>
      <c r="AF31" s="43" t="str">
        <f ca="1">IF(DAY(КвіНд1)=1,IF(AND(YEAR(КвіНд1+31)=КалендарРік,MONTH(КвіНд1+31)=4),КвіНд1+31,""),IF(AND(YEAR(КвіНд1+38)=КалендарРік,MONTH(КвіНд1+38)=4),КвіНд1+38,""))</f>
        <v/>
      </c>
      <c r="AG31" s="43" t="str">
        <f ca="1">IF(DAY(КвіНд1)=1,IF(AND(YEAR(КвіНд1+32)=КалендарРік,MONTH(КвіНд1+32)=4),КвіНд1+32,""),IF(AND(YEAR(КвіНд1+39)=КалендарРік,MONTH(КвіНд1+39)=4),КвіНд1+39,""))</f>
        <v/>
      </c>
      <c r="AH31" s="43" t="str">
        <f ca="1">IF(DAY(КвіНд1)=1,IF(AND(YEAR(КвіНд1+33)=КалендарРік,MONTH(КвіНд1+33)=4),КвіНд1+33,""),IF(AND(YEAR(КвіНд1+40)=КалендарРік,MONTH(КвіНд1+40)=4),КвіНд1+40,""))</f>
        <v/>
      </c>
      <c r="AI31" s="43" t="str">
        <f ca="1">IF(DAY(КвіНд1)=1,IF(AND(YEAR(КвіНд1+34)=КалендарРік,MONTH(КвіНд1+34)=4),КвіНд1+34,""),IF(AND(YEAR(КвіНд1+41)=КалендарРік,MONTH(КвіНд1+41)=4),КвіНд1+41,""))</f>
        <v/>
      </c>
      <c r="AJ31" s="43" t="str">
        <f ca="1">IF(DAY(КвіНд1)=1,IF(AND(YEAR(КвіНд1+35)=КалендарРік,MONTH(КвіНд1+35)=4),КвіНд1+35,""),IF(AND(YEAR(КвіНд1+42)=КалендарРік,MONTH(КвіНд1+42)=4),КвіНд1+42,""))</f>
        <v/>
      </c>
    </row>
    <row r="32" spans="1:37" ht="15" x14ac:dyDescent="0.2">
      <c r="A32" s="26" t="s">
        <v>13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6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</row>
    <row r="33" spans="1:36" ht="15.75" x14ac:dyDescent="0.25">
      <c r="A33" s="26" t="s">
        <v>14</v>
      </c>
      <c r="C33" s="44">
        <f ca="1">DATE(КалендарРік,5,1)</f>
        <v>43586</v>
      </c>
      <c r="D33" s="44"/>
      <c r="E33" s="44"/>
      <c r="F33" s="44"/>
      <c r="G33" s="44"/>
      <c r="H33" s="44"/>
      <c r="I33" s="44"/>
      <c r="J33" s="32"/>
      <c r="K33" s="35"/>
      <c r="L33" s="44">
        <f ca="1">DATE(КалендарРік,6,1)</f>
        <v>43617</v>
      </c>
      <c r="M33" s="44"/>
      <c r="N33" s="44"/>
      <c r="O33" s="44"/>
      <c r="P33" s="44"/>
      <c r="Q33" s="44"/>
      <c r="R33" s="44"/>
      <c r="S33" s="32"/>
      <c r="T33" s="40"/>
      <c r="U33" s="44">
        <f ca="1">DATE(КалендарРік,7,1)</f>
        <v>43647</v>
      </c>
      <c r="V33" s="44"/>
      <c r="W33" s="44"/>
      <c r="X33" s="44"/>
      <c r="Y33" s="44"/>
      <c r="Z33" s="44"/>
      <c r="AA33" s="44"/>
      <c r="AB33" s="32"/>
      <c r="AC33" s="35"/>
      <c r="AD33" s="44">
        <f ca="1">DATE(КалендарРік,8,1)</f>
        <v>43678</v>
      </c>
      <c r="AE33" s="44"/>
      <c r="AF33" s="44"/>
      <c r="AG33" s="44"/>
      <c r="AH33" s="44"/>
      <c r="AI33" s="44"/>
      <c r="AJ33" s="44"/>
    </row>
    <row r="34" spans="1:36" ht="15" x14ac:dyDescent="0.25">
      <c r="A34" s="26" t="s">
        <v>15</v>
      </c>
      <c r="C34" s="21" t="s">
        <v>21</v>
      </c>
      <c r="D34" s="21" t="s">
        <v>24</v>
      </c>
      <c r="E34" s="21" t="s">
        <v>25</v>
      </c>
      <c r="F34" s="21" t="s">
        <v>26</v>
      </c>
      <c r="G34" s="21" t="s">
        <v>27</v>
      </c>
      <c r="H34" s="21" t="s">
        <v>30</v>
      </c>
      <c r="I34" s="21" t="s">
        <v>31</v>
      </c>
      <c r="J34" s="34"/>
      <c r="K34" s="37"/>
      <c r="L34" s="21" t="s">
        <v>21</v>
      </c>
      <c r="M34" s="21" t="s">
        <v>24</v>
      </c>
      <c r="N34" s="21" t="s">
        <v>25</v>
      </c>
      <c r="O34" s="21" t="s">
        <v>26</v>
      </c>
      <c r="P34" s="21" t="s">
        <v>27</v>
      </c>
      <c r="Q34" s="21" t="s">
        <v>30</v>
      </c>
      <c r="R34" s="21" t="s">
        <v>31</v>
      </c>
      <c r="S34" s="34"/>
      <c r="T34" s="40"/>
      <c r="U34" s="21" t="s">
        <v>21</v>
      </c>
      <c r="V34" s="21" t="s">
        <v>24</v>
      </c>
      <c r="W34" s="21" t="s">
        <v>25</v>
      </c>
      <c r="X34" s="21" t="s">
        <v>26</v>
      </c>
      <c r="Y34" s="21" t="s">
        <v>27</v>
      </c>
      <c r="Z34" s="21" t="s">
        <v>30</v>
      </c>
      <c r="AA34" s="21" t="s">
        <v>31</v>
      </c>
      <c r="AB34" s="34"/>
      <c r="AC34" s="35"/>
      <c r="AD34" s="21" t="s">
        <v>21</v>
      </c>
      <c r="AE34" s="21" t="s">
        <v>24</v>
      </c>
      <c r="AF34" s="21" t="s">
        <v>25</v>
      </c>
      <c r="AG34" s="21" t="s">
        <v>26</v>
      </c>
      <c r="AH34" s="21" t="s">
        <v>27</v>
      </c>
      <c r="AI34" s="21" t="s">
        <v>30</v>
      </c>
      <c r="AJ34" s="21" t="s">
        <v>31</v>
      </c>
    </row>
    <row r="35" spans="1:36" ht="15.75" x14ac:dyDescent="0.25">
      <c r="A35" s="26" t="s">
        <v>16</v>
      </c>
      <c r="C35" s="43" t="str">
        <f ca="1">IF(DAY(ТраНд1)=1,"",IF(AND(YEAR(ТраНд1+1)=КалендарРік,MONTH(ТраНд1+1)=5),ТраНд1+1,""))</f>
        <v/>
      </c>
      <c r="D35" s="43" t="str">
        <f ca="1">IF(DAY(ТраНд1)=1,"",IF(AND(YEAR(ТраНд1+2)=КалендарРік,MONTH(ТраНд1+2)=5),ТраНд1+2,""))</f>
        <v/>
      </c>
      <c r="E35" s="43">
        <f ca="1">IF(DAY(ТраНд1)=1,"",IF(AND(YEAR(ТраНд1+3)=КалендарРік,MONTH(ТраНд1+3)=5),ТраНд1+3,""))</f>
        <v>43586</v>
      </c>
      <c r="F35" s="43">
        <f ca="1">IF(DAY(ТраНд1)=1,"",IF(AND(YEAR(ТраНд1+4)=КалендарРік,MONTH(ТраНд1+4)=5),ТраНд1+4,""))</f>
        <v>43587</v>
      </c>
      <c r="G35" s="43">
        <f ca="1">IF(DAY(ТраНд1)=1,"",IF(AND(YEAR(ТраНд1+5)=КалендарРік,MONTH(ТраНд1+5)=5),ТраНд1+5,""))</f>
        <v>43588</v>
      </c>
      <c r="H35" s="43">
        <f ca="1">IF(DAY(ТраНд1)=1,"",IF(AND(YEAR(ТраНд1+6)=КалендарРік,MONTH(ТраНд1+6)=5),ТраНд1+6,""))</f>
        <v>43589</v>
      </c>
      <c r="I35" s="43">
        <f ca="1">IF(DAY(ТраНд1)=1,IF(AND(YEAR(ТраНд1)=КалендарРік,MONTH(ТраНд1)=5),ТраНд1,""),IF(AND(YEAR(ТраНд1+7)=КалендарРік,MONTH(ТраНд1+7)=5),ТраНд1+7,""))</f>
        <v>43590</v>
      </c>
      <c r="J35" s="36"/>
      <c r="K35" s="33"/>
      <c r="L35" s="43" t="str">
        <f ca="1">IF(DAY(ЧерНд1)=1,"",IF(AND(YEAR(ЧерНд1+1)=КалендарРік,MONTH(ЧерНд1+1)=6),ЧерНд1+1,""))</f>
        <v/>
      </c>
      <c r="M35" s="43" t="str">
        <f ca="1">IF(DAY(ЧерНд1)=1,"",IF(AND(YEAR(ЧерНд1+2)=КалендарРік,MONTH(ЧерНд1+2)=6),ЧерНд1+2,""))</f>
        <v/>
      </c>
      <c r="N35" s="43" t="str">
        <f ca="1">IF(DAY(ЧерНд1)=1,"",IF(AND(YEAR(ЧерНд1+3)=КалендарРік,MONTH(ЧерНд1+3)=6),ЧерНд1+3,""))</f>
        <v/>
      </c>
      <c r="O35" s="43" t="str">
        <f ca="1">IF(DAY(ЧерНд1)=1,"",IF(AND(YEAR(ЧерНд1+4)=КалендарРік,MONTH(ЧерНд1+4)=6),ЧерНд1+4,""))</f>
        <v/>
      </c>
      <c r="P35" s="43" t="str">
        <f ca="1">IF(DAY(ЧерНд1)=1,"",IF(AND(YEAR(ЧерНд1+5)=КалендарРік,MONTH(ЧерНд1+5)=6),ЧерНд1+5,""))</f>
        <v/>
      </c>
      <c r="Q35" s="43">
        <f ca="1">IF(DAY(ЧерНд1)=1,"",IF(AND(YEAR(ЧерНд1+6)=КалендарРік,MONTH(ЧерНд1+6)=6),ЧерНд1+6,""))</f>
        <v>43617</v>
      </c>
      <c r="R35" s="43">
        <f ca="1">IF(DAY(ЧерНд1)=1,IF(AND(YEAR(ЧерНд1)=КалендарРік,MONTH(ЧерНд1)=6),ЧерНд1,""),IF(AND(YEAR(ЧерНд1+7)=КалендарРік,MONTH(ЧерНд1+7)=6),ЧерНд1+7,""))</f>
        <v>43618</v>
      </c>
      <c r="S35" s="36"/>
      <c r="T35" s="40"/>
      <c r="U35" s="43">
        <f ca="1">IF(DAY(ЛипНд1)=1,"",IF(AND(YEAR(ЛипНд1+1)=КалендарРік,MONTH(ЛипНд1+1)=7),ЛипНд1+1,""))</f>
        <v>43647</v>
      </c>
      <c r="V35" s="43">
        <f ca="1">IF(DAY(ЛипНд1)=1,"",IF(AND(YEAR(ЛипНд1+2)=КалендарРік,MONTH(ЛипНд1+2)=7),ЛипНд1+2,""))</f>
        <v>43648</v>
      </c>
      <c r="W35" s="43">
        <f ca="1">IF(DAY(ЛипНд1)=1,"",IF(AND(YEAR(ЛипНд1+3)=КалендарРік,MONTH(ЛипНд1+3)=7),ЛипНд1+3,""))</f>
        <v>43649</v>
      </c>
      <c r="X35" s="43">
        <f ca="1">IF(DAY(ЛипНд1)=1,"",IF(AND(YEAR(ЛипНд1+4)=КалендарРік,MONTH(ЛипНд1+4)=7),ЛипНд1+4,""))</f>
        <v>43650</v>
      </c>
      <c r="Y35" s="43">
        <f ca="1">IF(DAY(ЛипНд1)=1,"",IF(AND(YEAR(ЛипНд1+5)=КалендарРік,MONTH(ЛипНд1+5)=7),ЛипНд1+5,""))</f>
        <v>43651</v>
      </c>
      <c r="Z35" s="43">
        <f ca="1">IF(DAY(ЛипНд1)=1,"",IF(AND(YEAR(ЛипНд1+6)=КалендарРік,MONTH(ЛипНд1+6)=7),ЛипНд1+6,""))</f>
        <v>43652</v>
      </c>
      <c r="AA35" s="43">
        <f ca="1">IF(DAY(ЛипНд1)=1,IF(AND(YEAR(ЛипНд1)=КалендарРік,MONTH(ЛипНд1)=7),ЛипНд1,""),IF(AND(YEAR(ЛипНд1+7)=КалендарРік,MONTH(ЛипНд1+7)=7),ЛипНд1+7,""))</f>
        <v>43653</v>
      </c>
      <c r="AB35" s="36"/>
      <c r="AC35" s="37"/>
      <c r="AD35" s="43" t="str">
        <f ca="1">IF(DAY(СерНд1)=1,"",IF(AND(YEAR(СерНд1+1)=КалендарРік,MONTH(СерНд1+1)=8),СерНд1+1,""))</f>
        <v/>
      </c>
      <c r="AE35" s="43" t="str">
        <f ca="1">IF(DAY(СерНд1)=1,"",IF(AND(YEAR(СерНд1+2)=КалендарРік,MONTH(СерНд1+2)=8),СерНд1+2,""))</f>
        <v/>
      </c>
      <c r="AF35" s="43" t="str">
        <f ca="1">IF(DAY(СерНд1)=1,"",IF(AND(YEAR(СерНд1+3)=КалендарРік,MONTH(СерНд1+3)=8),СерНд1+3,""))</f>
        <v/>
      </c>
      <c r="AG35" s="43">
        <f ca="1">IF(DAY(СерНд1)=1,"",IF(AND(YEAR(СерНд1+4)=КалендарРік,MONTH(СерНд1+4)=8),СерНд1+4,""))</f>
        <v>43678</v>
      </c>
      <c r="AH35" s="43">
        <f ca="1">IF(DAY(СерНд1)=1,"",IF(AND(YEAR(СерНд1+5)=КалендарРік,MONTH(СерНд1+5)=8),СерНд1+5,""))</f>
        <v>43679</v>
      </c>
      <c r="AI35" s="43">
        <f ca="1">IF(DAY(СерНд1)=1,"",IF(AND(YEAR(СерНд1+6)=КалендарРік,MONTH(СерНд1+6)=8),СерНд1+6,""))</f>
        <v>43680</v>
      </c>
      <c r="AJ35" s="43">
        <f ca="1">IF(DAY(СерНд1)=1,IF(AND(YEAR(СерНд1)=КалендарРік,MONTH(СерНд1)=8),СерНд1,""),IF(AND(YEAR(СерНд1+7)=КалендарРік,MONTH(СерНд1+7)=8),СерНд1+7,""))</f>
        <v>43681</v>
      </c>
    </row>
    <row r="36" spans="1:36" x14ac:dyDescent="0.2">
      <c r="C36" s="43">
        <f ca="1">IF(DAY(ТраНд1)=1,IF(AND(YEAR(ТраНд1+1)=КалендарРік,MONTH(ТраНд1+1)=5),ТраНд1+1,""),IF(AND(YEAR(ТраНд1+8)=КалендарРік,MONTH(ТраНд1+8)=5),ТраНд1+8,""))</f>
        <v>43591</v>
      </c>
      <c r="D36" s="43">
        <f ca="1">IF(DAY(ТраНд1)=1,IF(AND(YEAR(ТраНд1+2)=КалендарРік,MONTH(ТраНд1+2)=5),ТраНд1+2,""),IF(AND(YEAR(ТраНд1+9)=КалендарРік,MONTH(ТраНд1+9)=5),ТраНд1+9,""))</f>
        <v>43592</v>
      </c>
      <c r="E36" s="43">
        <f ca="1">IF(DAY(ТраНд1)=1,IF(AND(YEAR(ТраНд1+3)=КалендарРік,MONTH(ТраНд1+3)=5),ТраНд1+3,""),IF(AND(YEAR(ТраНд1+10)=КалендарРік,MONTH(ТраНд1+10)=5),ТраНд1+10,""))</f>
        <v>43593</v>
      </c>
      <c r="F36" s="43">
        <f ca="1">IF(DAY(ТраНд1)=1,IF(AND(YEAR(ТраНд1+4)=КалендарРік,MONTH(ТраНд1+4)=5),ТраНд1+4,""),IF(AND(YEAR(ТраНд1+11)=КалендарРік,MONTH(ТраНд1+11)=5),ТраНд1+11,""))</f>
        <v>43594</v>
      </c>
      <c r="G36" s="43">
        <f ca="1">IF(DAY(ТраНд1)=1,IF(AND(YEAR(ТраНд1+5)=КалендарРік,MONTH(ТраНд1+5)=5),ТраНд1+5,""),IF(AND(YEAR(ТраНд1+12)=КалендарРік,MONTH(ТраНд1+12)=5),ТраНд1+12,""))</f>
        <v>43595</v>
      </c>
      <c r="H36" s="43">
        <f ca="1">IF(DAY(ТраНд1)=1,IF(AND(YEAR(ТраНд1+6)=КалендарРік,MONTH(ТраНд1+6)=5),ТраНд1+6,""),IF(AND(YEAR(ТраНд1+13)=КалендарРік,MONTH(ТраНд1+13)=5),ТраНд1+13,""))</f>
        <v>43596</v>
      </c>
      <c r="I36" s="43">
        <f ca="1">IF(DAY(ТраНд1)=1,IF(AND(YEAR(ТраНд1+7)=КалендарРік,MONTH(ТраНд1+7)=5),ТраНд1+7,""),IF(AND(YEAR(ТраНд1+14)=КалендарРік,MONTH(ТраНд1+14)=5),ТраНд1+14,""))</f>
        <v>43597</v>
      </c>
      <c r="J36" s="36"/>
      <c r="K36" s="35"/>
      <c r="L36" s="43">
        <f ca="1">IF(DAY(ЧерНд1)=1,IF(AND(YEAR(ЧерНд1+1)=КалендарРік,MONTH(ЧерНд1+1)=6),ЧерНд1+1,""),IF(AND(YEAR(ЧерНд1+8)=КалендарРік,MONTH(ЧерНд1+8)=6),ЧерНд1+8,""))</f>
        <v>43619</v>
      </c>
      <c r="M36" s="43">
        <f ca="1">IF(DAY(ЧерНд1)=1,IF(AND(YEAR(ЧерНд1+2)=КалендарРік,MONTH(ЧерНд1+2)=6),ЧерНд1+2,""),IF(AND(YEAR(ЧерНд1+9)=КалендарРік,MONTH(ЧерНд1+9)=6),ЧерНд1+9,""))</f>
        <v>43620</v>
      </c>
      <c r="N36" s="43">
        <f ca="1">IF(DAY(ЧерНд1)=1,IF(AND(YEAR(ЧерНд1+3)=КалендарРік,MONTH(ЧерНд1+3)=6),ЧерНд1+3,""),IF(AND(YEAR(ЧерНд1+10)=КалендарРік,MONTH(ЧерНд1+10)=6),ЧерНд1+10,""))</f>
        <v>43621</v>
      </c>
      <c r="O36" s="43">
        <f ca="1">IF(DAY(ЧерНд1)=1,IF(AND(YEAR(ЧерНд1+4)=КалендарРік,MONTH(ЧерНд1+4)=6),ЧерНд1+4,""),IF(AND(YEAR(ЧерНд1+11)=КалендарРік,MONTH(ЧерНд1+11)=6),ЧерНд1+11,""))</f>
        <v>43622</v>
      </c>
      <c r="P36" s="43">
        <f ca="1">IF(DAY(ЧерНд1)=1,IF(AND(YEAR(ЧерНд1+5)=КалендарРік,MONTH(ЧерНд1+5)=6),ЧерНд1+5,""),IF(AND(YEAR(ЧерНд1+12)=КалендарРік,MONTH(ЧерНд1+12)=6),ЧерНд1+12,""))</f>
        <v>43623</v>
      </c>
      <c r="Q36" s="43">
        <f ca="1">IF(DAY(ЧерНд1)=1,IF(AND(YEAR(ЧерНд1+6)=КалендарРік,MONTH(ЧерНд1+6)=6),ЧерНд1+6,""),IF(AND(YEAR(ЧерНд1+13)=КалендарРік,MONTH(ЧерНд1+13)=6),ЧерНд1+13,""))</f>
        <v>43624</v>
      </c>
      <c r="R36" s="43">
        <f ca="1">IF(DAY(ЧерНд1)=1,IF(AND(YEAR(ЧерНд1+7)=КалендарРік,MONTH(ЧерНд1+7)=6),ЧерНд1+7,""),IF(AND(YEAR(ЧерНд1+14)=КалендарРік,MONTH(ЧерНд1+14)=6),ЧерНд1+14,""))</f>
        <v>43625</v>
      </c>
      <c r="S36" s="36"/>
      <c r="T36" s="40"/>
      <c r="U36" s="43">
        <f ca="1">IF(DAY(ЛипНд1)=1,IF(AND(YEAR(ЛипНд1+1)=КалендарРік,MONTH(ЛипНд1+1)=7),ЛипНд1+1,""),IF(AND(YEAR(ЛипНд1+8)=КалендарРік,MONTH(ЛипНд1+8)=7),ЛипНд1+8,""))</f>
        <v>43654</v>
      </c>
      <c r="V36" s="43">
        <f ca="1">IF(DAY(ЛипНд1)=1,IF(AND(YEAR(ЛипНд1+2)=КалендарРік,MONTH(ЛипНд1+2)=7),ЛипНд1+2,""),IF(AND(YEAR(ЛипНд1+9)=КалендарРік,MONTH(ЛипНд1+9)=7),ЛипНд1+9,""))</f>
        <v>43655</v>
      </c>
      <c r="W36" s="43">
        <f ca="1">IF(DAY(ЛипНд1)=1,IF(AND(YEAR(ЛипНд1+3)=КалендарРік,MONTH(ЛипНд1+3)=7),ЛипНд1+3,""),IF(AND(YEAR(ЛипНд1+10)=КалендарРік,MONTH(ЛипНд1+10)=7),ЛипНд1+10,""))</f>
        <v>43656</v>
      </c>
      <c r="X36" s="43">
        <f ca="1">IF(DAY(ЛипНд1)=1,IF(AND(YEAR(ЛипНд1+4)=КалендарРік,MONTH(ЛипНд1+4)=7),ЛипНд1+4,""),IF(AND(YEAR(ЛипНд1+11)=КалендарРік,MONTH(ЛипНд1+11)=7),ЛипНд1+11,""))</f>
        <v>43657</v>
      </c>
      <c r="Y36" s="43">
        <f ca="1">IF(DAY(ЛипНд1)=1,IF(AND(YEAR(ЛипНд1+5)=КалендарРік,MONTH(ЛипНд1+5)=7),ЛипНд1+5,""),IF(AND(YEAR(ЛипНд1+12)=КалендарРік,MONTH(ЛипНд1+12)=7),ЛипНд1+12,""))</f>
        <v>43658</v>
      </c>
      <c r="Z36" s="43">
        <f ca="1">IF(DAY(ЛипНд1)=1,IF(AND(YEAR(ЛипНд1+6)=КалендарРік,MONTH(ЛипНд1+6)=7),ЛипНд1+6,""),IF(AND(YEAR(ЛипНд1+13)=КалендарРік,MONTH(ЛипНд1+13)=7),ЛипНд1+13,""))</f>
        <v>43659</v>
      </c>
      <c r="AA36" s="43">
        <f ca="1">IF(DAY(ЛипНд1)=1,IF(AND(YEAR(ЛипНд1+7)=КалендарРік,MONTH(ЛипНд1+7)=7),ЛипНд1+7,""),IF(AND(YEAR(ЛипНд1+14)=КалендарРік,MONTH(ЛипНд1+14)=7),ЛипНд1+14,""))</f>
        <v>43660</v>
      </c>
      <c r="AB36" s="36"/>
      <c r="AC36" s="39"/>
      <c r="AD36" s="43">
        <f ca="1">IF(DAY(СерНд1)=1,IF(AND(YEAR(СерНд1+1)=КалендарРік,MONTH(СерНд1+1)=8),СерНд1+1,""),IF(AND(YEAR(СерНд1+8)=КалендарРік,MONTH(СерНд1+8)=8),СерНд1+8,""))</f>
        <v>43682</v>
      </c>
      <c r="AE36" s="43">
        <f ca="1">IF(DAY(СерНд1)=1,IF(AND(YEAR(СерНд1+2)=КалендарРік,MONTH(СерНд1+2)=8),СерНд1+2,""),IF(AND(YEAR(СерНд1+9)=КалендарРік,MONTH(СерНд1+9)=8),СерНд1+9,""))</f>
        <v>43683</v>
      </c>
      <c r="AF36" s="43">
        <f ca="1">IF(DAY(СерНд1)=1,IF(AND(YEAR(СерНд1+3)=КалендарРік,MONTH(СерНд1+3)=8),СерНд1+3,""),IF(AND(YEAR(СерНд1+10)=КалендарРік,MONTH(СерНд1+10)=8),СерНд1+10,""))</f>
        <v>43684</v>
      </c>
      <c r="AG36" s="43">
        <f ca="1">IF(DAY(СерНд1)=1,IF(AND(YEAR(СерНд1+4)=КалендарРік,MONTH(СерНд1+4)=8),СерНд1+4,""),IF(AND(YEAR(СерНд1+11)=КалендарРік,MONTH(СерНд1+11)=8),СерНд1+11,""))</f>
        <v>43685</v>
      </c>
      <c r="AH36" s="43">
        <f ca="1">IF(DAY(СерНд1)=1,IF(AND(YEAR(СерНд1+5)=КалендарРік,MONTH(СерНд1+5)=8),СерНд1+5,""),IF(AND(YEAR(СерНд1+12)=КалендарРік,MONTH(СерНд1+12)=8),СерНд1+12,""))</f>
        <v>43686</v>
      </c>
      <c r="AI36" s="43">
        <f ca="1">IF(DAY(СерНд1)=1,IF(AND(YEAR(СерНд1+6)=КалендарРік,MONTH(СерНд1+6)=8),СерНд1+6,""),IF(AND(YEAR(СерНд1+13)=КалендарРік,MONTH(СерНд1+13)=8),СерНд1+13,""))</f>
        <v>43687</v>
      </c>
      <c r="AJ36" s="43">
        <f ca="1">IF(DAY(СерНд1)=1,IF(AND(YEAR(СерНд1+7)=КалендарРік,MONTH(СерНд1+7)=8),СерНд1+7,""),IF(AND(YEAR(СерНд1+14)=КалендарРік,MONTH(СерНд1+14)=8),СерНд1+14,""))</f>
        <v>43688</v>
      </c>
    </row>
    <row r="37" spans="1:36" x14ac:dyDescent="0.2">
      <c r="C37" s="43">
        <f ca="1">IF(DAY(ТраНд1)=1,IF(AND(YEAR(ТраНд1+8)=КалендарРік,MONTH(ТраНд1+8)=5),ТраНд1+8,""),IF(AND(YEAR(ТраНд1+15)=КалендарРік,MONTH(ТраНд1+15)=5),ТраНд1+15,""))</f>
        <v>43598</v>
      </c>
      <c r="D37" s="43">
        <f ca="1">IF(DAY(ТраНд1)=1,IF(AND(YEAR(ТраНд1+9)=КалендарРік,MONTH(ТраНд1+9)=5),ТраНд1+9,""),IF(AND(YEAR(ТраНд1+16)=КалендарРік,MONTH(ТраНд1+16)=5),ТраНд1+16,""))</f>
        <v>43599</v>
      </c>
      <c r="E37" s="43">
        <f ca="1">IF(DAY(ТраНд1)=1,IF(AND(YEAR(ТраНд1+10)=КалендарРік,MONTH(ТраНд1+10)=5),ТраНд1+10,""),IF(AND(YEAR(ТраНд1+17)=КалендарРік,MONTH(ТраНд1+17)=5),ТраНд1+17,""))</f>
        <v>43600</v>
      </c>
      <c r="F37" s="43">
        <f ca="1">IF(DAY(ТраНд1)=1,IF(AND(YEAR(ТраНд1+11)=КалендарРік,MONTH(ТраНд1+11)=5),ТраНд1+11,""),IF(AND(YEAR(ТраНд1+18)=КалендарРік,MONTH(ТраНд1+18)=5),ТраНд1+18,""))</f>
        <v>43601</v>
      </c>
      <c r="G37" s="43">
        <f ca="1">IF(DAY(ТраНд1)=1,IF(AND(YEAR(ТраНд1+12)=КалендарРік,MONTH(ТраНд1+12)=5),ТраНд1+12,""),IF(AND(YEAR(ТраНд1+19)=КалендарРік,MONTH(ТраНд1+19)=5),ТраНд1+19,""))</f>
        <v>43602</v>
      </c>
      <c r="H37" s="43">
        <f ca="1">IF(DAY(ТраНд1)=1,IF(AND(YEAR(ТраНд1+13)=КалендарРік,MONTH(ТраНд1+13)=5),ТраНд1+13,""),IF(AND(YEAR(ТраНд1+20)=КалендарРік,MONTH(ТраНд1+20)=5),ТраНд1+20,""))</f>
        <v>43603</v>
      </c>
      <c r="I37" s="43">
        <f ca="1">IF(DAY(ТраНд1)=1,IF(AND(YEAR(ТраНд1+14)=КалендарРік,MONTH(ТраНд1+14)=5),ТраНд1+14,""),IF(AND(YEAR(ТраНд1+21)=КалендарРік,MONTH(ТраНд1+21)=5),ТраНд1+21,""))</f>
        <v>43604</v>
      </c>
      <c r="J37" s="36"/>
      <c r="K37" s="35"/>
      <c r="L37" s="43">
        <f ca="1">IF(DAY(ЧерНд1)=1,IF(AND(YEAR(ЧерНд1+8)=КалендарРік,MONTH(ЧерНд1+8)=6),ЧерНд1+8,""),IF(AND(YEAR(ЧерНд1+15)=КалендарРік,MONTH(ЧерНд1+15)=6),ЧерНд1+15,""))</f>
        <v>43626</v>
      </c>
      <c r="M37" s="43">
        <f ca="1">IF(DAY(ЧерНд1)=1,IF(AND(YEAR(ЧерНд1+9)=КалендарРік,MONTH(ЧерНд1+9)=6),ЧерНд1+9,""),IF(AND(YEAR(ЧерНд1+16)=КалендарРік,MONTH(ЧерНд1+16)=6),ЧерНд1+16,""))</f>
        <v>43627</v>
      </c>
      <c r="N37" s="43">
        <f ca="1">IF(DAY(ЧерНд1)=1,IF(AND(YEAR(ЧерНд1+10)=КалендарРік,MONTH(ЧерНд1+10)=6),ЧерНд1+10,""),IF(AND(YEAR(ЧерНд1+17)=КалендарРік,MONTH(ЧерНд1+17)=6),ЧерНд1+17,""))</f>
        <v>43628</v>
      </c>
      <c r="O37" s="43">
        <f ca="1">IF(DAY(ЧерНд1)=1,IF(AND(YEAR(ЧерНд1+11)=КалендарРік,MONTH(ЧерНд1+11)=6),ЧерНд1+11,""),IF(AND(YEAR(ЧерНд1+18)=КалендарРік,MONTH(ЧерНд1+18)=6),ЧерНд1+18,""))</f>
        <v>43629</v>
      </c>
      <c r="P37" s="43">
        <f ca="1">IF(DAY(ЧерНд1)=1,IF(AND(YEAR(ЧерНд1+12)=КалендарРік,MONTH(ЧерНд1+12)=6),ЧерНд1+12,""),IF(AND(YEAR(ЧерНд1+19)=КалендарРік,MONTH(ЧерНд1+19)=6),ЧерНд1+19,""))</f>
        <v>43630</v>
      </c>
      <c r="Q37" s="43">
        <f ca="1">IF(DAY(ЧерНд1)=1,IF(AND(YEAR(ЧерНд1+13)=КалендарРік,MONTH(ЧерНд1+13)=6),ЧерНд1+13,""),IF(AND(YEAR(ЧерНд1+20)=КалендарРік,MONTH(ЧерНд1+20)=6),ЧерНд1+20,""))</f>
        <v>43631</v>
      </c>
      <c r="R37" s="43">
        <f ca="1">IF(DAY(ЧерНд1)=1,IF(AND(YEAR(ЧерНд1+14)=КалендарРік,MONTH(ЧерНд1+14)=6),ЧерНд1+14,""),IF(AND(YEAR(ЧерНд1+21)=КалендарРік,MONTH(ЧерНд1+21)=6),ЧерНд1+21,""))</f>
        <v>43632</v>
      </c>
      <c r="S37" s="36"/>
      <c r="T37" s="40"/>
      <c r="U37" s="43">
        <f ca="1">IF(DAY(ЛипНд1)=1,IF(AND(YEAR(ЛипНд1+8)=КалендарРік,MONTH(ЛипНд1+8)=7),ЛипНд1+8,""),IF(AND(YEAR(ЛипНд1+15)=КалендарРік,MONTH(ЛипНд1+15)=7),ЛипНд1+15,""))</f>
        <v>43661</v>
      </c>
      <c r="V37" s="43">
        <f ca="1">IF(DAY(ЛипНд1)=1,IF(AND(YEAR(ЛипНд1+9)=КалендарРік,MONTH(ЛипНд1+9)=7),ЛипНд1+9,""),IF(AND(YEAR(ЛипНд1+16)=КалендарРік,MONTH(ЛипНд1+16)=7),ЛипНд1+16,""))</f>
        <v>43662</v>
      </c>
      <c r="W37" s="43">
        <f ca="1">IF(DAY(ЛипНд1)=1,IF(AND(YEAR(ЛипНд1+10)=КалендарРік,MONTH(ЛипНд1+10)=7),ЛипНд1+10,""),IF(AND(YEAR(ЛипНд1+17)=КалендарРік,MONTH(ЛипНд1+17)=7),ЛипНд1+17,""))</f>
        <v>43663</v>
      </c>
      <c r="X37" s="43">
        <f ca="1">IF(DAY(ЛипНд1)=1,IF(AND(YEAR(ЛипНд1+11)=КалендарРік,MONTH(ЛипНд1+11)=7),ЛипНд1+11,""),IF(AND(YEAR(ЛипНд1+18)=КалендарРік,MONTH(ЛипНд1+18)=7),ЛипНд1+18,""))</f>
        <v>43664</v>
      </c>
      <c r="Y37" s="43">
        <f ca="1">IF(DAY(ЛипНд1)=1,IF(AND(YEAR(ЛипНд1+12)=КалендарРік,MONTH(ЛипНд1+12)=7),ЛипНд1+12,""),IF(AND(YEAR(ЛипНд1+19)=КалендарРік,MONTH(ЛипНд1+19)=7),ЛипНд1+19,""))</f>
        <v>43665</v>
      </c>
      <c r="Z37" s="43">
        <f ca="1">IF(DAY(ЛипНд1)=1,IF(AND(YEAR(ЛипНд1+13)=КалендарРік,MONTH(ЛипНд1+13)=7),ЛипНд1+13,""),IF(AND(YEAR(ЛипНд1+20)=КалендарРік,MONTH(ЛипНд1+20)=7),ЛипНд1+20,""))</f>
        <v>43666</v>
      </c>
      <c r="AA37" s="43">
        <f ca="1">IF(DAY(ЛипНд1)=1,IF(AND(YEAR(ЛипНд1+14)=КалендарРік,MONTH(ЛипНд1+14)=7),ЛипНд1+14,""),IF(AND(YEAR(ЛипНд1+21)=КалендарРік,MONTH(ЛипНд1+21)=7),ЛипНд1+21,""))</f>
        <v>43667</v>
      </c>
      <c r="AB37" s="36"/>
      <c r="AC37" s="39"/>
      <c r="AD37" s="43">
        <f ca="1">IF(DAY(СерНд1)=1,IF(AND(YEAR(СерНд1+8)=КалендарРік,MONTH(СерНд1+8)=8),СерНд1+8,""),IF(AND(YEAR(СерНд1+15)=КалендарРік,MONTH(СерНд1+15)=8),СерНд1+15,""))</f>
        <v>43689</v>
      </c>
      <c r="AE37" s="43">
        <f ca="1">IF(DAY(СерНд1)=1,IF(AND(YEAR(СерНд1+9)=КалендарРік,MONTH(СерНд1+9)=8),СерНд1+9,""),IF(AND(YEAR(СерНд1+16)=КалендарРік,MONTH(СерНд1+16)=8),СерНд1+16,""))</f>
        <v>43690</v>
      </c>
      <c r="AF37" s="43">
        <f ca="1">IF(DAY(СерНд1)=1,IF(AND(YEAR(СерНд1+10)=КалендарРік,MONTH(СерНд1+10)=8),СерНд1+10,""),IF(AND(YEAR(СерНд1+17)=КалендарРік,MONTH(СерНд1+17)=8),СерНд1+17,""))</f>
        <v>43691</v>
      </c>
      <c r="AG37" s="43">
        <f ca="1">IF(DAY(СерНд1)=1,IF(AND(YEAR(СерНд1+11)=КалендарРік,MONTH(СерНд1+11)=8),СерНд1+11,""),IF(AND(YEAR(СерНд1+18)=КалендарРік,MONTH(СерНд1+18)=8),СерНд1+18,""))</f>
        <v>43692</v>
      </c>
      <c r="AH37" s="43">
        <f ca="1">IF(DAY(СерНд1)=1,IF(AND(YEAR(СерНд1+12)=КалендарРік,MONTH(СерНд1+12)=8),СерНд1+12,""),IF(AND(YEAR(СерНд1+19)=КалендарРік,MONTH(СерНд1+19)=8),СерНд1+19,""))</f>
        <v>43693</v>
      </c>
      <c r="AI37" s="43">
        <f ca="1">IF(DAY(СерНд1)=1,IF(AND(YEAR(СерНд1+13)=КалендарРік,MONTH(СерНд1+13)=8),СерНд1+13,""),IF(AND(YEAR(СерНд1+20)=КалендарРік,MONTH(СерНд1+20)=8),СерНд1+20,""))</f>
        <v>43694</v>
      </c>
      <c r="AJ37" s="43">
        <f ca="1">IF(DAY(СерНд1)=1,IF(AND(YEAR(СерНд1+14)=КалендарРік,MONTH(СерНд1+14)=8),СерНд1+14,""),IF(AND(YEAR(СерНд1+21)=КалендарРік,MONTH(СерНд1+21)=8),СерНд1+21,""))</f>
        <v>43695</v>
      </c>
    </row>
    <row r="38" spans="1:36" x14ac:dyDescent="0.2">
      <c r="C38" s="43">
        <f ca="1">IF(DAY(ТраНд1)=1,IF(AND(YEAR(ТраНд1+15)=КалендарРік,MONTH(ТраНд1+15)=5),ТраНд1+15,""),IF(AND(YEAR(ТраНд1+22)=КалендарРік,MONTH(ТраНд1+22)=5),ТраНд1+22,""))</f>
        <v>43605</v>
      </c>
      <c r="D38" s="43">
        <f ca="1">IF(DAY(ТраНд1)=1,IF(AND(YEAR(ТраНд1+16)=КалендарРік,MONTH(ТраНд1+16)=5),ТраНд1+16,""),IF(AND(YEAR(ТраНд1+23)=КалендарРік,MONTH(ТраНд1+23)=5),ТраНд1+23,""))</f>
        <v>43606</v>
      </c>
      <c r="E38" s="43">
        <f ca="1">IF(DAY(ТраНд1)=1,IF(AND(YEAR(ТраНд1+17)=КалендарРік,MONTH(ТраНд1+17)=5),ТраНд1+17,""),IF(AND(YEAR(ТраНд1+24)=КалендарРік,MONTH(ТраНд1+24)=5),ТраНд1+24,""))</f>
        <v>43607</v>
      </c>
      <c r="F38" s="43">
        <f ca="1">IF(DAY(ТраНд1)=1,IF(AND(YEAR(ТраНд1+18)=КалендарРік,MONTH(ТраНд1+18)=5),ТраНд1+18,""),IF(AND(YEAR(ТраНд1+25)=КалендарРік,MONTH(ТраНд1+25)=5),ТраНд1+25,""))</f>
        <v>43608</v>
      </c>
      <c r="G38" s="43">
        <f ca="1">IF(DAY(ТраНд1)=1,IF(AND(YEAR(ТраНд1+19)=КалендарРік,MONTH(ТраНд1+19)=5),ТраНд1+19,""),IF(AND(YEAR(ТраНд1+26)=КалендарРік,MONTH(ТраНд1+26)=5),ТраНд1+26,""))</f>
        <v>43609</v>
      </c>
      <c r="H38" s="43">
        <f ca="1">IF(DAY(ТраНд1)=1,IF(AND(YEAR(ТраНд1+20)=КалендарРік,MONTH(ТраНд1+20)=5),ТраНд1+20,""),IF(AND(YEAR(ТраНд1+27)=КалендарРік,MONTH(ТраНд1+27)=5),ТраНд1+27,""))</f>
        <v>43610</v>
      </c>
      <c r="I38" s="43">
        <f ca="1">IF(DAY(ТраНд1)=1,IF(AND(YEAR(ТраНд1+21)=КалендарРік,MONTH(ТраНд1+21)=5),ТраНд1+21,""),IF(AND(YEAR(ТраНд1+28)=КалендарРік,MONTH(ТраНд1+28)=5),ТраНд1+28,""))</f>
        <v>43611</v>
      </c>
      <c r="J38" s="36"/>
      <c r="K38" s="35"/>
      <c r="L38" s="43">
        <f ca="1">IF(DAY(ЧерНд1)=1,IF(AND(YEAR(ЧерНд1+15)=КалендарРік,MONTH(ЧерНд1+15)=6),ЧерНд1+15,""),IF(AND(YEAR(ЧерНд1+22)=КалендарРік,MONTH(ЧерНд1+22)=6),ЧерНд1+22,""))</f>
        <v>43633</v>
      </c>
      <c r="M38" s="43">
        <f ca="1">IF(DAY(ЧерНд1)=1,IF(AND(YEAR(ЧерНд1+16)=КалендарРік,MONTH(ЧерНд1+16)=6),ЧерНд1+16,""),IF(AND(YEAR(ЧерНд1+23)=КалендарРік,MONTH(ЧерНд1+23)=6),ЧерНд1+23,""))</f>
        <v>43634</v>
      </c>
      <c r="N38" s="43">
        <f ca="1">IF(DAY(ЧерНд1)=1,IF(AND(YEAR(ЧерНд1+17)=КалендарРік,MONTH(ЧерНд1+17)=6),ЧерНд1+17,""),IF(AND(YEAR(ЧерНд1+24)=КалендарРік,MONTH(ЧерНд1+24)=6),ЧерНд1+24,""))</f>
        <v>43635</v>
      </c>
      <c r="O38" s="43">
        <f ca="1">IF(DAY(ЧерНд1)=1,IF(AND(YEAR(ЧерНд1+18)=КалендарРік,MONTH(ЧерНд1+18)=6),ЧерНд1+18,""),IF(AND(YEAR(ЧерНд1+25)=КалендарРік,MONTH(ЧерНд1+25)=6),ЧерНд1+25,""))</f>
        <v>43636</v>
      </c>
      <c r="P38" s="43">
        <f ca="1">IF(DAY(ЧерНд1)=1,IF(AND(YEAR(ЧерНд1+19)=КалендарРік,MONTH(ЧерНд1+19)=6),ЧерНд1+19,""),IF(AND(YEAR(ЧерНд1+26)=КалендарРік,MONTH(ЧерНд1+26)=6),ЧерНд1+26,""))</f>
        <v>43637</v>
      </c>
      <c r="Q38" s="43">
        <f ca="1">IF(DAY(ЧерНд1)=1,IF(AND(YEAR(ЧерНд1+20)=КалендарРік,MONTH(ЧерНд1+20)=6),ЧерНд1+20,""),IF(AND(YEAR(ЧерНд1+27)=КалендарРік,MONTH(ЧерНд1+27)=6),ЧерНд1+27,""))</f>
        <v>43638</v>
      </c>
      <c r="R38" s="43">
        <f ca="1">IF(DAY(ЧерНд1)=1,IF(AND(YEAR(ЧерНд1+21)=КалендарРік,MONTH(ЧерНд1+21)=6),ЧерНд1+21,""),IF(AND(YEAR(ЧерНд1+28)=КалендарРік,MONTH(ЧерНд1+28)=6),ЧерНд1+28,""))</f>
        <v>43639</v>
      </c>
      <c r="S38" s="36"/>
      <c r="T38" s="40"/>
      <c r="U38" s="43">
        <f ca="1">IF(DAY(ЛипНд1)=1,IF(AND(YEAR(ЛипНд1+15)=КалендарРік,MONTH(ЛипНд1+15)=7),ЛипНд1+15,""),IF(AND(YEAR(ЛипНд1+22)=КалендарРік,MONTH(ЛипНд1+22)=7),ЛипНд1+22,""))</f>
        <v>43668</v>
      </c>
      <c r="V38" s="43">
        <f ca="1">IF(DAY(ЛипНд1)=1,IF(AND(YEAR(ЛипНд1+16)=КалендарРік,MONTH(ЛипНд1+16)=7),ЛипНд1+16,""),IF(AND(YEAR(ЛипНд1+23)=КалендарРік,MONTH(ЛипНд1+23)=7),ЛипНд1+23,""))</f>
        <v>43669</v>
      </c>
      <c r="W38" s="43">
        <f ca="1">IF(DAY(ЛипНд1)=1,IF(AND(YEAR(ЛипНд1+17)=КалендарРік,MONTH(ЛипНд1+17)=7),ЛипНд1+17,""),IF(AND(YEAR(ЛипНд1+24)=КалендарРік,MONTH(ЛипНд1+24)=7),ЛипНд1+24,""))</f>
        <v>43670</v>
      </c>
      <c r="X38" s="43">
        <f ca="1">IF(DAY(ЛипНд1)=1,IF(AND(YEAR(ЛипНд1+18)=КалендарРік,MONTH(ЛипНд1+18)=7),ЛипНд1+18,""),IF(AND(YEAR(ЛипНд1+25)=КалендарРік,MONTH(ЛипНд1+25)=7),ЛипНд1+25,""))</f>
        <v>43671</v>
      </c>
      <c r="Y38" s="43">
        <f ca="1">IF(DAY(ЛипНд1)=1,IF(AND(YEAR(ЛипНд1+19)=КалендарРік,MONTH(ЛипНд1+19)=7),ЛипНд1+19,""),IF(AND(YEAR(ЛипНд1+26)=КалендарРік,MONTH(ЛипНд1+26)=7),ЛипНд1+26,""))</f>
        <v>43672</v>
      </c>
      <c r="Z38" s="43">
        <f ca="1">IF(DAY(ЛипНд1)=1,IF(AND(YEAR(ЛипНд1+20)=КалендарРік,MONTH(ЛипНд1+20)=7),ЛипНд1+20,""),IF(AND(YEAR(ЛипНд1+27)=КалендарРік,MONTH(ЛипНд1+27)=7),ЛипНд1+27,""))</f>
        <v>43673</v>
      </c>
      <c r="AA38" s="43">
        <f ca="1">IF(DAY(ЛипНд1)=1,IF(AND(YEAR(ЛипНд1+21)=КалендарРік,MONTH(ЛипНд1+21)=7),ЛипНд1+21,""),IF(AND(YEAR(ЛипНд1+28)=КалендарРік,MONTH(ЛипНд1+28)=7),ЛипНд1+28,""))</f>
        <v>43674</v>
      </c>
      <c r="AB38" s="36"/>
      <c r="AC38" s="39"/>
      <c r="AD38" s="43">
        <f ca="1">IF(DAY(СерНд1)=1,IF(AND(YEAR(СерНд1+15)=КалендарРік,MONTH(СерНд1+15)=8),СерНд1+15,""),IF(AND(YEAR(СерНд1+22)=КалендарРік,MONTH(СерНд1+22)=8),СерНд1+22,""))</f>
        <v>43696</v>
      </c>
      <c r="AE38" s="43">
        <f ca="1">IF(DAY(СерНд1)=1,IF(AND(YEAR(СерНд1+16)=КалендарРік,MONTH(СерНд1+16)=8),СерНд1+16,""),IF(AND(YEAR(СерНд1+23)=КалендарРік,MONTH(СерНд1+23)=8),СерНд1+23,""))</f>
        <v>43697</v>
      </c>
      <c r="AF38" s="43">
        <f ca="1">IF(DAY(СерНд1)=1,IF(AND(YEAR(СерНд1+17)=КалендарРік,MONTH(СерНд1+17)=8),СерНд1+17,""),IF(AND(YEAR(СерНд1+24)=КалендарРік,MONTH(СерНд1+24)=8),СерНд1+24,""))</f>
        <v>43698</v>
      </c>
      <c r="AG38" s="43">
        <f ca="1">IF(DAY(СерНд1)=1,IF(AND(YEAR(СерНд1+18)=КалендарРік,MONTH(СерНд1+18)=8),СерНд1+18,""),IF(AND(YEAR(СерНд1+25)=КалендарРік,MONTH(СерНд1+25)=8),СерНд1+25,""))</f>
        <v>43699</v>
      </c>
      <c r="AH38" s="43">
        <f ca="1">IF(DAY(СерНд1)=1,IF(AND(YEAR(СерНд1+19)=КалендарРік,MONTH(СерНд1+19)=8),СерНд1+19,""),IF(AND(YEAR(СерНд1+26)=КалендарРік,MONTH(СерНд1+26)=8),СерНд1+26,""))</f>
        <v>43700</v>
      </c>
      <c r="AI38" s="43">
        <f ca="1">IF(DAY(СерНд1)=1,IF(AND(YEAR(СерНд1+20)=КалендарРік,MONTH(СерНд1+20)=8),СерНд1+20,""),IF(AND(YEAR(СерНд1+27)=КалендарРік,MONTH(СерНд1+27)=8),СерНд1+27,""))</f>
        <v>43701</v>
      </c>
      <c r="AJ38" s="43">
        <f ca="1">IF(DAY(СерНд1)=1,IF(AND(YEAR(СерНд1+21)=КалендарРік,MONTH(СерНд1+21)=8),СерНд1+21,""),IF(AND(YEAR(СерНд1+28)=КалендарРік,MONTH(СерНд1+28)=8),СерНд1+28,""))</f>
        <v>43702</v>
      </c>
    </row>
    <row r="39" spans="1:36" x14ac:dyDescent="0.2">
      <c r="C39" s="43">
        <f ca="1">IF(DAY(ТраНд1)=1,IF(AND(YEAR(ТраНд1+22)=КалендарРік,MONTH(ТраНд1+22)=5),ТраНд1+22,""),IF(AND(YEAR(ТраНд1+29)=КалендарРік,MONTH(ТраНд1+29)=5),ТраНд1+29,""))</f>
        <v>43612</v>
      </c>
      <c r="D39" s="43">
        <f ca="1">IF(DAY(ТраНд1)=1,IF(AND(YEAR(ТраНд1+23)=КалендарРік,MONTH(ТраНд1+23)=5),ТраНд1+23,""),IF(AND(YEAR(ТраНд1+30)=КалендарРік,MONTH(ТраНд1+30)=5),ТраНд1+30,""))</f>
        <v>43613</v>
      </c>
      <c r="E39" s="43">
        <f ca="1">IF(DAY(ТраНд1)=1,IF(AND(YEAR(ТраНд1+24)=КалендарРік,MONTH(ТраНд1+24)=5),ТраНд1+24,""),IF(AND(YEAR(ТраНд1+31)=КалендарРік,MONTH(ТраНд1+31)=5),ТраНд1+31,""))</f>
        <v>43614</v>
      </c>
      <c r="F39" s="43">
        <f ca="1">IF(DAY(ТраНд1)=1,IF(AND(YEAR(ТраНд1+25)=КалендарРік,MONTH(ТраНд1+25)=5),ТраНд1+25,""),IF(AND(YEAR(ТраНд1+32)=КалендарРік,MONTH(ТраНд1+32)=5),ТраНд1+32,""))</f>
        <v>43615</v>
      </c>
      <c r="G39" s="43">
        <f ca="1">IF(DAY(ТраНд1)=1,IF(AND(YEAR(ТраНд1+26)=КалендарРік,MONTH(ТраНд1+26)=5),ТраНд1+26,""),IF(AND(YEAR(ТраНд1+33)=КалендарРік,MONTH(ТраНд1+33)=5),ТраНд1+33,""))</f>
        <v>43616</v>
      </c>
      <c r="H39" s="43" t="str">
        <f ca="1">IF(DAY(ТраНд1)=1,IF(AND(YEAR(ТраНд1+27)=КалендарРік,MONTH(ТраНд1+27)=5),ТраНд1+27,""),IF(AND(YEAR(ТраНд1+34)=КалендарРік,MONTH(ТраНд1+34)=5),ТраНд1+34,""))</f>
        <v/>
      </c>
      <c r="I39" s="43" t="str">
        <f ca="1">IF(DAY(ТраНд1)=1,IF(AND(YEAR(ТраНд1+28)=КалендарРік,MONTH(ТраНд1+28)=5),ТраНд1+28,""),IF(AND(YEAR(ТраНд1+35)=КалендарРік,MONTH(ТраНд1+35)=5),ТраНд1+35,""))</f>
        <v/>
      </c>
      <c r="J39" s="36"/>
      <c r="K39" s="35"/>
      <c r="L39" s="43">
        <f ca="1">IF(DAY(ЧерНд1)=1,IF(AND(YEAR(ЧерНд1+22)=КалендарРік,MONTH(ЧерНд1+22)=6),ЧерНд1+22,""),IF(AND(YEAR(ЧерНд1+29)=КалендарРік,MONTH(ЧерНд1+29)=6),ЧерНд1+29,""))</f>
        <v>43640</v>
      </c>
      <c r="M39" s="43">
        <f ca="1">IF(DAY(ЧерНд1)=1,IF(AND(YEAR(ЧерНд1+23)=КалендарРік,MONTH(ЧерНд1+23)=6),ЧерНд1+23,""),IF(AND(YEAR(ЧерНд1+30)=КалендарРік,MONTH(ЧерНд1+30)=6),ЧерНд1+30,""))</f>
        <v>43641</v>
      </c>
      <c r="N39" s="43">
        <f ca="1">IF(DAY(ЧерНд1)=1,IF(AND(YEAR(ЧерНд1+24)=КалендарРік,MONTH(ЧерНд1+24)=6),ЧерНд1+24,""),IF(AND(YEAR(ЧерНд1+31)=КалендарРік,MONTH(ЧерНд1+31)=6),ЧерНд1+31,""))</f>
        <v>43642</v>
      </c>
      <c r="O39" s="43">
        <f ca="1">IF(DAY(ЧерНд1)=1,IF(AND(YEAR(ЧерНд1+25)=КалендарРік,MONTH(ЧерНд1+25)=6),ЧерНд1+25,""),IF(AND(YEAR(ЧерНд1+32)=КалендарРік,MONTH(ЧерНд1+32)=6),ЧерНд1+32,""))</f>
        <v>43643</v>
      </c>
      <c r="P39" s="43">
        <f ca="1">IF(DAY(ЧерНд1)=1,IF(AND(YEAR(ЧерНд1+26)=КалендарРік,MONTH(ЧерНд1+26)=6),ЧерНд1+26,""),IF(AND(YEAR(ЧерНд1+33)=КалендарРік,MONTH(ЧерНд1+33)=6),ЧерНд1+33,""))</f>
        <v>43644</v>
      </c>
      <c r="Q39" s="43">
        <f ca="1">IF(DAY(ЧерНд1)=1,IF(AND(YEAR(ЧерНд1+27)=КалендарРік,MONTH(ЧерНд1+27)=6),ЧерНд1+27,""),IF(AND(YEAR(ЧерНд1+34)=КалендарРік,MONTH(ЧерНд1+34)=6),ЧерНд1+34,""))</f>
        <v>43645</v>
      </c>
      <c r="R39" s="43">
        <f ca="1">IF(DAY(ЧерНд1)=1,IF(AND(YEAR(ЧерНд1+28)=КалендарРік,MONTH(ЧерНд1+28)=6),ЧерНд1+28,""),IF(AND(YEAR(ЧерНд1+35)=КалендарРік,MONTH(ЧерНд1+35)=6),ЧерНд1+35,""))</f>
        <v>43646</v>
      </c>
      <c r="S39" s="36"/>
      <c r="T39" s="40"/>
      <c r="U39" s="43">
        <f ca="1">IF(DAY(ЛипНд1)=1,IF(AND(YEAR(ЛипНд1+22)=КалендарРік,MONTH(ЛипНд1+22)=7),ЛипНд1+22,""),IF(AND(YEAR(ЛипНд1+29)=КалендарРік,MONTH(ЛипНд1+29)=7),ЛипНд1+29,""))</f>
        <v>43675</v>
      </c>
      <c r="V39" s="43">
        <f ca="1">IF(DAY(ЛипНд1)=1,IF(AND(YEAR(ЛипНд1+23)=КалендарРік,MONTH(ЛипНд1+23)=7),ЛипНд1+23,""),IF(AND(YEAR(ЛипНд1+30)=КалендарРік,MONTH(ЛипНд1+30)=7),ЛипНд1+30,""))</f>
        <v>43676</v>
      </c>
      <c r="W39" s="43">
        <f ca="1">IF(DAY(ЛипНд1)=1,IF(AND(YEAR(ЛипНд1+24)=КалендарРік,MONTH(ЛипНд1+24)=7),ЛипНд1+24,""),IF(AND(YEAR(ЛипНд1+31)=КалендарРік,MONTH(ЛипНд1+31)=7),ЛипНд1+31,""))</f>
        <v>43677</v>
      </c>
      <c r="X39" s="43" t="str">
        <f ca="1">IF(DAY(ЛипНд1)=1,IF(AND(YEAR(ЛипНд1+25)=КалендарРік,MONTH(ЛипНд1+25)=7),ЛипНд1+25,""),IF(AND(YEAR(ЛипНд1+32)=КалендарРік,MONTH(ЛипНд1+32)=7),ЛипНд1+32,""))</f>
        <v/>
      </c>
      <c r="Y39" s="43" t="str">
        <f ca="1">IF(DAY(ЛипНд1)=1,IF(AND(YEAR(ЛипНд1+26)=КалендарРік,MONTH(ЛипНд1+26)=7),ЛипНд1+26,""),IF(AND(YEAR(ЛипНд1+33)=КалендарРік,MONTH(ЛипНд1+33)=7),ЛипНд1+33,""))</f>
        <v/>
      </c>
      <c r="Z39" s="43" t="str">
        <f ca="1">IF(DAY(ЛипНд1)=1,IF(AND(YEAR(ЛипНд1+27)=КалендарРік,MONTH(ЛипНд1+27)=7),ЛипНд1+27,""),IF(AND(YEAR(ЛипНд1+34)=КалендарРік,MONTH(ЛипНд1+34)=7),ЛипНд1+34,""))</f>
        <v/>
      </c>
      <c r="AA39" s="43" t="str">
        <f ca="1">IF(DAY(ЛипНд1)=1,IF(AND(YEAR(ЛипНд1+28)=КалендарРік,MONTH(ЛипНд1+28)=7),ЛипНд1+28,""),IF(AND(YEAR(ЛипНд1+35)=КалендарРік,MONTH(ЛипНд1+35)=7),ЛипНд1+35,""))</f>
        <v/>
      </c>
      <c r="AB39" s="36"/>
      <c r="AC39" s="39"/>
      <c r="AD39" s="43">
        <f ca="1">IF(DAY(СерНд1)=1,IF(AND(YEAR(СерНд1+22)=КалендарРік,MONTH(СерНд1+22)=8),СерНд1+22,""),IF(AND(YEAR(СерНд1+29)=КалендарРік,MONTH(СерНд1+29)=8),СерНд1+29,""))</f>
        <v>43703</v>
      </c>
      <c r="AE39" s="43">
        <f ca="1">IF(DAY(СерНд1)=1,IF(AND(YEAR(СерНд1+23)=КалендарРік,MONTH(СерНд1+23)=8),СерНд1+23,""),IF(AND(YEAR(СерНд1+30)=КалендарРік,MONTH(СерНд1+30)=8),СерНд1+30,""))</f>
        <v>43704</v>
      </c>
      <c r="AF39" s="43">
        <f ca="1">IF(DAY(СерНд1)=1,IF(AND(YEAR(СерНд1+24)=КалендарРік,MONTH(СерНд1+24)=8),СерНд1+24,""),IF(AND(YEAR(СерНд1+31)=КалендарРік,MONTH(СерНд1+31)=8),СерНд1+31,""))</f>
        <v>43705</v>
      </c>
      <c r="AG39" s="43">
        <f ca="1">IF(DAY(СерНд1)=1,IF(AND(YEAR(СерНд1+25)=КалендарРік,MONTH(СерНд1+25)=8),СерНд1+25,""),IF(AND(YEAR(СерНд1+32)=КалендарРік,MONTH(СерНд1+32)=8),СерНд1+32,""))</f>
        <v>43706</v>
      </c>
      <c r="AH39" s="43">
        <f ca="1">IF(DAY(СерНд1)=1,IF(AND(YEAR(СерНд1+26)=КалендарРік,MONTH(СерНд1+26)=8),СерНд1+26,""),IF(AND(YEAR(СерНд1+33)=КалендарРік,MONTH(СерНд1+33)=8),СерНд1+33,""))</f>
        <v>43707</v>
      </c>
      <c r="AI39" s="43">
        <f ca="1">IF(DAY(СерНд1)=1,IF(AND(YEAR(СерНд1+27)=КалендарРік,MONTH(СерНд1+27)=8),СерНд1+27,""),IF(AND(YEAR(СерНд1+34)=КалендарРік,MONTH(СерНд1+34)=8),СерНд1+34,""))</f>
        <v>43708</v>
      </c>
      <c r="AJ39" s="43" t="str">
        <f ca="1">IF(DAY(СерНд1)=1,IF(AND(YEAR(СерНд1+28)=КалендарРік,MONTH(СерНд1+28)=8),СерНд1+28,""),IF(AND(YEAR(СерНд1+35)=КалендарРік,MONTH(СерНд1+35)=8),СерНд1+35,""))</f>
        <v/>
      </c>
    </row>
    <row r="40" spans="1:36" x14ac:dyDescent="0.2">
      <c r="C40" s="43" t="str">
        <f ca="1">IF(DAY(ТраНд1)=1,IF(AND(YEAR(ТраНд1+29)=КалендарРік,MONTH(ТраНд1+29)=5),ТраНд1+29,""),IF(AND(YEAR(ТраНд1+36)=КалендарРік,MONTH(ТраНд1+36)=5),ТраНд1+36,""))</f>
        <v/>
      </c>
      <c r="D40" s="43" t="str">
        <f ca="1">IF(DAY(ТраНд1)=1,IF(AND(YEAR(ТраНд1+30)=КалендарРік,MONTH(ТраНд1+30)=5),ТраНд1+30,""),IF(AND(YEAR(ТраНд1+37)=КалендарРік,MONTH(ТраНд1+37)=5),ТраНд1+37,""))</f>
        <v/>
      </c>
      <c r="E40" s="43" t="str">
        <f ca="1">IF(DAY(ТраНд1)=1,IF(AND(YEAR(ТраНд1+31)=КалендарРік,MONTH(ТраНд1+31)=5),ТраНд1+31,""),IF(AND(YEAR(ТраНд1+38)=КалендарРік,MONTH(ТраНд1+38)=5),ТраНд1+38,""))</f>
        <v/>
      </c>
      <c r="F40" s="43" t="str">
        <f ca="1">IF(DAY(ТраНд1)=1,IF(AND(YEAR(ТраНд1+32)=КалендарРік,MONTH(ТраНд1+32)=5),ТраНд1+32,""),IF(AND(YEAR(ТраНд1+39)=КалендарРік,MONTH(ТраНд1+39)=5),ТраНд1+39,""))</f>
        <v/>
      </c>
      <c r="G40" s="43" t="str">
        <f ca="1">IF(DAY(ТраНд1)=1,IF(AND(YEAR(ТраНд1+33)=КалендарРік,MONTH(ТраНд1+33)=5),ТраНд1+33,""),IF(AND(YEAR(ТраНд1+40)=КалендарРік,MONTH(ТраНд1+40)=5),ТраНд1+40,""))</f>
        <v/>
      </c>
      <c r="H40" s="43" t="str">
        <f ca="1">IF(DAY(ТраНд1)=1,IF(AND(YEAR(ТраНд1+34)=КалендарРік,MONTH(ТраНд1+34)=5),ТраНд1+34,""),IF(AND(YEAR(ТраНд1+41)=КалендарРік,MONTH(ТраНд1+41)=5),ТраНд1+41,""))</f>
        <v/>
      </c>
      <c r="I40" s="43" t="str">
        <f ca="1">IF(DAY(ТраНд1)=1,IF(AND(YEAR(ТраНд1+35)=КалендарРік,MONTH(ТраНд1+35)=5),ТраНд1+35,""),IF(AND(YEAR(ТраНд1+42)=КалендарРік,MONTH(ТраНд1+42)=5),ТраНд1+42,""))</f>
        <v/>
      </c>
      <c r="J40" s="36"/>
      <c r="K40" s="35"/>
      <c r="L40" s="43" t="str">
        <f ca="1">IF(DAY(ЧерНд1)=1,IF(AND(YEAR(ЧерНд1+29)=КалендарРік,MONTH(ЧерНд1+29)=6),ЧерНд1+29,""),IF(AND(YEAR(ЧерНд1+36)=КалендарРік,MONTH(ЧерНд1+36)=6),ЧерНд1+36,""))</f>
        <v/>
      </c>
      <c r="M40" s="43" t="str">
        <f ca="1">IF(DAY(ЧерНд1)=1,IF(AND(YEAR(ЧерНд1+30)=КалендарРік,MONTH(ЧерНд1+30)=6),ЧерНд1+30,""),IF(AND(YEAR(ЧерНд1+37)=КалендарРік,MONTH(ЧерНд1+37)=6),ЧерНд1+37,""))</f>
        <v/>
      </c>
      <c r="N40" s="43" t="str">
        <f ca="1">IF(DAY(ЧерНд1)=1,IF(AND(YEAR(ЧерНд1+31)=КалендарРік,MONTH(ЧерНд1+31)=6),ЧерНд1+31,""),IF(AND(YEAR(ЧерНд1+38)=КалендарРік,MONTH(ЧерНд1+38)=6),ЧерНд1+38,""))</f>
        <v/>
      </c>
      <c r="O40" s="43" t="str">
        <f ca="1">IF(DAY(ЧерНд1)=1,IF(AND(YEAR(ЧерНд1+32)=КалендарРік,MONTH(ЧерНд1+32)=6),ЧерНд1+32,""),IF(AND(YEAR(ЧерНд1+39)=КалендарРік,MONTH(ЧерНд1+39)=6),ЧерНд1+39,""))</f>
        <v/>
      </c>
      <c r="P40" s="43" t="str">
        <f ca="1">IF(DAY(ЧерНд1)=1,IF(AND(YEAR(ЧерНд1+33)=КалендарРік,MONTH(ЧерНд1+33)=6),ЧерНд1+33,""),IF(AND(YEAR(ЧерНд1+40)=КалендарРік,MONTH(ЧерНд1+40)=6),ЧерНд1+40,""))</f>
        <v/>
      </c>
      <c r="Q40" s="43" t="str">
        <f ca="1">IF(DAY(ЧерНд1)=1,IF(AND(YEAR(ЧерНд1+34)=КалендарРік,MONTH(ЧерНд1+34)=6),ЧерНд1+34,""),IF(AND(YEAR(ЧерНд1+41)=КалендарРік,MONTH(ЧерНд1+41)=6),ЧерНд1+41,""))</f>
        <v/>
      </c>
      <c r="R40" s="43" t="str">
        <f ca="1">IF(DAY(ЧерНд1)=1,IF(AND(YEAR(ЧерНд1+35)=КалендарРік,MONTH(ЧерНд1+35)=6),ЧерНд1+35,""),IF(AND(YEAR(ЧерНд1+42)=КалендарРік,MONTH(ЧерНд1+42)=6),ЧерНд1+42,""))</f>
        <v/>
      </c>
      <c r="S40" s="36"/>
      <c r="T40" s="40"/>
      <c r="U40" s="43" t="str">
        <f ca="1">IF(DAY(ЛипНд1)=1,IF(AND(YEAR(ЛипНд1+29)=КалендарРік,MONTH(ЛипНд1+29)=7),ЛипНд1+29,""),IF(AND(YEAR(ЛипНд1+36)=КалендарРік,MONTH(ЛипНд1+36)=7),ЛипНд1+36,""))</f>
        <v/>
      </c>
      <c r="V40" s="43" t="str">
        <f ca="1">IF(DAY(ЛипНд1)=1,IF(AND(YEAR(ЛипНд1+30)=КалендарРік,MONTH(ЛипНд1+30)=7),ЛипНд1+30,""),IF(AND(YEAR(ЛипНд1+37)=КалендарРік,MONTH(ЛипНд1+37)=7),ЛипНд1+37,""))</f>
        <v/>
      </c>
      <c r="W40" s="43" t="str">
        <f ca="1">IF(DAY(ЛипНд1)=1,IF(AND(YEAR(ЛипНд1+31)=КалендарРік,MONTH(ЛипНд1+31)=7),ЛипНд1+31,""),IF(AND(YEAR(ЛипНд1+38)=КалендарРік,MONTH(ЛипНд1+38)=7),ЛипНд1+38,""))</f>
        <v/>
      </c>
      <c r="X40" s="43" t="str">
        <f ca="1">IF(DAY(ЛипНд1)=1,IF(AND(YEAR(ЛипНд1+32)=КалендарРік,MONTH(ЛипНд1+32)=7),ЛипНд1+32,""),IF(AND(YEAR(ЛипНд1+39)=КалендарРік,MONTH(ЛипНд1+39)=7),ЛипНд1+39,""))</f>
        <v/>
      </c>
      <c r="Y40" s="43" t="str">
        <f ca="1">IF(DAY(ЛипНд1)=1,IF(AND(YEAR(ЛипНд1+33)=КалендарРік,MONTH(ЛипНд1+33)=7),ЛипНд1+33,""),IF(AND(YEAR(ЛипНд1+40)=КалендарРік,MONTH(ЛипНд1+40)=7),ЛипНд1+40,""))</f>
        <v/>
      </c>
      <c r="Z40" s="43" t="str">
        <f ca="1">IF(DAY(ЛипНд1)=1,IF(AND(YEAR(ЛипНд1+34)=КалендарРік,MONTH(ЛипНд1+34)=7),ЛипНд1+34,""),IF(AND(YEAR(ЛипНд1+41)=КалендарРік,MONTH(ЛипНд1+41)=7),ЛипНд1+41,""))</f>
        <v/>
      </c>
      <c r="AA40" s="43" t="str">
        <f ca="1">IF(DAY(ЛипНд1)=1,IF(AND(YEAR(ЛипНд1+35)=КалендарРік,MONTH(ЛипНд1+35)=7),ЛипНд1+35,""),IF(AND(YEAR(ЛипНд1+42)=КалендарРік,MONTH(ЛипНд1+42)=7),ЛипНд1+42,""))</f>
        <v/>
      </c>
      <c r="AB40" s="36"/>
      <c r="AC40" s="39"/>
      <c r="AD40" s="43" t="str">
        <f ca="1">IF(DAY(СерНд1)=1,IF(AND(YEAR(СерНд1+29)=КалендарРік,MONTH(СерНд1+29)=8),СерНд1+29,""),IF(AND(YEAR(СерНд1+36)=КалендарРік,MONTH(СерНд1+36)=8),СерНд1+36,""))</f>
        <v/>
      </c>
      <c r="AE40" s="43" t="str">
        <f ca="1">IF(DAY(СерНд1)=1,IF(AND(YEAR(СерНд1+30)=КалендарРік,MONTH(СерНд1+30)=8),СерНд1+30,""),IF(AND(YEAR(СерНд1+37)=КалендарРік,MONTH(СерНд1+37)=8),СерНд1+37,""))</f>
        <v/>
      </c>
      <c r="AF40" s="43" t="str">
        <f ca="1">IF(DAY(СерНд1)=1,IF(AND(YEAR(СерНд1+31)=КалендарРік,MONTH(СерНд1+31)=8),СерНд1+31,""),IF(AND(YEAR(СерНд1+38)=КалендарРік,MONTH(СерНд1+38)=8),СерНд1+38,""))</f>
        <v/>
      </c>
      <c r="AG40" s="43" t="str">
        <f ca="1">IF(DAY(СерНд1)=1,IF(AND(YEAR(СерНд1+32)=КалендарРік,MONTH(СерНд1+32)=8),СерНд1+32,""),IF(AND(YEAR(СерНд1+39)=КалендарРік,MONTH(СерНд1+39)=8),СерНд1+39,""))</f>
        <v/>
      </c>
      <c r="AH40" s="43" t="str">
        <f ca="1">IF(DAY(СерНд1)=1,IF(AND(YEAR(СерНд1+33)=КалендарРік,MONTH(СерНд1+33)=8),СерНд1+33,""),IF(AND(YEAR(СерНд1+40)=КалендарРік,MONTH(СерНд1+40)=8),СерНд1+40,""))</f>
        <v/>
      </c>
      <c r="AI40" s="43" t="str">
        <f ca="1">IF(DAY(СерНд1)=1,IF(AND(YEAR(СерНд1+34)=КалендарРік,MONTH(СерНд1+34)=8),СерНд1+34,""),IF(AND(YEAR(СерНд1+41)=КалендарРік,MONTH(СерНд1+41)=8),СерНд1+41,""))</f>
        <v/>
      </c>
      <c r="AJ40" s="43" t="str">
        <f ca="1">IF(DAY(СерНд1)=1,IF(AND(YEAR(СерНд1+35)=КалендарРік,MONTH(СерНд1+35)=8),СерНд1+35,""),IF(AND(YEAR(СерНд1+42)=КалендарРік,MONTH(СерНд1+42)=8),СерНд1+42,""))</f>
        <v/>
      </c>
    </row>
    <row r="41" spans="1:36" ht="15" x14ac:dyDescent="0.2">
      <c r="A41" s="26" t="s">
        <v>17</v>
      </c>
      <c r="C41" s="39"/>
      <c r="D41" s="39"/>
      <c r="E41" s="39"/>
      <c r="F41" s="39"/>
      <c r="G41" s="39"/>
      <c r="H41" s="39"/>
      <c r="I41" s="39"/>
      <c r="J41" s="38"/>
      <c r="K41" s="35"/>
      <c r="L41" s="39"/>
      <c r="M41" s="39"/>
      <c r="N41" s="39"/>
      <c r="O41" s="39"/>
      <c r="P41" s="39"/>
      <c r="Q41" s="39"/>
      <c r="R41" s="39"/>
      <c r="S41" s="38"/>
      <c r="T41" s="40"/>
      <c r="U41" s="35"/>
      <c r="V41" s="35"/>
      <c r="W41" s="35"/>
      <c r="X41" s="35"/>
      <c r="Y41" s="35"/>
      <c r="Z41" s="35"/>
      <c r="AA41" s="35"/>
      <c r="AB41" s="36"/>
      <c r="AC41" s="39"/>
      <c r="AD41" s="35"/>
      <c r="AE41" s="35"/>
      <c r="AF41" s="35"/>
      <c r="AG41" s="35"/>
      <c r="AH41" s="35"/>
      <c r="AI41" s="35"/>
      <c r="AJ41" s="35"/>
    </row>
    <row r="42" spans="1:36" ht="15.75" x14ac:dyDescent="0.25">
      <c r="A42" s="26" t="s">
        <v>18</v>
      </c>
      <c r="C42" s="44">
        <f ca="1">DATE(КалендарРік,9,1)</f>
        <v>43709</v>
      </c>
      <c r="D42" s="44"/>
      <c r="E42" s="44"/>
      <c r="F42" s="44"/>
      <c r="G42" s="44"/>
      <c r="H42" s="44"/>
      <c r="I42" s="44"/>
      <c r="J42" s="32"/>
      <c r="K42" s="39"/>
      <c r="L42" s="44">
        <f ca="1">DATE(КалендарРік,10,1)</f>
        <v>43739</v>
      </c>
      <c r="M42" s="44"/>
      <c r="N42" s="44"/>
      <c r="O42" s="44"/>
      <c r="P42" s="44"/>
      <c r="Q42" s="44"/>
      <c r="R42" s="44"/>
      <c r="S42" s="32"/>
      <c r="T42" s="40"/>
      <c r="U42" s="44">
        <f ca="1">DATE(КалендарРік,11,1)</f>
        <v>43770</v>
      </c>
      <c r="V42" s="44"/>
      <c r="W42" s="44"/>
      <c r="X42" s="44"/>
      <c r="Y42" s="44"/>
      <c r="Z42" s="44"/>
      <c r="AA42" s="44"/>
      <c r="AB42" s="32"/>
      <c r="AC42" s="39"/>
      <c r="AD42" s="44">
        <f ca="1">DATE(КалендарРік,12,1)</f>
        <v>43800</v>
      </c>
      <c r="AE42" s="44"/>
      <c r="AF42" s="44"/>
      <c r="AG42" s="44"/>
      <c r="AH42" s="44"/>
      <c r="AI42" s="44"/>
      <c r="AJ42" s="44"/>
    </row>
    <row r="43" spans="1:36" ht="15" x14ac:dyDescent="0.25">
      <c r="A43" s="26" t="s">
        <v>19</v>
      </c>
      <c r="C43" s="21" t="s">
        <v>21</v>
      </c>
      <c r="D43" s="21" t="s">
        <v>24</v>
      </c>
      <c r="E43" s="21" t="s">
        <v>25</v>
      </c>
      <c r="F43" s="21" t="s">
        <v>26</v>
      </c>
      <c r="G43" s="21" t="s">
        <v>27</v>
      </c>
      <c r="H43" s="21" t="s">
        <v>30</v>
      </c>
      <c r="I43" s="21" t="s">
        <v>31</v>
      </c>
      <c r="J43" s="34"/>
      <c r="K43" s="39"/>
      <c r="L43" s="21" t="s">
        <v>21</v>
      </c>
      <c r="M43" s="21" t="s">
        <v>24</v>
      </c>
      <c r="N43" s="21" t="s">
        <v>25</v>
      </c>
      <c r="O43" s="21" t="s">
        <v>26</v>
      </c>
      <c r="P43" s="21" t="s">
        <v>27</v>
      </c>
      <c r="Q43" s="21" t="s">
        <v>30</v>
      </c>
      <c r="R43" s="21" t="s">
        <v>31</v>
      </c>
      <c r="S43" s="34"/>
      <c r="T43" s="40"/>
      <c r="U43" s="21" t="s">
        <v>21</v>
      </c>
      <c r="V43" s="21" t="s">
        <v>24</v>
      </c>
      <c r="W43" s="21" t="s">
        <v>25</v>
      </c>
      <c r="X43" s="21" t="s">
        <v>26</v>
      </c>
      <c r="Y43" s="21" t="s">
        <v>27</v>
      </c>
      <c r="Z43" s="21" t="s">
        <v>30</v>
      </c>
      <c r="AA43" s="21" t="s">
        <v>31</v>
      </c>
      <c r="AB43" s="34"/>
      <c r="AC43" s="42"/>
      <c r="AD43" s="21" t="s">
        <v>21</v>
      </c>
      <c r="AE43" s="21" t="s">
        <v>24</v>
      </c>
      <c r="AF43" s="21" t="s">
        <v>25</v>
      </c>
      <c r="AG43" s="21" t="s">
        <v>26</v>
      </c>
      <c r="AH43" s="21" t="s">
        <v>27</v>
      </c>
      <c r="AI43" s="21" t="s">
        <v>30</v>
      </c>
      <c r="AJ43" s="21" t="s">
        <v>31</v>
      </c>
    </row>
    <row r="44" spans="1:36" ht="15" x14ac:dyDescent="0.2">
      <c r="A44" s="26" t="s">
        <v>20</v>
      </c>
      <c r="C44" s="43" t="str">
        <f ca="1">IF(DAY(ВерНд1)=1,"",IF(AND(YEAR(ВерНд1+1)=КалендарРік,MONTH(ВерНд1+1)=9),ВерНд1+1,""))</f>
        <v/>
      </c>
      <c r="D44" s="43" t="str">
        <f ca="1">IF(DAY(ВерНд1)=1,"",IF(AND(YEAR(ВерНд1+2)=КалендарРік,MONTH(ВерНд1+2)=9),ВерНд1+2,""))</f>
        <v/>
      </c>
      <c r="E44" s="43" t="str">
        <f ca="1">IF(DAY(ВерНд1)=1,"",IF(AND(YEAR(ВерНд1+3)=КалендарРік,MONTH(ВерНд1+3)=9),ВерНд1+3,""))</f>
        <v/>
      </c>
      <c r="F44" s="43" t="str">
        <f ca="1">IF(DAY(ВерНд1)=1,"",IF(AND(YEAR(ВерНд1+4)=КалендарРік,MONTH(ВерНд1+4)=9),ВерНд1+4,""))</f>
        <v/>
      </c>
      <c r="G44" s="43" t="str">
        <f ca="1">IF(DAY(ВерНд1)=1,"",IF(AND(YEAR(ВерНд1+5)=КалендарРік,MONTH(ВерНд1+5)=9),ВерНд1+5,""))</f>
        <v/>
      </c>
      <c r="H44" s="43" t="str">
        <f ca="1">IF(DAY(ВерНд1)=1,"",IF(AND(YEAR(ВерНд1+6)=КалендарРік,MONTH(ВерНд1+6)=9),ВерНд1+6,""))</f>
        <v/>
      </c>
      <c r="I44" s="43">
        <f ca="1">IF(DAY(ВерНд1)=1,IF(AND(YEAR(ВерНд1)=КалендарРік,MONTH(ВерНд1)=9),ВерНд1,""),IF(AND(YEAR(ВерНд1+7)=КалендарРік,MONTH(ВерНд1+7)=9),ВерНд1+7,""))</f>
        <v>43709</v>
      </c>
      <c r="J44" s="36"/>
      <c r="K44" s="39"/>
      <c r="L44" s="43" t="str">
        <f ca="1">IF(DAY(ЖовНд1)=1,"",IF(AND(YEAR(ЖовНд1+1)=КалендарРік,MONTH(ЖовНд1+1)=10),ЖовНд1+1,""))</f>
        <v/>
      </c>
      <c r="M44" s="43">
        <f ca="1">IF(DAY(ЖовНд1)=1,"",IF(AND(YEAR(ЖовНд1+2)=КалендарРік,MONTH(ЖовНд1+2)=10),ЖовНд1+2,""))</f>
        <v>43739</v>
      </c>
      <c r="N44" s="43">
        <f ca="1">IF(DAY(ЖовНд1)=1,"",IF(AND(YEAR(ЖовНд1+3)=КалендарРік,MONTH(ЖовНд1+3)=10),ЖовНд1+3,""))</f>
        <v>43740</v>
      </c>
      <c r="O44" s="43">
        <f ca="1">IF(DAY(ЖовНд1)=1,"",IF(AND(YEAR(ЖовНд1+4)=КалендарРік,MONTH(ЖовНд1+4)=10),ЖовНд1+4,""))</f>
        <v>43741</v>
      </c>
      <c r="P44" s="43">
        <f ca="1">IF(DAY(ЖовНд1)=1,"",IF(AND(YEAR(ЖовНд1+5)=КалендарРік,MONTH(ЖовНд1+5)=10),ЖовНд1+5,""))</f>
        <v>43742</v>
      </c>
      <c r="Q44" s="43">
        <f ca="1">IF(DAY(ЖовНд1)=1,"",IF(AND(YEAR(ЖовНд1+6)=КалендарРік,MONTH(ЖовНд1+6)=10),ЖовНд1+6,""))</f>
        <v>43743</v>
      </c>
      <c r="R44" s="43">
        <f ca="1">IF(DAY(ЖовНд1)=1,IF(AND(YEAR(ЖовНд1)=КалендарРік,MONTH(ЖовНд1)=10),ЖовНд1,""),IF(AND(YEAR(ЖовНд1+7)=КалендарРік,MONTH(ЖовНд1+7)=10),ЖовНд1+7,""))</f>
        <v>43744</v>
      </c>
      <c r="S44" s="36"/>
      <c r="T44" s="40"/>
      <c r="U44" s="43" t="str">
        <f ca="1">IF(DAY(ЛисНд1)=1,"",IF(AND(YEAR(ЛисНд1+1)=КалендарРік,MONTH(ЛисНд1+1)=11),ЛисНд1+1,""))</f>
        <v/>
      </c>
      <c r="V44" s="43" t="str">
        <f ca="1">IF(DAY(ЛисНд1)=1,"",IF(AND(YEAR(ЛисНд1+2)=КалендарРік,MONTH(ЛисНд1+2)=11),ЛисНд1+2,""))</f>
        <v/>
      </c>
      <c r="W44" s="43" t="str">
        <f ca="1">IF(DAY(ЛисНд1)=1,"",IF(AND(YEAR(ЛисНд1+3)=КалендарРік,MONTH(ЛисНд1+3)=11),ЛисНд1+3,""))</f>
        <v/>
      </c>
      <c r="X44" s="43" t="str">
        <f ca="1">IF(DAY(ЛисНд1)=1,"",IF(AND(YEAR(ЛисНд1+4)=КалендарРік,MONTH(ЛисНд1+4)=11),ЛисНд1+4,""))</f>
        <v/>
      </c>
      <c r="Y44" s="43">
        <f ca="1">IF(DAY(ЛисНд1)=1,"",IF(AND(YEAR(ЛисНд1+5)=КалендарРік,MONTH(ЛисНд1+5)=11),ЛисНд1+5,""))</f>
        <v>43770</v>
      </c>
      <c r="Z44" s="43">
        <f ca="1">IF(DAY(ЛисНд1)=1,"",IF(AND(YEAR(ЛисНд1+6)=КалендарРік,MONTH(ЛисНд1+6)=11),ЛисНд1+6,""))</f>
        <v>43771</v>
      </c>
      <c r="AA44" s="43">
        <f ca="1">IF(DAY(ЛисНд1)=1,IF(AND(YEAR(ЛисНд1)=КалендарРік,MONTH(ЛисНд1)=11),ЛисНд1,""),IF(AND(YEAR(ЛисНд1+7)=КалендарРік,MONTH(ЛисНд1+7)=11),ЛисНд1+7,""))</f>
        <v>43772</v>
      </c>
      <c r="AB44" s="36"/>
      <c r="AC44" s="39"/>
      <c r="AD44" s="43" t="str">
        <f ca="1">IF(DAY(ГруНд1)=1,"",IF(AND(YEAR(ГруНд1+1)=КалендарРік,MONTH(ГруНд1+1)=12),ГруНд1+1,""))</f>
        <v/>
      </c>
      <c r="AE44" s="43" t="str">
        <f ca="1">IF(DAY(ГруНд1)=1,"",IF(AND(YEAR(ГруНд1+2)=КалендарРік,MONTH(ГруНд1+2)=12),ГруНд1+2,""))</f>
        <v/>
      </c>
      <c r="AF44" s="43" t="str">
        <f ca="1">IF(DAY(ГруНд1)=1,"",IF(AND(YEAR(ГруНд1+3)=КалендарРік,MONTH(ГруНд1+3)=12),ГруНд1+3,""))</f>
        <v/>
      </c>
      <c r="AG44" s="43" t="str">
        <f ca="1">IF(DAY(ГруНд1)=1,"",IF(AND(YEAR(ГруНд1+4)=КалендарРік,MONTH(ГруНд1+4)=12),ГруНд1+4,""))</f>
        <v/>
      </c>
      <c r="AH44" s="43" t="str">
        <f ca="1">IF(DAY(ГруНд1)=1,"",IF(AND(YEAR(ГруНд1+5)=КалендарРік,MONTH(ГруНд1+5)=12),ГруНд1+5,""))</f>
        <v/>
      </c>
      <c r="AI44" s="43" t="str">
        <f ca="1">IF(DAY(ГруНд1)=1,"",IF(AND(YEAR(ГруНд1+6)=КалендарРік,MONTH(ГруНд1+6)=12),ГруНд1+6,""))</f>
        <v/>
      </c>
      <c r="AJ44" s="43">
        <f ca="1">IF(DAY(ГруНд1)=1,IF(AND(YEAR(ГруНд1)=КалендарРік,MONTH(ГруНд1)=12),ГруНд1,""),IF(AND(YEAR(ГруНд1+7)=КалендарРік,MONTH(ГруНд1+7)=12),ГруНд1+7,""))</f>
        <v>43800</v>
      </c>
    </row>
    <row r="45" spans="1:36" x14ac:dyDescent="0.2">
      <c r="C45" s="43">
        <f ca="1">IF(DAY(ВерНд1)=1,IF(AND(YEAR(ВерНд1+1)=КалендарРік,MONTH(ВерНд1+1)=9),ВерНд1+1,""),IF(AND(YEAR(ВерНд1+8)=КалендарРік,MONTH(ВерНд1+8)=9),ВерНд1+8,""))</f>
        <v>43710</v>
      </c>
      <c r="D45" s="43">
        <f ca="1">IF(DAY(ВерНд1)=1,IF(AND(YEAR(ВерНд1+2)=КалендарРік,MONTH(ВерНд1+2)=9),ВерНд1+2,""),IF(AND(YEAR(ВерНд1+9)=КалендарРік,MONTH(ВерНд1+9)=9),ВерНд1+9,""))</f>
        <v>43711</v>
      </c>
      <c r="E45" s="43">
        <f ca="1">IF(DAY(ВерНд1)=1,IF(AND(YEAR(ВерНд1+3)=КалендарРік,MONTH(ВерНд1+3)=9),ВерНд1+3,""),IF(AND(YEAR(ВерНд1+10)=КалендарРік,MONTH(ВерНд1+10)=9),ВерНд1+10,""))</f>
        <v>43712</v>
      </c>
      <c r="F45" s="43">
        <f ca="1">IF(DAY(ВерНд1)=1,IF(AND(YEAR(ВерНд1+4)=КалендарРік,MONTH(ВерНд1+4)=9),ВерНд1+4,""),IF(AND(YEAR(ВерНд1+11)=КалендарРік,MONTH(ВерНд1+11)=9),ВерНд1+11,""))</f>
        <v>43713</v>
      </c>
      <c r="G45" s="43">
        <f ca="1">IF(DAY(ВерНд1)=1,IF(AND(YEAR(ВерНд1+5)=КалендарРік,MONTH(ВерНд1+5)=9),ВерНд1+5,""),IF(AND(YEAR(ВерНд1+12)=КалендарРік,MONTH(ВерНд1+12)=9),ВерНд1+12,""))</f>
        <v>43714</v>
      </c>
      <c r="H45" s="43">
        <f ca="1">IF(DAY(ВерНд1)=1,IF(AND(YEAR(ВерНд1+6)=КалендарРік,MONTH(ВерНд1+6)=9),ВерНд1+6,""),IF(AND(YEAR(ВерНд1+13)=КалендарРік,MONTH(ВерНд1+13)=9),ВерНд1+13,""))</f>
        <v>43715</v>
      </c>
      <c r="I45" s="43">
        <f ca="1">IF(DAY(ВерНд1)=1,IF(AND(YEAR(ВерНд1+7)=КалендарРік,MONTH(ВерНд1+7)=9),ВерНд1+7,""),IF(AND(YEAR(ВерНд1+14)=КалендарРік,MONTH(ВерНд1+14)=9),ВерНд1+14,""))</f>
        <v>43716</v>
      </c>
      <c r="J45" s="36"/>
      <c r="K45" s="39"/>
      <c r="L45" s="43">
        <f ca="1">IF(DAY(ЖовНд1)=1,IF(AND(YEAR(ЖовНд1+1)=КалендарРік,MONTH(ЖовНд1+1)=10),ЖовНд1+1,""),IF(AND(YEAR(ЖовНд1+8)=КалендарРік,MONTH(ЖовНд1+8)=10),ЖовНд1+8,""))</f>
        <v>43745</v>
      </c>
      <c r="M45" s="43">
        <f ca="1">IF(DAY(ЖовНд1)=1,IF(AND(YEAR(ЖовНд1+2)=КалендарРік,MONTH(ЖовНд1+2)=10),ЖовНд1+2,""),IF(AND(YEAR(ЖовНд1+9)=КалендарРік,MONTH(ЖовНд1+9)=10),ЖовНд1+9,""))</f>
        <v>43746</v>
      </c>
      <c r="N45" s="43">
        <f ca="1">IF(DAY(ЖовНд1)=1,IF(AND(YEAR(ЖовНд1+3)=КалендарРік,MONTH(ЖовНд1+3)=10),ЖовНд1+3,""),IF(AND(YEAR(ЖовНд1+10)=КалендарРік,MONTH(ЖовНд1+10)=10),ЖовНд1+10,""))</f>
        <v>43747</v>
      </c>
      <c r="O45" s="43">
        <f ca="1">IF(DAY(ЖовНд1)=1,IF(AND(YEAR(ЖовНд1+4)=КалендарРік,MONTH(ЖовНд1+4)=10),ЖовНд1+4,""),IF(AND(YEAR(ЖовНд1+11)=КалендарРік,MONTH(ЖовНд1+11)=10),ЖовНд1+11,""))</f>
        <v>43748</v>
      </c>
      <c r="P45" s="43">
        <f ca="1">IF(DAY(ЖовНд1)=1,IF(AND(YEAR(ЖовНд1+5)=КалендарРік,MONTH(ЖовНд1+5)=10),ЖовНд1+5,""),IF(AND(YEAR(ЖовНд1+12)=КалендарРік,MONTH(ЖовНд1+12)=10),ЖовНд1+12,""))</f>
        <v>43749</v>
      </c>
      <c r="Q45" s="43">
        <f ca="1">IF(DAY(ЖовНд1)=1,IF(AND(YEAR(ЖовНд1+6)=КалендарРік,MONTH(ЖовНд1+6)=10),ЖовНд1+6,""),IF(AND(YEAR(ЖовНд1+13)=КалендарРік,MONTH(ЖовНд1+13)=10),ЖовНд1+13,""))</f>
        <v>43750</v>
      </c>
      <c r="R45" s="43">
        <f ca="1">IF(DAY(ЖовНд1)=1,IF(AND(YEAR(ЖовНд1+7)=КалендарРік,MONTH(ЖовНд1+7)=10),ЖовНд1+7,""),IF(AND(YEAR(ЖовНд1+14)=КалендарРік,MONTH(ЖовНд1+14)=10),ЖовНд1+14,""))</f>
        <v>43751</v>
      </c>
      <c r="S45" s="36"/>
      <c r="T45" s="40"/>
      <c r="U45" s="43">
        <f ca="1">IF(DAY(ЛисНд1)=1,IF(AND(YEAR(ЛисНд1+1)=КалендарРік,MONTH(ЛисНд1+1)=11),ЛисНд1+1,""),IF(AND(YEAR(ЛисНд1+8)=КалендарРік,MONTH(ЛисНд1+8)=11),ЛисНд1+8,""))</f>
        <v>43773</v>
      </c>
      <c r="V45" s="43">
        <f ca="1">IF(DAY(ЛисНд1)=1,IF(AND(YEAR(ЛисНд1+2)=КалендарРік,MONTH(ЛисНд1+2)=11),ЛисНд1+2,""),IF(AND(YEAR(ЛисНд1+9)=КалендарРік,MONTH(ЛисНд1+9)=11),ЛисНд1+9,""))</f>
        <v>43774</v>
      </c>
      <c r="W45" s="43">
        <f ca="1">IF(DAY(ЛисНд1)=1,IF(AND(YEAR(ЛисНд1+3)=КалендарРік,MONTH(ЛисНд1+3)=11),ЛисНд1+3,""),IF(AND(YEAR(ЛисНд1+10)=КалендарРік,MONTH(ЛисНд1+10)=11),ЛисНд1+10,""))</f>
        <v>43775</v>
      </c>
      <c r="X45" s="43">
        <f ca="1">IF(DAY(ЛисНд1)=1,IF(AND(YEAR(ЛисНд1+4)=КалендарРік,MONTH(ЛисНд1+4)=11),ЛисНд1+4,""),IF(AND(YEAR(ЛисНд1+11)=КалендарРік,MONTH(ЛисНд1+11)=11),ЛисНд1+11,""))</f>
        <v>43776</v>
      </c>
      <c r="Y45" s="43">
        <f ca="1">IF(DAY(ЛисНд1)=1,IF(AND(YEAR(ЛисНд1+5)=КалендарРік,MONTH(ЛисНд1+5)=11),ЛисНд1+5,""),IF(AND(YEAR(ЛисНд1+12)=КалендарРік,MONTH(ЛисНд1+12)=11),ЛисНд1+12,""))</f>
        <v>43777</v>
      </c>
      <c r="Z45" s="43">
        <f ca="1">IF(DAY(ЛисНд1)=1,IF(AND(YEAR(ЛисНд1+6)=КалендарРік,MONTH(ЛисНд1+6)=11),ЛисНд1+6,""),IF(AND(YEAR(ЛисНд1+13)=КалендарРік,MONTH(ЛисНд1+13)=11),ЛисНд1+13,""))</f>
        <v>43778</v>
      </c>
      <c r="AA45" s="43">
        <f ca="1">IF(DAY(ЛисНд1)=1,IF(AND(YEAR(ЛисНд1+7)=КалендарРік,MONTH(ЛисНд1+7)=11),ЛисНд1+7,""),IF(AND(YEAR(ЛисНд1+14)=КалендарРік,MONTH(ЛисНд1+14)=11),ЛисНд1+14,""))</f>
        <v>43779</v>
      </c>
      <c r="AB45" s="36"/>
      <c r="AC45" s="39"/>
      <c r="AD45" s="43">
        <f ca="1">IF(DAY(ГруНд1)=1,IF(AND(YEAR(ГруНд1+1)=КалендарРік,MONTH(ГруНд1+1)=12),ГруНд1+1,""),IF(AND(YEAR(ГруНд1+8)=КалендарРік,MONTH(ГруНд1+8)=12),ГруНд1+8,""))</f>
        <v>43801</v>
      </c>
      <c r="AE45" s="43">
        <f ca="1">IF(DAY(ГруНд1)=1,IF(AND(YEAR(ГруНд1+2)=КалендарРік,MONTH(ГруНд1+2)=12),ГруНд1+2,""),IF(AND(YEAR(ГруНд1+9)=КалендарРік,MONTH(ГруНд1+9)=12),ГруНд1+9,""))</f>
        <v>43802</v>
      </c>
      <c r="AF45" s="43">
        <f ca="1">IF(DAY(ГруНд1)=1,IF(AND(YEAR(ГруНд1+3)=КалендарРік,MONTH(ГруНд1+3)=12),ГруНд1+3,""),IF(AND(YEAR(ГруНд1+10)=КалендарРік,MONTH(ГруНд1+10)=12),ГруНд1+10,""))</f>
        <v>43803</v>
      </c>
      <c r="AG45" s="43">
        <f ca="1">IF(DAY(ГруНд1)=1,IF(AND(YEAR(ГруНд1+4)=КалендарРік,MONTH(ГруНд1+4)=12),ГруНд1+4,""),IF(AND(YEAR(ГруНд1+11)=КалендарРік,MONTH(ГруНд1+11)=12),ГруНд1+11,""))</f>
        <v>43804</v>
      </c>
      <c r="AH45" s="43">
        <f ca="1">IF(DAY(ГруНд1)=1,IF(AND(YEAR(ГруНд1+5)=КалендарРік,MONTH(ГруНд1+5)=12),ГруНд1+5,""),IF(AND(YEAR(ГруНд1+12)=КалендарРік,MONTH(ГруНд1+12)=12),ГруНд1+12,""))</f>
        <v>43805</v>
      </c>
      <c r="AI45" s="43">
        <f ca="1">IF(DAY(ГруНд1)=1,IF(AND(YEAR(ГруНд1+6)=КалендарРік,MONTH(ГруНд1+6)=12),ГруНд1+6,""),IF(AND(YEAR(ГруНд1+13)=КалендарРік,MONTH(ГруНд1+13)=12),ГруНд1+13,""))</f>
        <v>43806</v>
      </c>
      <c r="AJ45" s="43">
        <f ca="1">IF(DAY(ГруНд1)=1,IF(AND(YEAR(ГруНд1+7)=КалендарРік,MONTH(ГруНд1+7)=12),ГруНд1+7,""),IF(AND(YEAR(ГруНд1+14)=КалендарРік,MONTH(ГруНд1+14)=12),ГруНд1+14,""))</f>
        <v>43807</v>
      </c>
    </row>
    <row r="46" spans="1:36" x14ac:dyDescent="0.2">
      <c r="C46" s="43">
        <f ca="1">IF(DAY(ВерНд1)=1,IF(AND(YEAR(ВерНд1+8)=КалендарРік,MONTH(ВерНд1+8)=9),ВерНд1+8,""),IF(AND(YEAR(ВерНд1+15)=КалендарРік,MONTH(ВерНд1+15)=9),ВерНд1+15,""))</f>
        <v>43717</v>
      </c>
      <c r="D46" s="43">
        <f ca="1">IF(DAY(ВерНд1)=1,IF(AND(YEAR(ВерНд1+9)=КалендарРік,MONTH(ВерНд1+9)=9),ВерНд1+9,""),IF(AND(YEAR(ВерНд1+16)=КалендарРік,MONTH(ВерНд1+16)=9),ВерНд1+16,""))</f>
        <v>43718</v>
      </c>
      <c r="E46" s="43">
        <f ca="1">IF(DAY(ВерНд1)=1,IF(AND(YEAR(ВерНд1+10)=КалендарРік,MONTH(ВерНд1+10)=9),ВерНд1+10,""),IF(AND(YEAR(ВерНд1+17)=КалендарРік,MONTH(ВерНд1+17)=9),ВерНд1+17,""))</f>
        <v>43719</v>
      </c>
      <c r="F46" s="43">
        <f ca="1">IF(DAY(ВерНд1)=1,IF(AND(YEAR(ВерНд1+11)=КалендарРік,MONTH(ВерНд1+11)=9),ВерНд1+11,""),IF(AND(YEAR(ВерНд1+18)=КалендарРік,MONTH(ВерНд1+18)=9),ВерНд1+18,""))</f>
        <v>43720</v>
      </c>
      <c r="G46" s="43">
        <f ca="1">IF(DAY(ВерНд1)=1,IF(AND(YEAR(ВерНд1+12)=КалендарРік,MONTH(ВерНд1+12)=9),ВерНд1+12,""),IF(AND(YEAR(ВерНд1+19)=КалендарРік,MONTH(ВерНд1+19)=9),ВерНд1+19,""))</f>
        <v>43721</v>
      </c>
      <c r="H46" s="43">
        <f ca="1">IF(DAY(ВерНд1)=1,IF(AND(YEAR(ВерНд1+13)=КалендарРік,MONTH(ВерНд1+13)=9),ВерНд1+13,""),IF(AND(YEAR(ВерНд1+20)=КалендарРік,MONTH(ВерНд1+20)=9),ВерНд1+20,""))</f>
        <v>43722</v>
      </c>
      <c r="I46" s="43">
        <f ca="1">IF(DAY(ВерНд1)=1,IF(AND(YEAR(ВерНд1+14)=КалендарРік,MONTH(ВерНд1+14)=9),ВерНд1+14,""),IF(AND(YEAR(ВерНд1+21)=КалендарРік,MONTH(ВерНд1+21)=9),ВерНд1+21,""))</f>
        <v>43723</v>
      </c>
      <c r="J46" s="36"/>
      <c r="K46" s="39"/>
      <c r="L46" s="43">
        <f ca="1">IF(DAY(ЖовНд1)=1,IF(AND(YEAR(ЖовНд1+8)=КалендарРік,MONTH(ЖовНд1+8)=10),ЖовНд1+8,""),IF(AND(YEAR(ЖовНд1+15)=КалендарРік,MONTH(ЖовНд1+15)=10),ЖовНд1+15,""))</f>
        <v>43752</v>
      </c>
      <c r="M46" s="43">
        <f ca="1">IF(DAY(ЖовНд1)=1,IF(AND(YEAR(ЖовНд1+9)=КалендарРік,MONTH(ЖовНд1+9)=10),ЖовНд1+9,""),IF(AND(YEAR(ЖовНд1+16)=КалендарРік,MONTH(ЖовНд1+16)=10),ЖовНд1+16,""))</f>
        <v>43753</v>
      </c>
      <c r="N46" s="43">
        <f ca="1">IF(DAY(ЖовНд1)=1,IF(AND(YEAR(ЖовНд1+10)=КалендарРік,MONTH(ЖовНд1+10)=10),ЖовНд1+10,""),IF(AND(YEAR(ЖовНд1+17)=КалендарРік,MONTH(ЖовНд1+17)=10),ЖовНд1+17,""))</f>
        <v>43754</v>
      </c>
      <c r="O46" s="43">
        <f ca="1">IF(DAY(ЖовНд1)=1,IF(AND(YEAR(ЖовНд1+11)=КалендарРік,MONTH(ЖовНд1+11)=10),ЖовНд1+11,""),IF(AND(YEAR(ЖовНд1+18)=КалендарРік,MONTH(ЖовНд1+18)=10),ЖовНд1+18,""))</f>
        <v>43755</v>
      </c>
      <c r="P46" s="43">
        <f ca="1">IF(DAY(ЖовНд1)=1,IF(AND(YEAR(ЖовНд1+12)=КалендарРік,MONTH(ЖовНд1+12)=10),ЖовНд1+12,""),IF(AND(YEAR(ЖовНд1+19)=КалендарРік,MONTH(ЖовНд1+19)=10),ЖовНд1+19,""))</f>
        <v>43756</v>
      </c>
      <c r="Q46" s="43">
        <f ca="1">IF(DAY(ЖовНд1)=1,IF(AND(YEAR(ЖовНд1+13)=КалендарРік,MONTH(ЖовНд1+13)=10),ЖовНд1+13,""),IF(AND(YEAR(ЖовНд1+20)=КалендарРік,MONTH(ЖовНд1+20)=10),ЖовНд1+20,""))</f>
        <v>43757</v>
      </c>
      <c r="R46" s="43">
        <f ca="1">IF(DAY(ЖовНд1)=1,IF(AND(YEAR(ЖовНд1+14)=КалендарРік,MONTH(ЖовНд1+14)=10),ЖовНд1+14,""),IF(AND(YEAR(ЖовНд1+21)=КалендарРік,MONTH(ЖовНд1+21)=10),ЖовНд1+21,""))</f>
        <v>43758</v>
      </c>
      <c r="S46" s="36"/>
      <c r="T46" s="40"/>
      <c r="U46" s="43">
        <f ca="1">IF(DAY(ЛисНд1)=1,IF(AND(YEAR(ЛисНд1+8)=КалендарРік,MONTH(ЛисНд1+8)=11),ЛисНд1+8,""),IF(AND(YEAR(ЛисНд1+15)=КалендарРік,MONTH(ЛисНд1+15)=11),ЛисНд1+15,""))</f>
        <v>43780</v>
      </c>
      <c r="V46" s="43">
        <f ca="1">IF(DAY(ЛисНд1)=1,IF(AND(YEAR(ЛисНд1+9)=КалендарРік,MONTH(ЛисНд1+9)=11),ЛисНд1+9,""),IF(AND(YEAR(ЛисНд1+16)=КалендарРік,MONTH(ЛисНд1+16)=11),ЛисНд1+16,""))</f>
        <v>43781</v>
      </c>
      <c r="W46" s="43">
        <f ca="1">IF(DAY(ЛисНд1)=1,IF(AND(YEAR(ЛисНд1+10)=КалендарРік,MONTH(ЛисНд1+10)=11),ЛисНд1+10,""),IF(AND(YEAR(ЛисНд1+17)=КалендарРік,MONTH(ЛисНд1+17)=11),ЛисНд1+17,""))</f>
        <v>43782</v>
      </c>
      <c r="X46" s="43">
        <f ca="1">IF(DAY(ЛисНд1)=1,IF(AND(YEAR(ЛисНд1+11)=КалендарРік,MONTH(ЛисНд1+11)=11),ЛисНд1+11,""),IF(AND(YEAR(ЛисНд1+18)=КалендарРік,MONTH(ЛисНд1+18)=11),ЛисНд1+18,""))</f>
        <v>43783</v>
      </c>
      <c r="Y46" s="43">
        <f ca="1">IF(DAY(ЛисНд1)=1,IF(AND(YEAR(ЛисНд1+12)=КалендарРік,MONTH(ЛисНд1+12)=11),ЛисНд1+12,""),IF(AND(YEAR(ЛисНд1+19)=КалендарРік,MONTH(ЛисНд1+19)=11),ЛисНд1+19,""))</f>
        <v>43784</v>
      </c>
      <c r="Z46" s="43">
        <f ca="1">IF(DAY(ЛисНд1)=1,IF(AND(YEAR(ЛисНд1+13)=КалендарРік,MONTH(ЛисНд1+13)=11),ЛисНд1+13,""),IF(AND(YEAR(ЛисНд1+20)=КалендарРік,MONTH(ЛисНд1+20)=11),ЛисНд1+20,""))</f>
        <v>43785</v>
      </c>
      <c r="AA46" s="43">
        <f ca="1">IF(DAY(ЛисНд1)=1,IF(AND(YEAR(ЛисНд1+14)=КалендарРік,MONTH(ЛисНд1+14)=11),ЛисНд1+14,""),IF(AND(YEAR(ЛисНд1+21)=КалендарРік,MONTH(ЛисНд1+21)=11),ЛисНд1+21,""))</f>
        <v>43786</v>
      </c>
      <c r="AB46" s="36"/>
      <c r="AC46" s="39"/>
      <c r="AD46" s="43">
        <f ca="1">IF(DAY(ГруНд1)=1,IF(AND(YEAR(ГруНд1+8)=КалендарРік,MONTH(ГруНд1+8)=12),ГруНд1+8,""),IF(AND(YEAR(ГруНд1+15)=КалендарРік,MONTH(ГруНд1+15)=12),ГруНд1+15,""))</f>
        <v>43808</v>
      </c>
      <c r="AE46" s="43">
        <f ca="1">IF(DAY(ГруНд1)=1,IF(AND(YEAR(ГруНд1+9)=КалендарРік,MONTH(ГруНд1+9)=12),ГруНд1+9,""),IF(AND(YEAR(ГруНд1+16)=КалендарРік,MONTH(ГруНд1+16)=12),ГруНд1+16,""))</f>
        <v>43809</v>
      </c>
      <c r="AF46" s="43">
        <f ca="1">IF(DAY(ГруНд1)=1,IF(AND(YEAR(ГруНд1+10)=КалендарРік,MONTH(ГруНд1+10)=12),ГруНд1+10,""),IF(AND(YEAR(ГруНд1+17)=КалендарРік,MONTH(ГруНд1+17)=12),ГруНд1+17,""))</f>
        <v>43810</v>
      </c>
      <c r="AG46" s="43">
        <f ca="1">IF(DAY(ГруНд1)=1,IF(AND(YEAR(ГруНд1+11)=КалендарРік,MONTH(ГруНд1+11)=12),ГруНд1+11,""),IF(AND(YEAR(ГруНд1+18)=КалендарРік,MONTH(ГруНд1+18)=12),ГруНд1+18,""))</f>
        <v>43811</v>
      </c>
      <c r="AH46" s="43">
        <f ca="1">IF(DAY(ГруНд1)=1,IF(AND(YEAR(ГруНд1+12)=КалендарРік,MONTH(ГруНд1+12)=12),ГруНд1+12,""),IF(AND(YEAR(ГруНд1+19)=КалендарРік,MONTH(ГруНд1+19)=12),ГруНд1+19,""))</f>
        <v>43812</v>
      </c>
      <c r="AI46" s="43">
        <f ca="1">IF(DAY(ГруНд1)=1,IF(AND(YEAR(ГруНд1+13)=КалендарРік,MONTH(ГруНд1+13)=12),ГруНд1+13,""),IF(AND(YEAR(ГруНд1+20)=КалендарРік,MONTH(ГруНд1+20)=12),ГруНд1+20,""))</f>
        <v>43813</v>
      </c>
      <c r="AJ46" s="43">
        <f ca="1">IF(DAY(ГруНд1)=1,IF(AND(YEAR(ГруНд1+14)=КалендарРік,MONTH(ГруНд1+14)=12),ГруНд1+14,""),IF(AND(YEAR(ГруНд1+21)=КалендарРік,MONTH(ГруНд1+21)=12),ГруНд1+21,""))</f>
        <v>43814</v>
      </c>
    </row>
    <row r="47" spans="1:36" x14ac:dyDescent="0.2">
      <c r="C47" s="43">
        <f ca="1">IF(DAY(ВерНд1)=1,IF(AND(YEAR(ВерНд1+15)=КалендарРік,MONTH(ВерНд1+15)=9),ВерНд1+15,""),IF(AND(YEAR(ВерНд1+22)=КалендарРік,MONTH(ВерНд1+22)=9),ВерНд1+22,""))</f>
        <v>43724</v>
      </c>
      <c r="D47" s="43">
        <f ca="1">IF(DAY(ВерНд1)=1,IF(AND(YEAR(ВерНд1+16)=КалендарРік,MONTH(ВерНд1+16)=9),ВерНд1+16,""),IF(AND(YEAR(ВерНд1+23)=КалендарРік,MONTH(ВерНд1+23)=9),ВерНд1+23,""))</f>
        <v>43725</v>
      </c>
      <c r="E47" s="43">
        <f ca="1">IF(DAY(ВерНд1)=1,IF(AND(YEAR(ВерНд1+17)=КалендарРік,MONTH(ВерНд1+17)=9),ВерНд1+17,""),IF(AND(YEAR(ВерНд1+24)=КалендарРік,MONTH(ВерНд1+24)=9),ВерНд1+24,""))</f>
        <v>43726</v>
      </c>
      <c r="F47" s="43">
        <f ca="1">IF(DAY(ВерНд1)=1,IF(AND(YEAR(ВерНд1+18)=КалендарРік,MONTH(ВерНд1+18)=9),ВерНд1+18,""),IF(AND(YEAR(ВерНд1+25)=КалендарРік,MONTH(ВерНд1+25)=9),ВерНд1+25,""))</f>
        <v>43727</v>
      </c>
      <c r="G47" s="43">
        <f ca="1">IF(DAY(ВерНд1)=1,IF(AND(YEAR(ВерНд1+19)=КалендарРік,MONTH(ВерНд1+19)=9),ВерНд1+19,""),IF(AND(YEAR(ВерНд1+26)=КалендарРік,MONTH(ВерНд1+26)=9),ВерНд1+26,""))</f>
        <v>43728</v>
      </c>
      <c r="H47" s="43">
        <f ca="1">IF(DAY(ВерНд1)=1,IF(AND(YEAR(ВерНд1+20)=КалендарРік,MONTH(ВерНд1+20)=9),ВерНд1+20,""),IF(AND(YEAR(ВерНд1+27)=КалендарРік,MONTH(ВерНд1+27)=9),ВерНд1+27,""))</f>
        <v>43729</v>
      </c>
      <c r="I47" s="43">
        <f ca="1">IF(DAY(ВерНд1)=1,IF(AND(YEAR(ВерНд1+21)=КалендарРік,MONTH(ВерНд1+21)=9),ВерНд1+21,""),IF(AND(YEAR(ВерНд1+28)=КалендарРік,MONTH(ВерНд1+28)=9),ВерНд1+28,""))</f>
        <v>43730</v>
      </c>
      <c r="J47" s="36"/>
      <c r="K47" s="39"/>
      <c r="L47" s="43">
        <f ca="1">IF(DAY(ЖовНд1)=1,IF(AND(YEAR(ЖовНд1+15)=КалендарРік,MONTH(ЖовНд1+15)=10),ЖовНд1+15,""),IF(AND(YEAR(ЖовНд1+22)=КалендарРік,MONTH(ЖовНд1+22)=10),ЖовНд1+22,""))</f>
        <v>43759</v>
      </c>
      <c r="M47" s="43">
        <f ca="1">IF(DAY(ЖовНд1)=1,IF(AND(YEAR(ЖовНд1+16)=КалендарРік,MONTH(ЖовНд1+16)=10),ЖовНд1+16,""),IF(AND(YEAR(ЖовНд1+23)=КалендарРік,MONTH(ЖовНд1+23)=10),ЖовНд1+23,""))</f>
        <v>43760</v>
      </c>
      <c r="N47" s="43">
        <f ca="1">IF(DAY(ЖовНд1)=1,IF(AND(YEAR(ЖовНд1+17)=КалендарРік,MONTH(ЖовНд1+17)=10),ЖовНд1+17,""),IF(AND(YEAR(ЖовНд1+24)=КалендарРік,MONTH(ЖовНд1+24)=10),ЖовНд1+24,""))</f>
        <v>43761</v>
      </c>
      <c r="O47" s="43">
        <f ca="1">IF(DAY(ЖовНд1)=1,IF(AND(YEAR(ЖовНд1+18)=КалендарРік,MONTH(ЖовНд1+18)=10),ЖовНд1+18,""),IF(AND(YEAR(ЖовНд1+25)=КалендарРік,MONTH(ЖовНд1+25)=10),ЖовНд1+25,""))</f>
        <v>43762</v>
      </c>
      <c r="P47" s="43">
        <f ca="1">IF(DAY(ЖовНд1)=1,IF(AND(YEAR(ЖовНд1+19)=КалендарРік,MONTH(ЖовНд1+19)=10),ЖовНд1+19,""),IF(AND(YEAR(ЖовНд1+26)=КалендарРік,MONTH(ЖовНд1+26)=10),ЖовНд1+26,""))</f>
        <v>43763</v>
      </c>
      <c r="Q47" s="43">
        <f ca="1">IF(DAY(ЖовНд1)=1,IF(AND(YEAR(ЖовНд1+20)=КалендарРік,MONTH(ЖовНд1+20)=10),ЖовНд1+20,""),IF(AND(YEAR(ЖовНд1+27)=КалендарРік,MONTH(ЖовНд1+27)=10),ЖовНд1+27,""))</f>
        <v>43764</v>
      </c>
      <c r="R47" s="43">
        <f ca="1">IF(DAY(ЖовНд1)=1,IF(AND(YEAR(ЖовНд1+21)=КалендарРік,MONTH(ЖовНд1+21)=10),ЖовНд1+21,""),IF(AND(YEAR(ЖовНд1+28)=КалендарРік,MONTH(ЖовНд1+28)=10),ЖовНд1+28,""))</f>
        <v>43765</v>
      </c>
      <c r="S47" s="36"/>
      <c r="T47" s="40"/>
      <c r="U47" s="43">
        <f ca="1">IF(DAY(ЛисНд1)=1,IF(AND(YEAR(ЛисНд1+15)=КалендарРік,MONTH(ЛисНд1+15)=11),ЛисНд1+15,""),IF(AND(YEAR(ЛисНд1+22)=КалендарРік,MONTH(ЛисНд1+22)=11),ЛисНд1+22,""))</f>
        <v>43787</v>
      </c>
      <c r="V47" s="43">
        <f ca="1">IF(DAY(ЛисНд1)=1,IF(AND(YEAR(ЛисНд1+16)=КалендарРік,MONTH(ЛисНд1+16)=11),ЛисНд1+16,""),IF(AND(YEAR(ЛисНд1+23)=КалендарРік,MONTH(ЛисНд1+23)=11),ЛисНд1+23,""))</f>
        <v>43788</v>
      </c>
      <c r="W47" s="43">
        <f ca="1">IF(DAY(ЛисНд1)=1,IF(AND(YEAR(ЛисНд1+17)=КалендарРік,MONTH(ЛисНд1+17)=11),ЛисНд1+17,""),IF(AND(YEAR(ЛисНд1+24)=КалендарРік,MONTH(ЛисНд1+24)=11),ЛисНд1+24,""))</f>
        <v>43789</v>
      </c>
      <c r="X47" s="43">
        <f ca="1">IF(DAY(ЛисНд1)=1,IF(AND(YEAR(ЛисНд1+18)=КалендарРік,MONTH(ЛисНд1+18)=11),ЛисНд1+18,""),IF(AND(YEAR(ЛисНд1+25)=КалендарРік,MONTH(ЛисНд1+25)=11),ЛисНд1+25,""))</f>
        <v>43790</v>
      </c>
      <c r="Y47" s="43">
        <f ca="1">IF(DAY(ЛисНд1)=1,IF(AND(YEAR(ЛисНд1+19)=КалендарРік,MONTH(ЛисНд1+19)=11),ЛисНд1+19,""),IF(AND(YEAR(ЛисНд1+26)=КалендарРік,MONTH(ЛисНд1+26)=11),ЛисНд1+26,""))</f>
        <v>43791</v>
      </c>
      <c r="Z47" s="43">
        <f ca="1">IF(DAY(ЛисНд1)=1,IF(AND(YEAR(ЛисНд1+20)=КалендарРік,MONTH(ЛисНд1+20)=11),ЛисНд1+20,""),IF(AND(YEAR(ЛисНд1+27)=КалендарРік,MONTH(ЛисНд1+27)=11),ЛисНд1+27,""))</f>
        <v>43792</v>
      </c>
      <c r="AA47" s="43">
        <f ca="1">IF(DAY(ЛисНд1)=1,IF(AND(YEAR(ЛисНд1+21)=КалендарРік,MONTH(ЛисНд1+21)=11),ЛисНд1+21,""),IF(AND(YEAR(ЛисНд1+28)=КалендарРік,MONTH(ЛисНд1+28)=11),ЛисНд1+28,""))</f>
        <v>43793</v>
      </c>
      <c r="AB47" s="36"/>
      <c r="AC47" s="39"/>
      <c r="AD47" s="43">
        <f ca="1">IF(DAY(ГруНд1)=1,IF(AND(YEAR(ГруНд1+15)=КалендарРік,MONTH(ГруНд1+15)=12),ГруНд1+15,""),IF(AND(YEAR(ГруНд1+22)=КалендарРік,MONTH(ГруНд1+22)=12),ГруНд1+22,""))</f>
        <v>43815</v>
      </c>
      <c r="AE47" s="43">
        <f ca="1">IF(DAY(ГруНд1)=1,IF(AND(YEAR(ГруНд1+16)=КалендарРік,MONTH(ГруНд1+16)=12),ГруНд1+16,""),IF(AND(YEAR(ГруНд1+23)=КалендарРік,MONTH(ГруНд1+23)=12),ГруНд1+23,""))</f>
        <v>43816</v>
      </c>
      <c r="AF47" s="43">
        <f ca="1">IF(DAY(ГруНд1)=1,IF(AND(YEAR(ГруНд1+17)=КалендарРік,MONTH(ГруНд1+17)=12),ГруНд1+17,""),IF(AND(YEAR(ГруНд1+24)=КалендарРік,MONTH(ГруНд1+24)=12),ГруНд1+24,""))</f>
        <v>43817</v>
      </c>
      <c r="AG47" s="43">
        <f ca="1">IF(DAY(ГруНд1)=1,IF(AND(YEAR(ГруНд1+18)=КалендарРік,MONTH(ГруНд1+18)=12),ГруНд1+18,""),IF(AND(YEAR(ГруНд1+25)=КалендарРік,MONTH(ГруНд1+25)=12),ГруНд1+25,""))</f>
        <v>43818</v>
      </c>
      <c r="AH47" s="43">
        <f ca="1">IF(DAY(ГруНд1)=1,IF(AND(YEAR(ГруНд1+19)=КалендарРік,MONTH(ГруНд1+19)=12),ГруНд1+19,""),IF(AND(YEAR(ГруНд1+26)=КалендарРік,MONTH(ГруНд1+26)=12),ГруНд1+26,""))</f>
        <v>43819</v>
      </c>
      <c r="AI47" s="43">
        <f ca="1">IF(DAY(ГруНд1)=1,IF(AND(YEAR(ГруНд1+20)=КалендарРік,MONTH(ГруНд1+20)=12),ГруНд1+20,""),IF(AND(YEAR(ГруНд1+27)=КалендарРік,MONTH(ГруНд1+27)=12),ГруНд1+27,""))</f>
        <v>43820</v>
      </c>
      <c r="AJ47" s="43">
        <f ca="1">IF(DAY(ГруНд1)=1,IF(AND(YEAR(ГруНд1+21)=КалендарРік,MONTH(ГруНд1+21)=12),ГруНд1+21,""),IF(AND(YEAR(ГруНд1+28)=КалендарРік,MONTH(ГруНд1+28)=12),ГруНд1+28,""))</f>
        <v>43821</v>
      </c>
    </row>
    <row r="48" spans="1:36" x14ac:dyDescent="0.2">
      <c r="C48" s="43">
        <f ca="1">IF(DAY(ВерНд1)=1,IF(AND(YEAR(ВерНд1+22)=КалендарРік,MONTH(ВерНд1+22)=9),ВерНд1+22,""),IF(AND(YEAR(ВерНд1+29)=КалендарРік,MONTH(ВерНд1+29)=9),ВерНд1+29,""))</f>
        <v>43731</v>
      </c>
      <c r="D48" s="43">
        <f ca="1">IF(DAY(ВерНд1)=1,IF(AND(YEAR(ВерНд1+23)=КалендарРік,MONTH(ВерНд1+23)=9),ВерНд1+23,""),IF(AND(YEAR(ВерНд1+30)=КалендарРік,MONTH(ВерНд1+30)=9),ВерНд1+30,""))</f>
        <v>43732</v>
      </c>
      <c r="E48" s="43">
        <f ca="1">IF(DAY(ВерНд1)=1,IF(AND(YEAR(ВерНд1+24)=КалендарРік,MONTH(ВерНд1+24)=9),ВерНд1+24,""),IF(AND(YEAR(ВерНд1+31)=КалендарРік,MONTH(ВерНд1+31)=9),ВерНд1+31,""))</f>
        <v>43733</v>
      </c>
      <c r="F48" s="43">
        <f ca="1">IF(DAY(ВерНд1)=1,IF(AND(YEAR(ВерНд1+25)=КалендарРік,MONTH(ВерНд1+25)=9),ВерНд1+25,""),IF(AND(YEAR(ВерНд1+32)=КалендарРік,MONTH(ВерНд1+32)=9),ВерНд1+32,""))</f>
        <v>43734</v>
      </c>
      <c r="G48" s="43">
        <f ca="1">IF(DAY(ВерНд1)=1,IF(AND(YEAR(ВерНд1+26)=КалендарРік,MONTH(ВерНд1+26)=9),ВерНд1+26,""),IF(AND(YEAR(ВерНд1+33)=КалендарРік,MONTH(ВерНд1+33)=9),ВерНд1+33,""))</f>
        <v>43735</v>
      </c>
      <c r="H48" s="43">
        <f ca="1">IF(DAY(ВерНд1)=1,IF(AND(YEAR(ВерНд1+27)=КалендарРік,MONTH(ВерНд1+27)=9),ВерНд1+27,""),IF(AND(YEAR(ВерНд1+34)=КалендарРік,MONTH(ВерНд1+34)=9),ВерНд1+34,""))</f>
        <v>43736</v>
      </c>
      <c r="I48" s="43">
        <f ca="1">IF(DAY(ВерНд1)=1,IF(AND(YEAR(ВерНд1+28)=КалендарРік,MONTH(ВерНд1+28)=9),ВерНд1+28,""),IF(AND(YEAR(ВерНд1+35)=КалендарРік,MONTH(ВерНд1+35)=9),ВерНд1+35,""))</f>
        <v>43737</v>
      </c>
      <c r="J48" s="36"/>
      <c r="K48" s="39"/>
      <c r="L48" s="43">
        <f ca="1">IF(DAY(ЖовНд1)=1,IF(AND(YEAR(ЖовНд1+22)=КалендарРік,MONTH(ЖовНд1+22)=10),ЖовНд1+22,""),IF(AND(YEAR(ЖовНд1+29)=КалендарРік,MONTH(ЖовНд1+29)=10),ЖовНд1+29,""))</f>
        <v>43766</v>
      </c>
      <c r="M48" s="43">
        <f ca="1">IF(DAY(ЖовНд1)=1,IF(AND(YEAR(ЖовНд1+23)=КалендарРік,MONTH(ЖовНд1+23)=10),ЖовНд1+23,""),IF(AND(YEAR(ЖовНд1+30)=КалендарРік,MONTH(ЖовНд1+30)=10),ЖовНд1+30,""))</f>
        <v>43767</v>
      </c>
      <c r="N48" s="43">
        <f ca="1">IF(DAY(ЖовНд1)=1,IF(AND(YEAR(ЖовНд1+24)=КалендарРік,MONTH(ЖовНд1+24)=10),ЖовНд1+24,""),IF(AND(YEAR(ЖовНд1+31)=КалендарРік,MONTH(ЖовНд1+31)=10),ЖовНд1+31,""))</f>
        <v>43768</v>
      </c>
      <c r="O48" s="43">
        <f ca="1">IF(DAY(ЖовНд1)=1,IF(AND(YEAR(ЖовНд1+25)=КалендарРік,MONTH(ЖовНд1+25)=10),ЖовНд1+25,""),IF(AND(YEAR(ЖовНд1+32)=КалендарРік,MONTH(ЖовНд1+32)=10),ЖовНд1+32,""))</f>
        <v>43769</v>
      </c>
      <c r="P48" s="43" t="str">
        <f ca="1">IF(DAY(ЖовНд1)=1,IF(AND(YEAR(ЖовНд1+26)=КалендарРік,MONTH(ЖовНд1+26)=10),ЖовНд1+26,""),IF(AND(YEAR(ЖовНд1+33)=КалендарРік,MONTH(ЖовНд1+33)=10),ЖовНд1+33,""))</f>
        <v/>
      </c>
      <c r="Q48" s="43" t="str">
        <f ca="1">IF(DAY(ЖовНд1)=1,IF(AND(YEAR(ЖовНд1+27)=КалендарРік,MONTH(ЖовНд1+27)=10),ЖовНд1+27,""),IF(AND(YEAR(ЖовНд1+34)=КалендарРік,MONTH(ЖовНд1+34)=10),ЖовНд1+34,""))</f>
        <v/>
      </c>
      <c r="R48" s="43" t="str">
        <f ca="1">IF(DAY(ЖовНд1)=1,IF(AND(YEAR(ЖовНд1+28)=КалендарРік,MONTH(ЖовНд1+28)=10),ЖовНд1+28,""),IF(AND(YEAR(ЖовНд1+35)=КалендарРік,MONTH(ЖовНд1+35)=10),ЖовНд1+35,""))</f>
        <v/>
      </c>
      <c r="S48" s="36"/>
      <c r="T48" s="40"/>
      <c r="U48" s="43">
        <f ca="1">IF(DAY(ЛисНд1)=1,IF(AND(YEAR(ЛисНд1+22)=КалендарРік,MONTH(ЛисНд1+22)=11),ЛисНд1+22,""),IF(AND(YEAR(ЛисНд1+29)=КалендарРік,MONTH(ЛисНд1+29)=11),ЛисНд1+29,""))</f>
        <v>43794</v>
      </c>
      <c r="V48" s="43">
        <f ca="1">IF(DAY(ЛисНд1)=1,IF(AND(YEAR(ЛисНд1+23)=КалендарРік,MONTH(ЛисНд1+23)=11),ЛисНд1+23,""),IF(AND(YEAR(ЛисНд1+30)=КалендарРік,MONTH(ЛисНд1+30)=11),ЛисНд1+30,""))</f>
        <v>43795</v>
      </c>
      <c r="W48" s="43">
        <f ca="1">IF(DAY(ЛисНд1)=1,IF(AND(YEAR(ЛисНд1+24)=КалендарРік,MONTH(ЛисНд1+24)=11),ЛисНд1+24,""),IF(AND(YEAR(ЛисНд1+31)=КалендарРік,MONTH(ЛисНд1+31)=11),ЛисНд1+31,""))</f>
        <v>43796</v>
      </c>
      <c r="X48" s="43">
        <f ca="1">IF(DAY(ЛисНд1)=1,IF(AND(YEAR(ЛисНд1+25)=КалендарРік,MONTH(ЛисНд1+25)=11),ЛисНд1+25,""),IF(AND(YEAR(ЛисНд1+32)=КалендарРік,MONTH(ЛисНд1+32)=11),ЛисНд1+32,""))</f>
        <v>43797</v>
      </c>
      <c r="Y48" s="43">
        <f ca="1">IF(DAY(ЛисНд1)=1,IF(AND(YEAR(ЛисНд1+26)=КалендарРік,MONTH(ЛисНд1+26)=11),ЛисНд1+26,""),IF(AND(YEAR(ЛисНд1+33)=КалендарРік,MONTH(ЛисНд1+33)=11),ЛисНд1+33,""))</f>
        <v>43798</v>
      </c>
      <c r="Z48" s="43">
        <f ca="1">IF(DAY(ЛисНд1)=1,IF(AND(YEAR(ЛисНд1+27)=КалендарРік,MONTH(ЛисНд1+27)=11),ЛисНд1+27,""),IF(AND(YEAR(ЛисНд1+34)=КалендарРік,MONTH(ЛисНд1+34)=11),ЛисНд1+34,""))</f>
        <v>43799</v>
      </c>
      <c r="AA48" s="43" t="str">
        <f ca="1">IF(DAY(ЛисНд1)=1,IF(AND(YEAR(ЛисНд1+28)=КалендарРік,MONTH(ЛисНд1+28)=11),ЛисНд1+28,""),IF(AND(YEAR(ЛисНд1+35)=КалендарРік,MONTH(ЛисНд1+35)=11),ЛисНд1+35,""))</f>
        <v/>
      </c>
      <c r="AB48" s="36"/>
      <c r="AC48" s="39"/>
      <c r="AD48" s="43">
        <f ca="1">IF(DAY(ГруНд1)=1,IF(AND(YEAR(ГруНд1+22)=КалендарРік,MONTH(ГруНд1+22)=12),ГруНд1+22,""),IF(AND(YEAR(ГруНд1+29)=КалендарРік,MONTH(ГруНд1+29)=12),ГруНд1+29,""))</f>
        <v>43822</v>
      </c>
      <c r="AE48" s="43">
        <f ca="1">IF(DAY(ГруНд1)=1,IF(AND(YEAR(ГруНд1+23)=КалендарРік,MONTH(ГруНд1+23)=12),ГруНд1+23,""),IF(AND(YEAR(ГруНд1+30)=КалендарРік,MONTH(ГруНд1+30)=12),ГруНд1+30,""))</f>
        <v>43823</v>
      </c>
      <c r="AF48" s="43">
        <f ca="1">IF(DAY(ГруНд1)=1,IF(AND(YEAR(ГруНд1+24)=КалендарРік,MONTH(ГруНд1+24)=12),ГруНд1+24,""),IF(AND(YEAR(ГруНд1+31)=КалендарРік,MONTH(ГруНд1+31)=12),ГруНд1+31,""))</f>
        <v>43824</v>
      </c>
      <c r="AG48" s="43">
        <f ca="1">IF(DAY(ГруНд1)=1,IF(AND(YEAR(ГруНд1+25)=КалендарРік,MONTH(ГруНд1+25)=12),ГруНд1+25,""),IF(AND(YEAR(ГруНд1+32)=КалендарРік,MONTH(ГруНд1+32)=12),ГруНд1+32,""))</f>
        <v>43825</v>
      </c>
      <c r="AH48" s="43">
        <f ca="1">IF(DAY(ГруНд1)=1,IF(AND(YEAR(ГруНд1+26)=КалендарРік,MONTH(ГруНд1+26)=12),ГруНд1+26,""),IF(AND(YEAR(ГруНд1+33)=КалендарРік,MONTH(ГруНд1+33)=12),ГруНд1+33,""))</f>
        <v>43826</v>
      </c>
      <c r="AI48" s="43">
        <f ca="1">IF(DAY(ГруНд1)=1,IF(AND(YEAR(ГруНд1+27)=КалендарРік,MONTH(ГруНд1+27)=12),ГруНд1+27,""),IF(AND(YEAR(ГруНд1+34)=КалендарРік,MONTH(ГруНд1+34)=12),ГруНд1+34,""))</f>
        <v>43827</v>
      </c>
      <c r="AJ48" s="43">
        <f ca="1">IF(DAY(ГруНд1)=1,IF(AND(YEAR(ГруНд1+28)=КалендарРік,MONTH(ГруНд1+28)=12),ГруНд1+28,""),IF(AND(YEAR(ГруНд1+35)=КалендарРік,MONTH(ГруНд1+35)=12),ГруНд1+35,""))</f>
        <v>43828</v>
      </c>
    </row>
    <row r="49" spans="3:36" x14ac:dyDescent="0.2">
      <c r="C49" s="43">
        <f ca="1">IF(DAY(ВерНд1)=1,IF(AND(YEAR(ВерНд1+29)=КалендарРік,MONTH(ВерНд1+29)=9),ВерНд1+29,""),IF(AND(YEAR(ВерНд1+36)=КалендарРік,MONTH(ВерНд1+36)=9),ВерНд1+36,""))</f>
        <v>43738</v>
      </c>
      <c r="D49" s="43" t="str">
        <f ca="1">IF(DAY(ВерНд1)=1,IF(AND(YEAR(ВерНд1+30)=КалендарРік,MONTH(ВерНд1+30)=9),ВерНд1+30,""),IF(AND(YEAR(ВерНд1+37)=КалендарРік,MONTH(ВерНд1+37)=9),ВерНд1+37,""))</f>
        <v/>
      </c>
      <c r="E49" s="43" t="str">
        <f ca="1">IF(DAY(ВерНд1)=1,IF(AND(YEAR(ВерНд1+31)=КалендарРік,MONTH(ВерНд1+31)=9),ВерНд1+31,""),IF(AND(YEAR(ВерНд1+38)=КалендарРік,MONTH(ВерНд1+38)=9),ВерНд1+38,""))</f>
        <v/>
      </c>
      <c r="F49" s="43" t="str">
        <f ca="1">IF(DAY(ВерНд1)=1,IF(AND(YEAR(ВерНд1+32)=КалендарРік,MONTH(ВерНд1+32)=9),ВерНд1+32,""),IF(AND(YEAR(ВерНд1+39)=КалендарРік,MONTH(ВерНд1+39)=9),ВерНд1+39,""))</f>
        <v/>
      </c>
      <c r="G49" s="43" t="str">
        <f ca="1">IF(DAY(ВерНд1)=1,IF(AND(YEAR(ВерНд1+33)=КалендарРік,MONTH(ВерНд1+33)=9),ВерНд1+33,""),IF(AND(YEAR(ВерНд1+40)=КалендарРік,MONTH(ВерНд1+40)=9),ВерНд1+40,""))</f>
        <v/>
      </c>
      <c r="H49" s="43" t="str">
        <f ca="1">IF(DAY(ВерНд1)=1,IF(AND(YEAR(ВерНд1+34)=КалендарРік,MONTH(ВерНд1+34)=9),ВерНд1+34,""),IF(AND(YEAR(ВерНд1+41)=КалендарРік,MONTH(ВерНд1+41)=9),ВерНд1+41,""))</f>
        <v/>
      </c>
      <c r="I49" s="43" t="str">
        <f ca="1">IF(DAY(ВерНд1)=1,IF(AND(YEAR(ВерНд1+35)=КалендарРік,MONTH(ВерНд1+35)=9),ВерНд1+35,""),IF(AND(YEAR(ВерНд1+42)=КалендарРік,MONTH(ВерНд1+42)=9),ВерНд1+42,""))</f>
        <v/>
      </c>
      <c r="J49" s="36"/>
      <c r="K49" s="39"/>
      <c r="L49" s="43" t="str">
        <f ca="1">IF(DAY(ЖовНд1)=1,IF(AND(YEAR(ЖовНд1+29)=КалендарРік,MONTH(ЖовНд1+29)=10),ЖовНд1+29,""),IF(AND(YEAR(ЖовНд1+36)=КалендарРік,MONTH(ЖовНд1+36)=10),ЖовНд1+36,""))</f>
        <v/>
      </c>
      <c r="M49" s="43" t="str">
        <f ca="1">IF(DAY(ЖовНд1)=1,IF(AND(YEAR(ЖовНд1+30)=КалендарРік,MONTH(ЖовНд1+30)=10),ЖовНд1+30,""),IF(AND(YEAR(ЖовНд1+37)=КалендарРік,MONTH(ЖовНд1+37)=10),ЖовНд1+37,""))</f>
        <v/>
      </c>
      <c r="N49" s="43" t="str">
        <f ca="1">IF(DAY(ЖовНд1)=1,IF(AND(YEAR(ЖовНд1+31)=КалендарРік,MONTH(ЖовНд1+31)=10),ЖовНд1+31,""),IF(AND(YEAR(ЖовНд1+38)=КалендарРік,MONTH(ЖовНд1+38)=10),ЖовНд1+38,""))</f>
        <v/>
      </c>
      <c r="O49" s="43" t="str">
        <f ca="1">IF(DAY(ЖовНд1)=1,IF(AND(YEAR(ЖовНд1+32)=КалендарРік,MONTH(ЖовНд1+32)=10),ЖовНд1+32,""),IF(AND(YEAR(ЖовНд1+39)=КалендарРік,MONTH(ЖовНд1+39)=10),ЖовНд1+39,""))</f>
        <v/>
      </c>
      <c r="P49" s="43" t="str">
        <f ca="1">IF(DAY(ЖовНд1)=1,IF(AND(YEAR(ЖовНд1+33)=КалендарРік,MONTH(ЖовНд1+33)=10),ЖовНд1+33,""),IF(AND(YEAR(ЖовНд1+40)=КалендарРік,MONTH(ЖовНд1+40)=10),ЖовНд1+40,""))</f>
        <v/>
      </c>
      <c r="Q49" s="43" t="str">
        <f ca="1">IF(DAY(ЖовНд1)=1,IF(AND(YEAR(ЖовНд1+34)=КалендарРік,MONTH(ЖовНд1+34)=10),ЖовНд1+34,""),IF(AND(YEAR(ЖовНд1+41)=КалендарРік,MONTH(ЖовНд1+41)=10),ЖовНд1+41,""))</f>
        <v/>
      </c>
      <c r="R49" s="43" t="str">
        <f ca="1">IF(DAY(ЖовНд1)=1,IF(AND(YEAR(ЖовНд1+35)=КалендарРік,MONTH(ЖовНд1+35)=10),ЖовНд1+35,""),IF(AND(YEAR(ЖовНд1+42)=КалендарРік,MONTH(ЖовНд1+42)=10),ЖовНд1+42,""))</f>
        <v/>
      </c>
      <c r="S49" s="36"/>
      <c r="T49" s="40"/>
      <c r="U49" s="43" t="str">
        <f ca="1">IF(DAY(ЛисНд1)=1,IF(AND(YEAR(ЛисНд1+29)=КалендарРік,MONTH(ЛисНд1+29)=11),ЛисНд1+29,""),IF(AND(YEAR(ЛисНд1+36)=КалендарРік,MONTH(ЛисНд1+36)=11),ЛисНд1+36,""))</f>
        <v/>
      </c>
      <c r="V49" s="43" t="str">
        <f ca="1">IF(DAY(ЛисНд1)=1,IF(AND(YEAR(ЛисНд1+30)=КалендарРік,MONTH(ЛисНд1+30)=11),ЛисНд1+30,""),IF(AND(YEAR(ЛисНд1+37)=КалендарРік,MONTH(ЛисНд1+37)=11),ЛисНд1+37,""))</f>
        <v/>
      </c>
      <c r="W49" s="43" t="str">
        <f ca="1">IF(DAY(ЛисНд1)=1,IF(AND(YEAR(ЛисНд1+31)=КалендарРік,MONTH(ЛисНд1+31)=11),ЛисНд1+31,""),IF(AND(YEAR(ЛисНд1+38)=КалендарРік,MONTH(ЛисНд1+38)=11),ЛисНд1+38,""))</f>
        <v/>
      </c>
      <c r="X49" s="43" t="str">
        <f ca="1">IF(DAY(ЛисНд1)=1,IF(AND(YEAR(ЛисНд1+32)=КалендарРік,MONTH(ЛисНд1+32)=11),ЛисНд1+32,""),IF(AND(YEAR(ЛисНд1+39)=КалендарРік,MONTH(ЛисНд1+39)=11),ЛисНд1+39,""))</f>
        <v/>
      </c>
      <c r="Y49" s="43" t="str">
        <f ca="1">IF(DAY(ЛисНд1)=1,IF(AND(YEAR(ЛисНд1+33)=КалендарРік,MONTH(ЛисНд1+33)=11),ЛисНд1+33,""),IF(AND(YEAR(ЛисНд1+40)=КалендарРік,MONTH(ЛисНд1+40)=11),ЛисНд1+40,""))</f>
        <v/>
      </c>
      <c r="Z49" s="43" t="str">
        <f ca="1">IF(DAY(ЛисНд1)=1,IF(AND(YEAR(ЛисНд1+34)=КалендарРік,MONTH(ЛисНд1+34)=11),ЛисНд1+34,""),IF(AND(YEAR(ЛисНд1+41)=КалендарРік,MONTH(ЛисНд1+41)=11),ЛисНд1+41,""))</f>
        <v/>
      </c>
      <c r="AA49" s="43" t="str">
        <f ca="1">IF(DAY(ЛисНд1)=1,IF(AND(YEAR(ЛисНд1+35)=КалендарРік,MONTH(ЛисНд1+35)=11),ЛисНд1+35,""),IF(AND(YEAR(ЛисНд1+42)=КалендарРік,MONTH(ЛисНд1+42)=11),ЛисНд1+42,""))</f>
        <v/>
      </c>
      <c r="AB49" s="36"/>
      <c r="AC49" s="39"/>
      <c r="AD49" s="43">
        <f ca="1">IF(DAY(ГруНд1)=1,IF(AND(YEAR(ГруНд1+29)=КалендарРік,MONTH(ГруНд1+29)=12),ГруНд1+29,""),IF(AND(YEAR(ГруНд1+36)=КалендарРік,MONTH(ГруНд1+36)=12),ГруНд1+36,""))</f>
        <v>43829</v>
      </c>
      <c r="AE49" s="43">
        <f ca="1">IF(DAY(ГруНд1)=1,IF(AND(YEAR(ГруНд1+30)=КалендарРік,MONTH(ГруНд1+30)=12),ГруНд1+30,""),IF(AND(YEAR(ГруНд1+37)=КалендарРік,MONTH(ГруНд1+37)=12),ГруНд1+37,""))</f>
        <v>43830</v>
      </c>
      <c r="AF49" s="43" t="str">
        <f ca="1">IF(DAY(ГруНд1)=1,IF(AND(YEAR(ГруНд1+31)=КалендарРік,MONTH(ГруНд1+31)=12),ГруНд1+31,""),IF(AND(YEAR(ГруНд1+38)=КалендарРік,MONTH(ГруНд1+38)=12),ГруНд1+38,""))</f>
        <v/>
      </c>
      <c r="AG49" s="43" t="str">
        <f ca="1">IF(DAY(ГруНд1)=1,IF(AND(YEAR(ГруНд1+32)=КалендарРік,MONTH(ГруНд1+32)=12),ГруНд1+32,""),IF(AND(YEAR(ГруНд1+39)=КалендарРік,MONTH(ГруНд1+39)=12),ГруНд1+39,""))</f>
        <v/>
      </c>
      <c r="AH49" s="43" t="str">
        <f ca="1">IF(DAY(ГруНд1)=1,IF(AND(YEAR(ГруНд1+33)=КалендарРік,MONTH(ГруНд1+33)=12),ГруНд1+33,""),IF(AND(YEAR(ГруНд1+40)=КалендарРік,MONTH(ГруНд1+40)=12),ГруНд1+40,""))</f>
        <v/>
      </c>
      <c r="AI49" s="43" t="str">
        <f ca="1">IF(DAY(ГруНд1)=1,IF(AND(YEAR(ГруНд1+34)=КалендарРік,MONTH(ГруНд1+34)=12),ГруНд1+34,""),IF(AND(YEAR(ГруНд1+41)=КалендарРік,MONTH(ГруНд1+41)=12),ГруНд1+41,""))</f>
        <v/>
      </c>
      <c r="AJ49" s="43" t="str">
        <f ca="1">IF(DAY(ГруНд1)=1,IF(AND(YEAR(ГруНд1+35)=КалендарРік,MONTH(ГруНд1+35)=12),ГруНд1+35,""),IF(AND(YEAR(ГруНд1+42)=КалендарРік,MONTH(ГруНд1+42)=12),ГруНд1+42,""))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2"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D18:G18"/>
    <mergeCell ref="D19:G19"/>
    <mergeCell ref="D20:G20"/>
    <mergeCell ref="U13:AI13"/>
    <mergeCell ref="U14:AI14"/>
    <mergeCell ref="U15:AI15"/>
    <mergeCell ref="U16:AI16"/>
    <mergeCell ref="U17:AI17"/>
    <mergeCell ref="H6:Q6"/>
    <mergeCell ref="H7:Q7"/>
    <mergeCell ref="H8:Q8"/>
    <mergeCell ref="H9:Q9"/>
    <mergeCell ref="U18:AI18"/>
    <mergeCell ref="D6:G6"/>
    <mergeCell ref="D7:G7"/>
    <mergeCell ref="D8:G8"/>
    <mergeCell ref="D9:G9"/>
    <mergeCell ref="D10:G10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108" priority="1">
      <formula>VLOOKUP(C26,ВажливіДати,1,FALSE)=C26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Лічильник">
              <controlPr defaultSize="0" print="0" autoPict="0" altText="Натисніть цю кнопку лічильника, щоб змінити рік календаря або змінити значення року в клітинці AE3.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Початок</vt:lpstr>
      <vt:lpstr>Календар родини</vt:lpstr>
      <vt:lpstr>'Календар родини'!Print_Area</vt:lpstr>
      <vt:lpstr>ВажливіДати</vt:lpstr>
      <vt:lpstr>КалендарРік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