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B:\Office_Online\technicians\PBarborik\test\"/>
    </mc:Choice>
  </mc:AlternateContent>
  <bookViews>
    <workbookView xWindow="0" yWindow="0" windowWidth="19200" windowHeight="11490" tabRatio="833"/>
  </bookViews>
  <sheets>
    <sheet name="ІНСТРУКЦІЇ" sheetId="9" r:id="rId1"/>
    <sheet name="Список студентів" sheetId="5" r:id="rId2"/>
    <sheet name="Серпень" sheetId="4" r:id="rId3"/>
    <sheet name="Вересень" sheetId="14" r:id="rId4"/>
    <sheet name="Жовтень" sheetId="15" r:id="rId5"/>
    <sheet name="Листопад" sheetId="16" r:id="rId6"/>
    <sheet name="Грудень" sheetId="17" r:id="rId7"/>
    <sheet name="Січень" sheetId="18" r:id="rId8"/>
    <sheet name="Лютий" sheetId="8" r:id="rId9"/>
    <sheet name="Березень" sheetId="19" r:id="rId10"/>
    <sheet name="Квітень" sheetId="20" r:id="rId11"/>
    <sheet name="Травень" sheetId="21" r:id="rId12"/>
    <sheet name="Червень" sheetId="22" r:id="rId13"/>
    <sheet name="Липень" sheetId="23" r:id="rId14"/>
    <sheet name="Звіт про відвідуваність" sheetId="6" r:id="rId15"/>
  </sheets>
  <definedNames>
    <definedName name="Ідентифікаторстудента">Перелікстудентів[Код студента]</definedName>
    <definedName name="Ім’ястудента">Перелікстудентів[Повне ім’я студента]</definedName>
    <definedName name="Календарнийрік">Серпень!$AM$1</definedName>
    <definedName name="Код1">Серпень!$D$3</definedName>
    <definedName name="Код1текст">Серпень!$E$3</definedName>
    <definedName name="Код2">Серпень!$H$3</definedName>
    <definedName name="Код2текст">Серпень!$I$3</definedName>
    <definedName name="Код3">Серпень!$M$3</definedName>
    <definedName name="Код3текст">Серпень!$N$3</definedName>
    <definedName name="Код4">Серпень!$Q$3</definedName>
    <definedName name="Код4текст">Серпень!$R$3</definedName>
    <definedName name="Код5">Серпень!$U$3</definedName>
    <definedName name="Код5текст">Серпень!$V$3</definedName>
    <definedName name="Пошукстудента">'Звіт про відвідуваність'!$B$4</definedName>
    <definedName name="Текстпоясненьдокольорів">Серпень!$C$3</definedName>
  </definedNames>
  <calcPr calcId="152511"/>
</workbook>
</file>

<file path=xl/calcChain.xml><?xml version="1.0" encoding="utf-8"?>
<calcChain xmlns="http://schemas.openxmlformats.org/spreadsheetml/2006/main">
  <c r="A1" i="6" l="1"/>
  <c r="AA12" i="6"/>
  <c r="Z12" i="6"/>
  <c r="W12" i="6"/>
  <c r="V12" i="6"/>
  <c r="R12" i="6"/>
  <c r="Q12" i="6"/>
  <c r="L12" i="6"/>
  <c r="K12" i="6"/>
  <c r="H12" i="6"/>
  <c r="G12" i="6"/>
  <c r="B12" i="6"/>
  <c r="C8" i="14" l="1"/>
  <c r="C9" i="14"/>
  <c r="C10" i="14"/>
  <c r="C11" i="14"/>
  <c r="C7" i="14"/>
  <c r="C8" i="15"/>
  <c r="C9" i="15"/>
  <c r="C10" i="15"/>
  <c r="C11" i="15"/>
  <c r="C7" i="15"/>
  <c r="C8" i="16"/>
  <c r="C9" i="16"/>
  <c r="C10" i="16"/>
  <c r="C11" i="16"/>
  <c r="C7" i="16"/>
  <c r="C8" i="17"/>
  <c r="C9" i="17"/>
  <c r="C10" i="17"/>
  <c r="C11" i="17"/>
  <c r="C7" i="17"/>
  <c r="C8" i="18"/>
  <c r="C9" i="18"/>
  <c r="C10" i="18"/>
  <c r="C11" i="18"/>
  <c r="C7" i="18"/>
  <c r="C8" i="8"/>
  <c r="C9" i="8"/>
  <c r="C10" i="8"/>
  <c r="C11" i="8"/>
  <c r="C7" i="8"/>
  <c r="C8" i="23"/>
  <c r="C9" i="23"/>
  <c r="C10" i="23"/>
  <c r="C11" i="23"/>
  <c r="C7" i="23"/>
  <c r="E12" i="23"/>
  <c r="F12" i="23"/>
  <c r="G12" i="23"/>
  <c r="H12" i="23"/>
  <c r="I12" i="23"/>
  <c r="J12" i="23"/>
  <c r="K12" i="23"/>
  <c r="L12" i="23"/>
  <c r="M12" i="23"/>
  <c r="N12" i="23"/>
  <c r="O12" i="23"/>
  <c r="P12" i="23"/>
  <c r="Q12" i="23"/>
  <c r="R12" i="23"/>
  <c r="S12" i="23"/>
  <c r="T12" i="23"/>
  <c r="U12" i="23"/>
  <c r="V12" i="23"/>
  <c r="W12" i="23"/>
  <c r="X12" i="23"/>
  <c r="Y12" i="23"/>
  <c r="Z12" i="23"/>
  <c r="AA12" i="23"/>
  <c r="AB12" i="23"/>
  <c r="AC12" i="23"/>
  <c r="AD12" i="23"/>
  <c r="AE12" i="23"/>
  <c r="AF12" i="23"/>
  <c r="AG12" i="23"/>
  <c r="AH12" i="23"/>
  <c r="D12" i="23"/>
  <c r="C8" i="22"/>
  <c r="C9" i="22"/>
  <c r="C10" i="22"/>
  <c r="C11" i="22"/>
  <c r="C7"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D12" i="22"/>
  <c r="C8" i="21"/>
  <c r="C9" i="21"/>
  <c r="C10" i="21"/>
  <c r="C11" i="21"/>
  <c r="C7" i="21"/>
  <c r="E12" i="21"/>
  <c r="F12" i="21"/>
  <c r="G12" i="21"/>
  <c r="H12" i="21"/>
  <c r="I12" i="21"/>
  <c r="J12" i="21"/>
  <c r="K12" i="21"/>
  <c r="L12" i="21"/>
  <c r="M12" i="21"/>
  <c r="N12" i="21"/>
  <c r="O12" i="21"/>
  <c r="P12" i="21"/>
  <c r="Q12" i="21"/>
  <c r="R12" i="21"/>
  <c r="S12" i="21"/>
  <c r="T12" i="21"/>
  <c r="U12" i="21"/>
  <c r="V12" i="21"/>
  <c r="W12" i="21"/>
  <c r="X12" i="21"/>
  <c r="Y12" i="21"/>
  <c r="Z12" i="21"/>
  <c r="AA12" i="21"/>
  <c r="AB12" i="21"/>
  <c r="AC12" i="21"/>
  <c r="AD12" i="21"/>
  <c r="AE12" i="21"/>
  <c r="AF12" i="21"/>
  <c r="AG12" i="21"/>
  <c r="AH12" i="21"/>
  <c r="D12" i="21"/>
  <c r="C8" i="20"/>
  <c r="C9" i="20"/>
  <c r="C10" i="20"/>
  <c r="C11" i="20"/>
  <c r="C7" i="20"/>
  <c r="E12" i="20"/>
  <c r="F12" i="20"/>
  <c r="G12" i="20"/>
  <c r="H12" i="20"/>
  <c r="I12" i="20"/>
  <c r="J12" i="20"/>
  <c r="K12" i="20"/>
  <c r="L12" i="20"/>
  <c r="M12" i="20"/>
  <c r="N12" i="20"/>
  <c r="O12" i="20"/>
  <c r="P12" i="20"/>
  <c r="Q12" i="20"/>
  <c r="R12" i="20"/>
  <c r="S12" i="20"/>
  <c r="T12" i="20"/>
  <c r="U12" i="20"/>
  <c r="V12" i="20"/>
  <c r="W12" i="20"/>
  <c r="X12" i="20"/>
  <c r="Y12" i="20"/>
  <c r="Z12" i="20"/>
  <c r="AA12" i="20"/>
  <c r="AB12" i="20"/>
  <c r="AC12" i="20"/>
  <c r="AD12" i="20"/>
  <c r="AE12" i="20"/>
  <c r="AF12" i="20"/>
  <c r="AG12" i="20"/>
  <c r="AH12" i="20"/>
  <c r="D12" i="20"/>
  <c r="C8" i="19"/>
  <c r="C9" i="19"/>
  <c r="C10" i="19"/>
  <c r="C11" i="19"/>
  <c r="C7" i="19"/>
  <c r="E12" i="19"/>
  <c r="F12" i="19"/>
  <c r="G12" i="19"/>
  <c r="H12" i="19"/>
  <c r="I12" i="19"/>
  <c r="J12" i="19"/>
  <c r="K12" i="19"/>
  <c r="L12" i="19"/>
  <c r="M12" i="19"/>
  <c r="N12" i="19"/>
  <c r="O12" i="19"/>
  <c r="P12" i="19"/>
  <c r="Q12" i="19"/>
  <c r="R12" i="19"/>
  <c r="S12" i="19"/>
  <c r="T12" i="19"/>
  <c r="U12" i="19"/>
  <c r="V12" i="19"/>
  <c r="W12" i="19"/>
  <c r="X12" i="19"/>
  <c r="Y12" i="19"/>
  <c r="Z12" i="19"/>
  <c r="AA12" i="19"/>
  <c r="AB12" i="19"/>
  <c r="AC12" i="19"/>
  <c r="AD12" i="19"/>
  <c r="AE12" i="19"/>
  <c r="AF12" i="19"/>
  <c r="AG12" i="19"/>
  <c r="AH12" i="19"/>
  <c r="D12" i="19"/>
  <c r="E12" i="8"/>
  <c r="F12" i="8"/>
  <c r="G12" i="8"/>
  <c r="H12" i="8"/>
  <c r="I12" i="8"/>
  <c r="J12" i="8"/>
  <c r="K12" i="8"/>
  <c r="L12" i="8"/>
  <c r="M12" i="8"/>
  <c r="N12" i="8"/>
  <c r="O12" i="8"/>
  <c r="P12" i="8"/>
  <c r="Q12" i="8"/>
  <c r="R12" i="8"/>
  <c r="S12" i="8"/>
  <c r="T12" i="8"/>
  <c r="U12" i="8"/>
  <c r="V12" i="8"/>
  <c r="W12" i="8"/>
  <c r="X12" i="8"/>
  <c r="Y12" i="8"/>
  <c r="Z12" i="8"/>
  <c r="AA12" i="8"/>
  <c r="AB12" i="8"/>
  <c r="AC12" i="8"/>
  <c r="AD12" i="8"/>
  <c r="AE12" i="8"/>
  <c r="AF12" i="8"/>
  <c r="AG12" i="8"/>
  <c r="AH12" i="8"/>
  <c r="D12" i="8"/>
  <c r="D12" i="18"/>
  <c r="E12" i="18" l="1"/>
  <c r="F12" i="18"/>
  <c r="G12" i="18"/>
  <c r="H12" i="18"/>
  <c r="I12" i="18"/>
  <c r="J12" i="18"/>
  <c r="K12" i="18"/>
  <c r="L12" i="18"/>
  <c r="M12" i="18"/>
  <c r="N12" i="18"/>
  <c r="O12" i="18"/>
  <c r="P12" i="18"/>
  <c r="Q12" i="18"/>
  <c r="R12" i="18"/>
  <c r="S12" i="18"/>
  <c r="T12" i="18"/>
  <c r="U12" i="18"/>
  <c r="V12" i="18"/>
  <c r="W12" i="18"/>
  <c r="X12" i="18"/>
  <c r="Y12" i="18"/>
  <c r="Z12" i="18"/>
  <c r="AA12" i="18"/>
  <c r="AB12" i="18"/>
  <c r="AC12" i="18"/>
  <c r="AD12" i="18"/>
  <c r="AE12" i="18"/>
  <c r="AF12" i="18"/>
  <c r="AG12" i="18"/>
  <c r="AH12" i="18"/>
  <c r="V3" i="17"/>
  <c r="U3" i="17"/>
  <c r="R3" i="17"/>
  <c r="Q3" i="17"/>
  <c r="N3" i="17"/>
  <c r="E12" i="17"/>
  <c r="F12" i="17"/>
  <c r="G12" i="17"/>
  <c r="H12" i="17"/>
  <c r="I12" i="17"/>
  <c r="J12" i="17"/>
  <c r="K12" i="17"/>
  <c r="L12" i="17"/>
  <c r="M12" i="17"/>
  <c r="N12" i="17"/>
  <c r="O12" i="17"/>
  <c r="P12" i="17"/>
  <c r="Q12" i="17"/>
  <c r="R12" i="17"/>
  <c r="S12" i="17"/>
  <c r="T12" i="17"/>
  <c r="U12" i="17"/>
  <c r="V12" i="17"/>
  <c r="W12" i="17"/>
  <c r="X12" i="17"/>
  <c r="Y12" i="17"/>
  <c r="Z12" i="17"/>
  <c r="AA12" i="17"/>
  <c r="AB12" i="17"/>
  <c r="AC12" i="17"/>
  <c r="AD12" i="17"/>
  <c r="AE12" i="17"/>
  <c r="AF12" i="17"/>
  <c r="AG12" i="17"/>
  <c r="AH12" i="17"/>
  <c r="D12" i="17"/>
  <c r="E12" i="16"/>
  <c r="F12" i="16"/>
  <c r="G12" i="16"/>
  <c r="H12" i="16"/>
  <c r="I12" i="16"/>
  <c r="J12" i="16"/>
  <c r="K12" i="16"/>
  <c r="L12" i="16"/>
  <c r="M12" i="16"/>
  <c r="N12" i="16"/>
  <c r="O12" i="16"/>
  <c r="P12" i="16"/>
  <c r="Q12" i="16"/>
  <c r="R12" i="16"/>
  <c r="S12" i="16"/>
  <c r="T12" i="16"/>
  <c r="U12" i="16"/>
  <c r="V12" i="16"/>
  <c r="W12" i="16"/>
  <c r="X12" i="16"/>
  <c r="Y12" i="16"/>
  <c r="Z12" i="16"/>
  <c r="AA12" i="16"/>
  <c r="AB12" i="16"/>
  <c r="AC12" i="16"/>
  <c r="AD12" i="16"/>
  <c r="AE12" i="16"/>
  <c r="AF12" i="16"/>
  <c r="AG12" i="16"/>
  <c r="AH12" i="16"/>
  <c r="D12" i="16"/>
  <c r="E12" i="15"/>
  <c r="F12" i="15"/>
  <c r="G12" i="15"/>
  <c r="H12" i="15"/>
  <c r="I12" i="15"/>
  <c r="J12" i="15"/>
  <c r="K12" i="15"/>
  <c r="L12" i="15"/>
  <c r="M12" i="15"/>
  <c r="N12" i="15"/>
  <c r="O12" i="15"/>
  <c r="P12" i="15"/>
  <c r="Q12" i="15"/>
  <c r="R12" i="15"/>
  <c r="S12" i="15"/>
  <c r="T12" i="15"/>
  <c r="U12" i="15"/>
  <c r="V12" i="15"/>
  <c r="W12" i="15"/>
  <c r="X12" i="15"/>
  <c r="Y12" i="15"/>
  <c r="Z12" i="15"/>
  <c r="AA12" i="15"/>
  <c r="AB12" i="15"/>
  <c r="AC12" i="15"/>
  <c r="AD12" i="15"/>
  <c r="AE12" i="15"/>
  <c r="AF12" i="15"/>
  <c r="AG12" i="15"/>
  <c r="AH12" i="15"/>
  <c r="D12" i="15"/>
  <c r="E12" i="14"/>
  <c r="F12" i="14"/>
  <c r="G12" i="14"/>
  <c r="H12" i="14"/>
  <c r="I12" i="14"/>
  <c r="J12" i="14"/>
  <c r="K12" i="14"/>
  <c r="L12" i="14"/>
  <c r="M12" i="14"/>
  <c r="N12" i="14"/>
  <c r="O12" i="14"/>
  <c r="P12" i="14"/>
  <c r="Q12" i="14"/>
  <c r="R12" i="14"/>
  <c r="S12" i="14"/>
  <c r="T12" i="14"/>
  <c r="U12" i="14"/>
  <c r="V12" i="14"/>
  <c r="W12" i="14"/>
  <c r="X12" i="14"/>
  <c r="Y12" i="14"/>
  <c r="Z12" i="14"/>
  <c r="AA12" i="14"/>
  <c r="AB12" i="14"/>
  <c r="AC12" i="14"/>
  <c r="AD12" i="14"/>
  <c r="AE12" i="14"/>
  <c r="AF12" i="14"/>
  <c r="AG12" i="14"/>
  <c r="AH12" i="14"/>
  <c r="D12" i="14"/>
  <c r="E12" i="4" l="1"/>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D12" i="4"/>
  <c r="C8" i="4"/>
  <c r="C10" i="4"/>
  <c r="C7" i="4"/>
  <c r="S5" i="5"/>
  <c r="S6" i="5"/>
  <c r="C9" i="4" s="1"/>
  <c r="S7" i="5"/>
  <c r="S8" i="5"/>
  <c r="C11" i="4" s="1"/>
  <c r="S4" i="5"/>
  <c r="AG39" i="6" l="1"/>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AF37" i="6"/>
  <c r="AE37"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AG35" i="6"/>
  <c r="AF35" i="6"/>
  <c r="AE35"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F33" i="6"/>
  <c r="AE33"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G31" i="6"/>
  <c r="AF31" i="6"/>
  <c r="AE31"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G27" i="6"/>
  <c r="AF27" i="6"/>
  <c r="AE27" i="6"/>
  <c r="AD27" i="6"/>
  <c r="AC27" i="6"/>
  <c r="AB27" i="6"/>
  <c r="AA27" i="6"/>
  <c r="Z27" i="6"/>
  <c r="Y27" i="6"/>
  <c r="X27" i="6"/>
  <c r="W27" i="6"/>
  <c r="V27" i="6"/>
  <c r="U27" i="6"/>
  <c r="T27" i="6"/>
  <c r="S27" i="6"/>
  <c r="R27" i="6"/>
  <c r="Q27" i="6"/>
  <c r="P27" i="6"/>
  <c r="O27" i="6"/>
  <c r="N27" i="6"/>
  <c r="M27" i="6"/>
  <c r="L27" i="6"/>
  <c r="K27" i="6"/>
  <c r="J27" i="6"/>
  <c r="I27" i="6"/>
  <c r="H27" i="6"/>
  <c r="G27" i="6"/>
  <c r="F27" i="6"/>
  <c r="E27" i="6"/>
  <c r="D27" i="6"/>
  <c r="C27" i="6"/>
  <c r="AG25" i="6"/>
  <c r="AF25" i="6"/>
  <c r="AE25" i="6"/>
  <c r="AD25" i="6"/>
  <c r="AC25" i="6"/>
  <c r="AB25" i="6"/>
  <c r="AA25" i="6"/>
  <c r="Z25" i="6"/>
  <c r="Y25" i="6"/>
  <c r="X25" i="6"/>
  <c r="W25" i="6"/>
  <c r="V25" i="6"/>
  <c r="U25" i="6"/>
  <c r="T25" i="6"/>
  <c r="S25" i="6"/>
  <c r="R25" i="6"/>
  <c r="Q25" i="6"/>
  <c r="P25" i="6"/>
  <c r="O25" i="6"/>
  <c r="N25" i="6"/>
  <c r="M25" i="6"/>
  <c r="L25" i="6"/>
  <c r="K25" i="6"/>
  <c r="J25" i="6"/>
  <c r="I25" i="6"/>
  <c r="H25" i="6"/>
  <c r="G25" i="6"/>
  <c r="F25" i="6"/>
  <c r="E25" i="6"/>
  <c r="D25" i="6"/>
  <c r="C25" i="6"/>
  <c r="AF23" i="6"/>
  <c r="AE23" i="6"/>
  <c r="AD23" i="6"/>
  <c r="AC23" i="6"/>
  <c r="AB23" i="6"/>
  <c r="AA23" i="6"/>
  <c r="Z23" i="6"/>
  <c r="Y23" i="6"/>
  <c r="X23" i="6"/>
  <c r="W23" i="6"/>
  <c r="V23" i="6"/>
  <c r="U23" i="6"/>
  <c r="T23" i="6"/>
  <c r="S23" i="6"/>
  <c r="R23" i="6"/>
  <c r="Q23" i="6"/>
  <c r="P23" i="6"/>
  <c r="O23" i="6"/>
  <c r="N23" i="6"/>
  <c r="M23" i="6"/>
  <c r="L23" i="6"/>
  <c r="K23" i="6"/>
  <c r="J23" i="6"/>
  <c r="I23" i="6"/>
  <c r="H23" i="6"/>
  <c r="G23" i="6"/>
  <c r="F23" i="6"/>
  <c r="E23" i="6"/>
  <c r="D23" i="6"/>
  <c r="C23" i="6"/>
  <c r="AG21" i="6"/>
  <c r="AF21" i="6"/>
  <c r="AE21" i="6"/>
  <c r="AD21" i="6"/>
  <c r="AC21" i="6"/>
  <c r="AB21" i="6"/>
  <c r="AA21" i="6"/>
  <c r="Z21" i="6"/>
  <c r="Y21" i="6"/>
  <c r="X21" i="6"/>
  <c r="W21" i="6"/>
  <c r="V21" i="6"/>
  <c r="U21" i="6"/>
  <c r="T21" i="6"/>
  <c r="S21" i="6"/>
  <c r="R21" i="6"/>
  <c r="Q21" i="6"/>
  <c r="P21" i="6"/>
  <c r="O21" i="6"/>
  <c r="N21" i="6"/>
  <c r="M21" i="6"/>
  <c r="L21" i="6"/>
  <c r="K21" i="6"/>
  <c r="J21" i="6"/>
  <c r="I21" i="6"/>
  <c r="H21" i="6"/>
  <c r="G21" i="6"/>
  <c r="F21" i="6"/>
  <c r="E21" i="6"/>
  <c r="D21" i="6"/>
  <c r="C21" i="6"/>
  <c r="AH5" i="23"/>
  <c r="AG5" i="23"/>
  <c r="AF5" i="23"/>
  <c r="AE5" i="23"/>
  <c r="AD5" i="23"/>
  <c r="AC5" i="23"/>
  <c r="AB5" i="23"/>
  <c r="AA5" i="23"/>
  <c r="Z5" i="23"/>
  <c r="Y5" i="23"/>
  <c r="X5" i="23"/>
  <c r="W5" i="23"/>
  <c r="V5" i="23"/>
  <c r="U5" i="23"/>
  <c r="T5" i="23"/>
  <c r="S5" i="23"/>
  <c r="R5" i="23"/>
  <c r="Q5" i="23"/>
  <c r="P5" i="23"/>
  <c r="O5" i="23"/>
  <c r="N5" i="23"/>
  <c r="M5" i="23"/>
  <c r="L5" i="23"/>
  <c r="K5" i="23"/>
  <c r="J5" i="23"/>
  <c r="I5" i="23"/>
  <c r="H5" i="23"/>
  <c r="G5" i="23"/>
  <c r="F5" i="23"/>
  <c r="E5" i="23"/>
  <c r="D5" i="23"/>
  <c r="B5" i="23"/>
  <c r="AG5" i="22"/>
  <c r="AF5" i="22"/>
  <c r="AE5" i="22"/>
  <c r="AD5" i="22"/>
  <c r="AC5" i="22"/>
  <c r="AB5" i="22"/>
  <c r="AA5" i="22"/>
  <c r="Z5" i="22"/>
  <c r="Y5" i="22"/>
  <c r="X5" i="22"/>
  <c r="W5" i="22"/>
  <c r="V5" i="22"/>
  <c r="U5" i="22"/>
  <c r="T5" i="22"/>
  <c r="S5" i="22"/>
  <c r="R5" i="22"/>
  <c r="Q5" i="22"/>
  <c r="P5" i="22"/>
  <c r="O5" i="22"/>
  <c r="N5" i="22"/>
  <c r="M5" i="22"/>
  <c r="L5" i="22"/>
  <c r="K5" i="22"/>
  <c r="J5" i="22"/>
  <c r="I5" i="22"/>
  <c r="H5" i="22"/>
  <c r="G5" i="22"/>
  <c r="F5" i="22"/>
  <c r="E5" i="22"/>
  <c r="D5" i="22"/>
  <c r="B5" i="22"/>
  <c r="AL11" i="23"/>
  <c r="AK11" i="23"/>
  <c r="AJ11" i="23"/>
  <c r="AI11" i="23"/>
  <c r="AL10" i="23"/>
  <c r="AK10" i="23"/>
  <c r="AJ10" i="23"/>
  <c r="AI10" i="23"/>
  <c r="AL9" i="23"/>
  <c r="AK9" i="23"/>
  <c r="AJ9" i="23"/>
  <c r="AI9" i="23"/>
  <c r="AL8" i="23"/>
  <c r="AK8" i="23"/>
  <c r="AJ8" i="23"/>
  <c r="AI8" i="23"/>
  <c r="AL7" i="23"/>
  <c r="AK7" i="23"/>
  <c r="AK12" i="23" s="1"/>
  <c r="AJ7" i="23"/>
  <c r="AJ12" i="23" s="1"/>
  <c r="AI7" i="23"/>
  <c r="AI12" i="23" s="1"/>
  <c r="V3" i="23"/>
  <c r="U3" i="23"/>
  <c r="R3" i="23"/>
  <c r="Q3" i="23"/>
  <c r="N3" i="23"/>
  <c r="M3" i="23"/>
  <c r="I3" i="23"/>
  <c r="H3" i="23"/>
  <c r="E3" i="23"/>
  <c r="D3" i="23"/>
  <c r="C3" i="23"/>
  <c r="AM1" i="23"/>
  <c r="AL11" i="22"/>
  <c r="AK11" i="22"/>
  <c r="AJ11" i="22"/>
  <c r="AI11" i="22"/>
  <c r="AL10" i="22"/>
  <c r="AK10" i="22"/>
  <c r="AJ10" i="22"/>
  <c r="AI10" i="22"/>
  <c r="AL9" i="22"/>
  <c r="AK9" i="22"/>
  <c r="AJ9" i="22"/>
  <c r="AI9" i="22"/>
  <c r="AL8" i="22"/>
  <c r="AK8" i="22"/>
  <c r="AJ8" i="22"/>
  <c r="AI8" i="22"/>
  <c r="AL7" i="22"/>
  <c r="AK7" i="22"/>
  <c r="AJ7" i="22"/>
  <c r="AJ12" i="22" s="1"/>
  <c r="AI7" i="22"/>
  <c r="V3" i="22"/>
  <c r="U3" i="22"/>
  <c r="R3" i="22"/>
  <c r="Q3" i="22"/>
  <c r="N3" i="22"/>
  <c r="M3" i="22"/>
  <c r="I3" i="22"/>
  <c r="H3" i="22"/>
  <c r="E3" i="22"/>
  <c r="D3" i="22"/>
  <c r="C3" i="22"/>
  <c r="AM1" i="22"/>
  <c r="AH5" i="21"/>
  <c r="AG5" i="21"/>
  <c r="AF5" i="21"/>
  <c r="AE5" i="21"/>
  <c r="AD5" i="21"/>
  <c r="AC5" i="21"/>
  <c r="AB5" i="21"/>
  <c r="AA5" i="21"/>
  <c r="Z5" i="21"/>
  <c r="Y5" i="21"/>
  <c r="X5" i="21"/>
  <c r="W5" i="21"/>
  <c r="V5" i="21"/>
  <c r="U5" i="21"/>
  <c r="T5" i="21"/>
  <c r="S5" i="21"/>
  <c r="R5" i="21"/>
  <c r="Q5" i="21"/>
  <c r="P5" i="21"/>
  <c r="O5" i="21"/>
  <c r="N5" i="21"/>
  <c r="M5" i="21"/>
  <c r="L5" i="21"/>
  <c r="K5" i="21"/>
  <c r="J5" i="21"/>
  <c r="I5" i="21"/>
  <c r="H5" i="21"/>
  <c r="G5" i="21"/>
  <c r="F5" i="21"/>
  <c r="E5" i="21"/>
  <c r="D5" i="21"/>
  <c r="B5" i="21"/>
  <c r="AG5" i="20"/>
  <c r="AF5" i="20"/>
  <c r="AE5" i="20"/>
  <c r="AD5" i="20"/>
  <c r="AC5" i="20"/>
  <c r="AB5" i="20"/>
  <c r="AA5" i="20"/>
  <c r="Z5" i="20"/>
  <c r="Y5" i="20"/>
  <c r="X5" i="20"/>
  <c r="W5" i="20"/>
  <c r="V5" i="20"/>
  <c r="U5" i="20"/>
  <c r="T5" i="20"/>
  <c r="S5" i="20"/>
  <c r="R5" i="20"/>
  <c r="Q5" i="20"/>
  <c r="P5" i="20"/>
  <c r="O5" i="20"/>
  <c r="N5" i="20"/>
  <c r="M5" i="20"/>
  <c r="L5" i="20"/>
  <c r="K5" i="20"/>
  <c r="J5" i="20"/>
  <c r="I5" i="20"/>
  <c r="H5" i="20"/>
  <c r="G5" i="20"/>
  <c r="F5" i="20"/>
  <c r="E5" i="20"/>
  <c r="D5" i="20"/>
  <c r="B5" i="20"/>
  <c r="AL11" i="21"/>
  <c r="AK11" i="21"/>
  <c r="AJ11" i="21"/>
  <c r="AI11" i="21"/>
  <c r="AL10" i="21"/>
  <c r="AK10" i="21"/>
  <c r="AJ10" i="21"/>
  <c r="AI10" i="21"/>
  <c r="AL9" i="21"/>
  <c r="AK9" i="21"/>
  <c r="AJ9" i="21"/>
  <c r="AI9" i="21"/>
  <c r="AL8" i="21"/>
  <c r="AK8" i="21"/>
  <c r="AJ8" i="21"/>
  <c r="AI8" i="21"/>
  <c r="AL7" i="21"/>
  <c r="AL12" i="21" s="1"/>
  <c r="AK7" i="21"/>
  <c r="AJ7" i="21"/>
  <c r="AJ12" i="21" s="1"/>
  <c r="AI7" i="21"/>
  <c r="AI12" i="21" s="1"/>
  <c r="V3" i="21"/>
  <c r="U3" i="21"/>
  <c r="R3" i="21"/>
  <c r="Q3" i="21"/>
  <c r="N3" i="21"/>
  <c r="M3" i="21"/>
  <c r="I3" i="21"/>
  <c r="H3" i="21"/>
  <c r="E3" i="21"/>
  <c r="D3" i="21"/>
  <c r="C3" i="21"/>
  <c r="AM1" i="21"/>
  <c r="AL11" i="20"/>
  <c r="AK11" i="20"/>
  <c r="AJ11" i="20"/>
  <c r="AI11" i="20"/>
  <c r="AL10" i="20"/>
  <c r="AK10" i="20"/>
  <c r="AJ10" i="20"/>
  <c r="AI10" i="20"/>
  <c r="AL9" i="20"/>
  <c r="AK9" i="20"/>
  <c r="AJ9" i="20"/>
  <c r="AI9" i="20"/>
  <c r="AL8" i="20"/>
  <c r="AK8" i="20"/>
  <c r="AJ8" i="20"/>
  <c r="AI8" i="20"/>
  <c r="AL7" i="20"/>
  <c r="AK7" i="20"/>
  <c r="AJ7" i="20"/>
  <c r="AJ12" i="20" s="1"/>
  <c r="AI7" i="20"/>
  <c r="V3" i="20"/>
  <c r="U3" i="20"/>
  <c r="R3" i="20"/>
  <c r="Q3" i="20"/>
  <c r="N3" i="20"/>
  <c r="M3" i="20"/>
  <c r="I3" i="20"/>
  <c r="H3" i="20"/>
  <c r="E3" i="20"/>
  <c r="D3" i="20"/>
  <c r="C3" i="20"/>
  <c r="AM1" i="20"/>
  <c r="AH5" i="19"/>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B5" i="19"/>
  <c r="AL11" i="19"/>
  <c r="AK11" i="19"/>
  <c r="AJ11" i="19"/>
  <c r="AI11" i="19"/>
  <c r="AL10" i="19"/>
  <c r="AK10" i="19"/>
  <c r="AJ10" i="19"/>
  <c r="AI10" i="19"/>
  <c r="AL9" i="19"/>
  <c r="AK9" i="19"/>
  <c r="AJ9" i="19"/>
  <c r="AI9" i="19"/>
  <c r="AL8" i="19"/>
  <c r="AK8" i="19"/>
  <c r="AJ8" i="19"/>
  <c r="AI8" i="19"/>
  <c r="AL7" i="19"/>
  <c r="AK7" i="19"/>
  <c r="AK12" i="19" s="1"/>
  <c r="AJ7" i="19"/>
  <c r="AI7" i="19"/>
  <c r="AI12" i="19" s="1"/>
  <c r="V3" i="19"/>
  <c r="U3" i="19"/>
  <c r="R3" i="19"/>
  <c r="Q3" i="19"/>
  <c r="N3" i="19"/>
  <c r="M3" i="19"/>
  <c r="I3" i="19"/>
  <c r="H3" i="19"/>
  <c r="E3" i="19"/>
  <c r="D3" i="19"/>
  <c r="C3" i="19"/>
  <c r="AM1" i="19"/>
  <c r="B5" i="17"/>
  <c r="B5" i="16"/>
  <c r="B5" i="15"/>
  <c r="AH5" i="18"/>
  <c r="AG5" i="18"/>
  <c r="AF5" i="18"/>
  <c r="AE5" i="18"/>
  <c r="AD5" i="18"/>
  <c r="AC5" i="18"/>
  <c r="AB5" i="18"/>
  <c r="AA5" i="18"/>
  <c r="Z5" i="18"/>
  <c r="Y5" i="18"/>
  <c r="X5" i="18"/>
  <c r="W5" i="18"/>
  <c r="V5" i="18"/>
  <c r="U5" i="18"/>
  <c r="T5" i="18"/>
  <c r="S5" i="18"/>
  <c r="R5" i="18"/>
  <c r="Q5" i="18"/>
  <c r="P5" i="18"/>
  <c r="O5" i="18"/>
  <c r="N5" i="18"/>
  <c r="M5" i="18"/>
  <c r="L5" i="18"/>
  <c r="K5" i="18"/>
  <c r="J5" i="18"/>
  <c r="I5" i="18"/>
  <c r="H5" i="18"/>
  <c r="G5" i="18"/>
  <c r="F5" i="18"/>
  <c r="E5" i="18"/>
  <c r="D5" i="18"/>
  <c r="B5" i="18"/>
  <c r="AL11" i="18"/>
  <c r="AK11" i="18"/>
  <c r="AJ11" i="18"/>
  <c r="AI11" i="18"/>
  <c r="AL10" i="18"/>
  <c r="AK10" i="18"/>
  <c r="AJ10" i="18"/>
  <c r="AI10" i="18"/>
  <c r="AL9" i="18"/>
  <c r="AK9" i="18"/>
  <c r="AJ9" i="18"/>
  <c r="AI9" i="18"/>
  <c r="AL8" i="18"/>
  <c r="AK8" i="18"/>
  <c r="AJ8" i="18"/>
  <c r="AI8" i="18"/>
  <c r="AL7" i="18"/>
  <c r="AK7" i="18"/>
  <c r="AJ7" i="18"/>
  <c r="AI7" i="18"/>
  <c r="AI12" i="18" s="1"/>
  <c r="V3" i="18"/>
  <c r="U3" i="18"/>
  <c r="R3" i="18"/>
  <c r="Q3" i="18"/>
  <c r="N3" i="18"/>
  <c r="M3" i="18"/>
  <c r="I3" i="18"/>
  <c r="H3" i="18"/>
  <c r="E3" i="18"/>
  <c r="D3" i="18"/>
  <c r="C3" i="18"/>
  <c r="AM1" i="18"/>
  <c r="AH5" i="17"/>
  <c r="AG5" i="17"/>
  <c r="AF5" i="17"/>
  <c r="AE5" i="17"/>
  <c r="AD5" i="17"/>
  <c r="AC5" i="17"/>
  <c r="AB5" i="17"/>
  <c r="AA5" i="17"/>
  <c r="Z5" i="17"/>
  <c r="Y5" i="17"/>
  <c r="X5" i="17"/>
  <c r="W5" i="17"/>
  <c r="V5" i="17"/>
  <c r="U5" i="17"/>
  <c r="T5" i="17"/>
  <c r="S5" i="17"/>
  <c r="R5" i="17"/>
  <c r="Q5" i="17"/>
  <c r="P5" i="17"/>
  <c r="O5" i="17"/>
  <c r="N5" i="17"/>
  <c r="M5" i="17"/>
  <c r="L5" i="17"/>
  <c r="K5" i="17"/>
  <c r="J5" i="17"/>
  <c r="I5" i="17"/>
  <c r="H5" i="17"/>
  <c r="G5" i="17"/>
  <c r="F5" i="17"/>
  <c r="E5" i="17"/>
  <c r="D5" i="17"/>
  <c r="AL11" i="17"/>
  <c r="AK11" i="17"/>
  <c r="AJ11" i="17"/>
  <c r="AI11" i="17"/>
  <c r="AL10" i="17"/>
  <c r="AK10" i="17"/>
  <c r="AJ10" i="17"/>
  <c r="AI10" i="17"/>
  <c r="AL9" i="17"/>
  <c r="AK9" i="17"/>
  <c r="AJ9" i="17"/>
  <c r="AI9" i="17"/>
  <c r="AL8" i="17"/>
  <c r="AK8" i="17"/>
  <c r="AJ8" i="17"/>
  <c r="AI8" i="17"/>
  <c r="AL7" i="17"/>
  <c r="AL12" i="17" s="1"/>
  <c r="AK7" i="17"/>
  <c r="AK12" i="17" s="1"/>
  <c r="AJ7" i="17"/>
  <c r="AI7" i="17"/>
  <c r="M3" i="17"/>
  <c r="I3" i="17"/>
  <c r="H3" i="17"/>
  <c r="E3" i="17"/>
  <c r="D3" i="17"/>
  <c r="C3" i="17"/>
  <c r="AM1" i="17"/>
  <c r="AG5" i="16"/>
  <c r="AF5" i="16"/>
  <c r="AE5" i="16"/>
  <c r="AD5" i="16"/>
  <c r="AC5" i="16"/>
  <c r="AB5" i="16"/>
  <c r="AA5" i="16"/>
  <c r="Z5" i="16"/>
  <c r="Y5" i="16"/>
  <c r="X5" i="16"/>
  <c r="W5" i="16"/>
  <c r="V5" i="16"/>
  <c r="U5" i="16"/>
  <c r="T5" i="16"/>
  <c r="S5" i="16"/>
  <c r="R5" i="16"/>
  <c r="Q5" i="16"/>
  <c r="P5" i="16"/>
  <c r="O5" i="16"/>
  <c r="N5" i="16"/>
  <c r="M5" i="16"/>
  <c r="L5" i="16"/>
  <c r="K5" i="16"/>
  <c r="J5" i="16"/>
  <c r="I5" i="16"/>
  <c r="H5" i="16"/>
  <c r="G5" i="16"/>
  <c r="F5" i="16"/>
  <c r="E5" i="16"/>
  <c r="D5" i="16"/>
  <c r="AH5" i="15"/>
  <c r="AG5" i="15"/>
  <c r="AF5" i="15"/>
  <c r="AE5" i="15"/>
  <c r="AD5" i="15"/>
  <c r="AC5" i="15"/>
  <c r="AB5" i="15"/>
  <c r="AA5" i="15"/>
  <c r="Z5" i="15"/>
  <c r="Y5" i="15"/>
  <c r="X5" i="15"/>
  <c r="W5" i="15"/>
  <c r="V5" i="15"/>
  <c r="U5" i="15"/>
  <c r="T5" i="15"/>
  <c r="S5" i="15"/>
  <c r="R5" i="15"/>
  <c r="Q5" i="15"/>
  <c r="P5" i="15"/>
  <c r="O5" i="15"/>
  <c r="N5" i="15"/>
  <c r="M5" i="15"/>
  <c r="L5" i="15"/>
  <c r="K5" i="15"/>
  <c r="J5" i="15"/>
  <c r="I5" i="15"/>
  <c r="H5" i="15"/>
  <c r="G5" i="15"/>
  <c r="F5" i="15"/>
  <c r="E5" i="15"/>
  <c r="D5" i="15"/>
  <c r="AL11" i="16"/>
  <c r="AK11" i="16"/>
  <c r="AJ11" i="16"/>
  <c r="AI11" i="16"/>
  <c r="AL10" i="16"/>
  <c r="AK10" i="16"/>
  <c r="AJ10" i="16"/>
  <c r="AI10" i="16"/>
  <c r="AL9" i="16"/>
  <c r="AK9" i="16"/>
  <c r="AJ9" i="16"/>
  <c r="AI9" i="16"/>
  <c r="AL8" i="16"/>
  <c r="AK8" i="16"/>
  <c r="AJ8" i="16"/>
  <c r="AI8" i="16"/>
  <c r="AL7" i="16"/>
  <c r="AL12" i="16" s="1"/>
  <c r="AK7" i="16"/>
  <c r="AJ7" i="16"/>
  <c r="AJ12" i="16" s="1"/>
  <c r="AI7" i="16"/>
  <c r="V3" i="16"/>
  <c r="U3" i="16"/>
  <c r="R3" i="16"/>
  <c r="Q3" i="16"/>
  <c r="N3" i="16"/>
  <c r="M3" i="16"/>
  <c r="I3" i="16"/>
  <c r="H3" i="16"/>
  <c r="E3" i="16"/>
  <c r="D3" i="16"/>
  <c r="C3" i="16"/>
  <c r="AM1" i="16"/>
  <c r="AL11" i="15"/>
  <c r="AK11" i="15"/>
  <c r="AJ11" i="15"/>
  <c r="AI11" i="15"/>
  <c r="AL10" i="15"/>
  <c r="AK10" i="15"/>
  <c r="AJ10" i="15"/>
  <c r="AI10" i="15"/>
  <c r="AL9" i="15"/>
  <c r="AK9" i="15"/>
  <c r="AJ9" i="15"/>
  <c r="AI9" i="15"/>
  <c r="AL8" i="15"/>
  <c r="AK8" i="15"/>
  <c r="AJ8" i="15"/>
  <c r="AI8" i="15"/>
  <c r="AL7" i="15"/>
  <c r="AK7" i="15"/>
  <c r="AJ7" i="15"/>
  <c r="AI7" i="15"/>
  <c r="V3" i="15"/>
  <c r="U3" i="15"/>
  <c r="R3" i="15"/>
  <c r="Q3" i="15"/>
  <c r="N3" i="15"/>
  <c r="M3" i="15"/>
  <c r="I3" i="15"/>
  <c r="H3" i="15"/>
  <c r="E3" i="15"/>
  <c r="D3" i="15"/>
  <c r="C3" i="15"/>
  <c r="AM1" i="15"/>
  <c r="AJ12" i="18" l="1"/>
  <c r="AK12" i="20"/>
  <c r="AL12" i="22"/>
  <c r="AJ12" i="17"/>
  <c r="AK12" i="21"/>
  <c r="AL12" i="19"/>
  <c r="AI12" i="16"/>
  <c r="AK12" i="16"/>
  <c r="AI12" i="17"/>
  <c r="AL12" i="18"/>
  <c r="AK12" i="18"/>
  <c r="AL12" i="23"/>
  <c r="AI12" i="22"/>
  <c r="AK12" i="22"/>
  <c r="AL12" i="20"/>
  <c r="AI12" i="20"/>
  <c r="AJ12" i="19"/>
  <c r="AJ12" i="15"/>
  <c r="AL12" i="15"/>
  <c r="AK12" i="15"/>
  <c r="AI12" i="15"/>
  <c r="AH36" i="6"/>
  <c r="AH38" i="6"/>
  <c r="AK38" i="6"/>
  <c r="AI38" i="6"/>
  <c r="AK36" i="6"/>
  <c r="AI36" i="6"/>
  <c r="AJ38" i="6"/>
  <c r="AJ36" i="6"/>
  <c r="AF19" i="6" l="1"/>
  <c r="AE19" i="6"/>
  <c r="AD19" i="6"/>
  <c r="AC19" i="6"/>
  <c r="AB19" i="6"/>
  <c r="AA19" i="6"/>
  <c r="Z19" i="6"/>
  <c r="Y19" i="6"/>
  <c r="X19" i="6"/>
  <c r="W19" i="6"/>
  <c r="V19" i="6"/>
  <c r="U19" i="6"/>
  <c r="T19" i="6"/>
  <c r="S19" i="6"/>
  <c r="R19" i="6"/>
  <c r="Q19" i="6"/>
  <c r="P19" i="6"/>
  <c r="O19" i="6"/>
  <c r="N19" i="6"/>
  <c r="M19" i="6"/>
  <c r="L19" i="6"/>
  <c r="K19" i="6"/>
  <c r="J19" i="6"/>
  <c r="I19" i="6"/>
  <c r="H19" i="6"/>
  <c r="G19" i="6"/>
  <c r="F19" i="6"/>
  <c r="E19" i="6"/>
  <c r="D19" i="6"/>
  <c r="C19" i="6"/>
  <c r="V3" i="14"/>
  <c r="U3" i="14"/>
  <c r="R3" i="14"/>
  <c r="Q3" i="14"/>
  <c r="N3" i="14"/>
  <c r="M3" i="14"/>
  <c r="I3" i="14"/>
  <c r="H3" i="14"/>
  <c r="E3" i="14"/>
  <c r="D3" i="14"/>
  <c r="C3" i="14"/>
  <c r="AM1" i="14"/>
  <c r="G5" i="14"/>
  <c r="F5" i="14"/>
  <c r="E5" i="14"/>
  <c r="AG5" i="14"/>
  <c r="AF5" i="14"/>
  <c r="AE5" i="14"/>
  <c r="AD5" i="14"/>
  <c r="AC5" i="14"/>
  <c r="AB5" i="14"/>
  <c r="AA5" i="14"/>
  <c r="Z5" i="14"/>
  <c r="Y5" i="14"/>
  <c r="X5" i="14"/>
  <c r="W5" i="14"/>
  <c r="V5" i="14"/>
  <c r="U5" i="14"/>
  <c r="T5" i="14"/>
  <c r="S5" i="14"/>
  <c r="R5" i="14"/>
  <c r="Q5" i="14"/>
  <c r="P5" i="14"/>
  <c r="O5" i="14"/>
  <c r="N5" i="14"/>
  <c r="M5" i="14"/>
  <c r="L5" i="14"/>
  <c r="K5" i="14"/>
  <c r="J5" i="14"/>
  <c r="I5" i="14"/>
  <c r="H5" i="14"/>
  <c r="D5" i="14"/>
  <c r="B5" i="14"/>
  <c r="AL11" i="14"/>
  <c r="AK11" i="14"/>
  <c r="AJ11" i="14"/>
  <c r="AI11" i="14"/>
  <c r="AL10" i="14"/>
  <c r="AK10" i="14"/>
  <c r="AJ10" i="14"/>
  <c r="AI10" i="14"/>
  <c r="AL9" i="14"/>
  <c r="AK9" i="14"/>
  <c r="AJ9" i="14"/>
  <c r="AI9" i="14"/>
  <c r="AL8" i="14"/>
  <c r="AK8" i="14"/>
  <c r="AJ8" i="14"/>
  <c r="AI8" i="14"/>
  <c r="AL7" i="14"/>
  <c r="AL12" i="14" s="1"/>
  <c r="AK7" i="14"/>
  <c r="AK12" i="14" s="1"/>
  <c r="AJ7" i="14"/>
  <c r="AI7" i="14"/>
  <c r="AI12" i="14" s="1"/>
  <c r="AE29"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M9" i="23" l="1"/>
  <c r="AM9" i="19"/>
  <c r="AM9" i="16"/>
  <c r="AM9" i="22"/>
  <c r="AM9" i="8"/>
  <c r="AM9" i="15"/>
  <c r="AM9" i="21"/>
  <c r="AM9" i="18"/>
  <c r="AM9" i="20"/>
  <c r="AM9" i="17"/>
  <c r="AM7" i="22"/>
  <c r="AM7" i="8"/>
  <c r="AM7" i="15"/>
  <c r="AM7" i="21"/>
  <c r="AM7" i="18"/>
  <c r="AM7" i="20"/>
  <c r="AM7" i="17"/>
  <c r="AM7" i="23"/>
  <c r="AM7" i="19"/>
  <c r="AM7" i="16"/>
  <c r="AM10" i="20"/>
  <c r="AM10" i="17"/>
  <c r="AM10" i="23"/>
  <c r="AM10" i="19"/>
  <c r="AM10" i="16"/>
  <c r="AM10" i="22"/>
  <c r="AM10" i="8"/>
  <c r="AM10" i="15"/>
  <c r="AM10" i="21"/>
  <c r="AM10" i="18"/>
  <c r="AM11" i="21"/>
  <c r="AM11" i="18"/>
  <c r="AM11" i="20"/>
  <c r="AM11" i="17"/>
  <c r="AM11" i="23"/>
  <c r="AM11" i="19"/>
  <c r="AM11" i="16"/>
  <c r="AM11" i="22"/>
  <c r="AM11" i="8"/>
  <c r="AM11" i="15"/>
  <c r="AM8" i="22"/>
  <c r="AM8" i="8"/>
  <c r="AM8" i="15"/>
  <c r="AM8" i="21"/>
  <c r="AM8" i="18"/>
  <c r="AM8" i="20"/>
  <c r="AM8" i="17"/>
  <c r="AM8" i="23"/>
  <c r="AM8" i="19"/>
  <c r="AM8" i="16"/>
  <c r="AM8" i="14"/>
  <c r="AM9" i="14"/>
  <c r="AM10" i="14"/>
  <c r="AM11" i="14"/>
  <c r="AJ12" i="14"/>
  <c r="AM7" i="14"/>
  <c r="V3" i="8"/>
  <c r="U3" i="8"/>
  <c r="R3" i="8"/>
  <c r="Q3" i="8"/>
  <c r="N3" i="8"/>
  <c r="M3" i="8"/>
  <c r="I3" i="8"/>
  <c r="H3" i="8"/>
  <c r="E3" i="8"/>
  <c r="D3" i="8"/>
  <c r="C3" i="8"/>
  <c r="AM12" i="16" l="1"/>
  <c r="AM12" i="20"/>
  <c r="AM12" i="8"/>
  <c r="AM12" i="18"/>
  <c r="AM12" i="21"/>
  <c r="AM12" i="19"/>
  <c r="AM12" i="22"/>
  <c r="AM12" i="23"/>
  <c r="AM12" i="17"/>
  <c r="AM12" i="15"/>
  <c r="AM12" i="14"/>
  <c r="AM1" i="8"/>
  <c r="AL11" i="8"/>
  <c r="AK11" i="8"/>
  <c r="AJ11" i="8"/>
  <c r="AI11" i="8"/>
  <c r="AL10" i="8"/>
  <c r="AK10" i="8"/>
  <c r="AJ10" i="8"/>
  <c r="AI10" i="8"/>
  <c r="AL9" i="8"/>
  <c r="AK9" i="8"/>
  <c r="AJ9" i="8"/>
  <c r="AI9" i="8"/>
  <c r="AL8" i="8"/>
  <c r="AK8" i="8"/>
  <c r="AJ8" i="8"/>
  <c r="AI8" i="8"/>
  <c r="AL7" i="8"/>
  <c r="AK7" i="8"/>
  <c r="AK12" i="8" s="1"/>
  <c r="AJ7" i="8"/>
  <c r="AJ12" i="8" s="1"/>
  <c r="AI7" i="8"/>
  <c r="AF5" i="8"/>
  <c r="AE5" i="8"/>
  <c r="AD5" i="8"/>
  <c r="AC5" i="8"/>
  <c r="AB5" i="8"/>
  <c r="AA5" i="8"/>
  <c r="Z5" i="8"/>
  <c r="Y5" i="8"/>
  <c r="X5" i="8"/>
  <c r="W5" i="8"/>
  <c r="V5" i="8"/>
  <c r="U5" i="8"/>
  <c r="T5" i="8"/>
  <c r="S5" i="8"/>
  <c r="R5" i="8"/>
  <c r="Q5" i="8"/>
  <c r="P5" i="8"/>
  <c r="O5" i="8"/>
  <c r="N5" i="8"/>
  <c r="M5" i="8"/>
  <c r="L5" i="8"/>
  <c r="K5" i="8"/>
  <c r="J5" i="8"/>
  <c r="I5" i="8"/>
  <c r="H5" i="8"/>
  <c r="G5" i="8"/>
  <c r="F5" i="8"/>
  <c r="E5" i="8"/>
  <c r="D5" i="8"/>
  <c r="B5" i="8"/>
  <c r="AI12" i="8" l="1"/>
  <c r="AL12" i="8"/>
  <c r="AI11" i="4"/>
  <c r="AJ11" i="4"/>
  <c r="AK11" i="4"/>
  <c r="AL11" i="4"/>
  <c r="AL7" i="4"/>
  <c r="AL8" i="4"/>
  <c r="AL9" i="4"/>
  <c r="AL10" i="4"/>
  <c r="AK7" i="4"/>
  <c r="AK8" i="4"/>
  <c r="AK9" i="4"/>
  <c r="AK10" i="4"/>
  <c r="AJ7" i="4"/>
  <c r="AJ8" i="4"/>
  <c r="AM8" i="4" s="1"/>
  <c r="AJ9" i="4"/>
  <c r="AM9" i="4" s="1"/>
  <c r="AJ10" i="4"/>
  <c r="AM10" i="4" s="1"/>
  <c r="AM11" i="4" l="1"/>
  <c r="AK12" i="4"/>
  <c r="AL12" i="4"/>
  <c r="AM7" i="4"/>
  <c r="AJ12" i="4"/>
  <c r="AI7" i="4"/>
  <c r="AI8" i="4"/>
  <c r="AI9" i="4"/>
  <c r="AI10" i="4"/>
  <c r="AM12" i="4" l="1"/>
  <c r="AI12" i="4"/>
  <c r="C17"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K16" i="6" l="1"/>
  <c r="AJ16" i="6"/>
  <c r="AI16" i="6"/>
  <c r="AH16" i="6"/>
  <c r="K6" i="6"/>
  <c r="B6" i="6"/>
  <c r="B10" i="6"/>
  <c r="AE10" i="6"/>
  <c r="W10" i="6"/>
  <c r="K10" i="6"/>
  <c r="AE8" i="6"/>
  <c r="W8" i="6"/>
  <c r="K8" i="6"/>
  <c r="B8" i="6"/>
  <c r="AK28" i="6" l="1"/>
  <c r="AJ28" i="6"/>
  <c r="AI28" i="6"/>
  <c r="AH28" i="6"/>
  <c r="AI22" i="6" l="1"/>
  <c r="AK22" i="6"/>
  <c r="AJ22" i="6"/>
  <c r="AK24" i="6"/>
  <c r="AJ24" i="6"/>
  <c r="AI24" i="6"/>
  <c r="AJ30" i="6"/>
  <c r="AI30" i="6"/>
  <c r="AK30" i="6"/>
  <c r="AK18" i="6"/>
  <c r="AJ18" i="6"/>
  <c r="AI18" i="6"/>
  <c r="AK20" i="6"/>
  <c r="AJ20" i="6"/>
  <c r="AI20" i="6"/>
  <c r="AK26" i="6"/>
  <c r="AJ26" i="6"/>
  <c r="AI26" i="6"/>
  <c r="AK32" i="6"/>
  <c r="AJ32" i="6"/>
  <c r="AI32" i="6"/>
  <c r="AK34" i="6"/>
  <c r="AJ34" i="6"/>
  <c r="AI34" i="6"/>
  <c r="AH18" i="6"/>
  <c r="AH22" i="6"/>
  <c r="AH24" i="6"/>
  <c r="AH30" i="6"/>
  <c r="AH20" i="6"/>
  <c r="AH26" i="6"/>
  <c r="AH32" i="6"/>
  <c r="AH34" i="6"/>
  <c r="AH5" i="4" l="1"/>
  <c r="AG5" i="4"/>
  <c r="AF5" i="4"/>
  <c r="AE5" i="4"/>
  <c r="AD5" i="4"/>
  <c r="AC5" i="4"/>
  <c r="AB5" i="4"/>
  <c r="AA5" i="4"/>
  <c r="Z5" i="4"/>
  <c r="Y5" i="4"/>
  <c r="X5" i="4"/>
  <c r="W5" i="4"/>
  <c r="V5" i="4"/>
  <c r="U5" i="4"/>
  <c r="T5" i="4"/>
  <c r="S5" i="4"/>
  <c r="R5" i="4"/>
  <c r="Q5" i="4"/>
  <c r="P5" i="4"/>
  <c r="O5" i="4"/>
  <c r="N5" i="4"/>
  <c r="M5" i="4"/>
  <c r="L5" i="4"/>
  <c r="K5" i="4"/>
  <c r="J5" i="4"/>
  <c r="I5" i="4"/>
  <c r="H5" i="4"/>
  <c r="G5" i="4"/>
  <c r="F5" i="4"/>
  <c r="E5" i="4"/>
  <c r="D5" i="4"/>
  <c r="B5" i="4"/>
  <c r="AE6" i="6"/>
  <c r="W6" i="6"/>
  <c r="S4" i="6"/>
  <c r="P4" i="6"/>
  <c r="AH40" i="6" l="1"/>
  <c r="AI40" i="6"/>
  <c r="AJ40" i="6"/>
  <c r="AK40" i="6"/>
  <c r="D4" i="6" l="1"/>
  <c r="M1" i="6" s="1"/>
</calcChain>
</file>

<file path=xl/sharedStrings.xml><?xml version="1.0" encoding="utf-8"?>
<sst xmlns="http://schemas.openxmlformats.org/spreadsheetml/2006/main" count="784" uniqueCount="132">
  <si>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</si>
  <si>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</si>
  <si>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</si>
  <si>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</si>
  <si>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</si>
  <si>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</si>
  <si>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</si>
  <si>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</si>
  <si>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</si>
  <si>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</si>
  <si>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</si>
  <si>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</si>
  <si>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</si>
  <si>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</si>
  <si>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</si>
  <si>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</si>
  <si>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</si>
  <si>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</si>
  <si>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</si>
  <si>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</si>
  <si>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</si>
  <si>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</si>
  <si>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</si>
  <si>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</si>
  <si>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</si>
  <si>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</si>
  <si>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</si>
  <si>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</si>
  <si>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</si>
  <si>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</si>
  <si>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</si>
  <si>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Н</t>
  </si>
  <si>
    <t>Ім’я студента</t>
  </si>
  <si>
    <t>Прізвище студента</t>
  </si>
  <si>
    <t>Код студента</t>
  </si>
  <si>
    <t>Студент</t>
  </si>
  <si>
    <t>Ім’я студента</t>
  </si>
  <si>
    <t>З</t>
  </si>
  <si>
    <t>П</t>
  </si>
  <si>
    <t>ПП</t>
  </si>
  <si>
    <t>Відсутність, дн.</t>
  </si>
  <si>
    <t>Усього</t>
  </si>
  <si>
    <t>Стать</t>
  </si>
  <si>
    <t>Дата народження</t>
  </si>
  <si>
    <t>Школа</t>
  </si>
  <si>
    <t>Клас</t>
  </si>
  <si>
    <t>Викладач</t>
  </si>
  <si>
    <t>№ аудиторії</t>
  </si>
  <si>
    <t>Відносини</t>
  </si>
  <si>
    <t>Робочий телефон</t>
  </si>
  <si>
    <t>Домашній телефон</t>
  </si>
  <si>
    <t>В екстрених ситуаціях телефонувати</t>
  </si>
  <si>
    <t>Ч</t>
  </si>
  <si>
    <t>В екстрених ситуаціях звертатися до</t>
  </si>
  <si>
    <t>Роб. тел. контакту на випадок екстреної ситуації</t>
  </si>
  <si>
    <t>Дом. тел. контакту на випадок екстреної ситуації</t>
  </si>
  <si>
    <t>Повне ім’я студента</t>
  </si>
  <si>
    <t>Дідусь</t>
  </si>
  <si>
    <t>Усього відвідав занять</t>
  </si>
  <si>
    <t>Серпень</t>
  </si>
  <si>
    <t>Вересень</t>
  </si>
  <si>
    <t>Жовтень</t>
  </si>
  <si>
    <t>Листопад</t>
  </si>
  <si>
    <t>Грудень</t>
  </si>
  <si>
    <t>Січень</t>
  </si>
  <si>
    <t>Лютий</t>
  </si>
  <si>
    <t>Березень</t>
  </si>
  <si>
    <t>Квітень</t>
  </si>
  <si>
    <t>Травень</t>
  </si>
  <si>
    <t>Червень</t>
  </si>
  <si>
    <t>Липень</t>
  </si>
  <si>
    <t>В</t>
  </si>
  <si>
    <t>Початок шкільного року:</t>
  </si>
  <si>
    <t>Батько</t>
  </si>
  <si>
    <t>Батько/мати/опікун1</t>
  </si>
  <si>
    <t>Відносини з батьком/матір’ю/опікуном1</t>
  </si>
  <si>
    <t>Дом. тел. батька/матері/опікуна1</t>
  </si>
  <si>
    <t>Відносини з батьком/матір’ю/опікуном2</t>
  </si>
  <si>
    <t>Роб. тел. батька/матері/опікуна2</t>
  </si>
  <si>
    <t>Дом. тел. батька/матері/опікуна2</t>
  </si>
  <si>
    <t>Батько/мати/опікун2</t>
  </si>
  <si>
    <t>Ім’я батька/матері/опікуна1</t>
  </si>
  <si>
    <t>Ім’я батька/матері/опікуна2</t>
  </si>
  <si>
    <t>Запізнення</t>
  </si>
  <si>
    <t>Поважна причина</t>
  </si>
  <si>
    <t>Прогул</t>
  </si>
  <si>
    <t>На місці</t>
  </si>
  <si>
    <t>Вихідний</t>
  </si>
  <si>
    <t>Відвідування</t>
  </si>
  <si>
    <t>ОБЛІК ВІДВІДУВАННЯ ЗАНЯТЬ СТУДЕНТАМИ</t>
  </si>
  <si>
    <t>Ігор</t>
  </si>
  <si>
    <t>Олександров</t>
  </si>
  <si>
    <t>С001</t>
  </si>
  <si>
    <t>Василина</t>
  </si>
  <si>
    <t>Михайло Олександров</t>
  </si>
  <si>
    <t>С002</t>
  </si>
  <si>
    <t>С003</t>
  </si>
  <si>
    <t>С004</t>
  </si>
  <si>
    <t>С005</t>
  </si>
  <si>
    <t>Школа образотворчого мистецтва</t>
  </si>
  <si>
    <t>Арсеній Стародуб</t>
  </si>
  <si>
    <t>Василь Ступкар</t>
  </si>
  <si>
    <t xml:space="preserve">● </t>
  </si>
  <si>
    <t>1.</t>
  </si>
  <si>
    <t>2.</t>
  </si>
  <si>
    <t>3.</t>
  </si>
  <si>
    <t>Додавши студентів до списку, можна починати відстежувати їхнє відвідування занять протягом року.</t>
  </si>
  <si>
    <t>З ЧОГО СЛІД ПОЧАТИ?</t>
  </si>
  <si>
    <t>СТУДЕНТІВ ДОДАНО ДО СПИСКУ. ЩО ДАЛІ?</t>
  </si>
  <si>
    <t>ЯК ДОДАТИ ІНШИХ СТУДЕНТІВ ДО ОБЛІКУ ВІДВІДУВАННЯ ЗАНЯТЬ?</t>
  </si>
  <si>
    <t>ЧИ МОЖНА ПЕРЕГЛЯНУТИ, ЯК СТУДЕНТ ВІДВІДУВАВ ЗАНЯТТЯ ПРОТЯГОМ РОКУ?</t>
  </si>
  <si>
    <t>Перш ніж ви зможете стежити за відвідуваністю студентів, потрібно зробити кілька речей.</t>
  </si>
  <si>
    <t>ПОЯСНЕННЯ ДО КОЛЬОРІВ</t>
  </si>
  <si>
    <t>Щоб збільшити кількість доступних рядків таблиці, установіть курсор у правий нижній кут таблиці та перетягніть маркер змінення розміру вниз.</t>
  </si>
  <si>
    <t>Потім внесіть свої записи відвідуваності за кожен день місяця, використовуючи типи даних, указані в поясненнях до кольорів. Відвідуваність кожного студента вираховується автоматично у стовпці "Усього". Унизу таблиці в рядку "Усього" вираховується загальна кількість пропущених занять за кожен день.</t>
  </si>
  <si>
    <t>Аркуші відвідуваності на кожен місяць та "Список студентів" – це таблиці Excel. Щоб додати нові рядки до будь-якої таблиці Excel, виконайте одну з таких дій:</t>
  </si>
  <si>
    <t>Роб. тел. батька/матері/опікуна1</t>
  </si>
  <si>
    <t xml:space="preserve"> </t>
  </si>
  <si>
    <t>Усього днів відсутній</t>
  </si>
  <si>
    <t>СПИСОК СТУДЕНТІВ</t>
  </si>
  <si>
    <t>ІНСТРУКЦІЇ З КОРИСТУВАННЯ ШАБЛОНОМ</t>
  </si>
  <si>
    <t>Настроювання теми документа.</t>
  </si>
  <si>
    <r>
      <rPr>
        <b/>
        <sz val="10"/>
        <color theme="4" tint="-0.499984740745262"/>
        <rFont val="Century Gothic"/>
        <family val="2"/>
        <scheme val="minor"/>
      </rPr>
      <t>Додайте студентів</t>
    </r>
    <r>
      <rPr>
        <b/>
        <sz val="10"/>
        <color theme="1"/>
        <rFont val="Century Gothic"/>
        <family val="2"/>
        <scheme val="minor"/>
      </rPr>
      <t>.</t>
    </r>
    <r>
      <rPr>
        <sz val="10"/>
        <color theme="1"/>
        <rFont val="Century Gothic"/>
        <family val="2"/>
        <scheme val="minor"/>
      </rPr>
      <t xml:space="preserve"> На аркуші </t>
    </r>
    <r>
      <rPr>
        <b/>
        <sz val="10"/>
        <color theme="1"/>
        <rFont val="Century Gothic"/>
        <family val="2"/>
        <scheme val="minor"/>
      </rPr>
      <t>Список студентів</t>
    </r>
    <r>
      <rPr>
        <sz val="10"/>
        <color theme="1"/>
        <rFont val="Century Gothic"/>
        <family val="2"/>
        <scheme val="minor"/>
      </rPr>
      <t xml:space="preserve"> введіть інформацію про кожного студента, зокрема імена опікунів і контактні дані. Код студента – це унікальний ідентифікатор кожного студента, який використовується в розкривних списках для полегшення вводу даних про студентів. Інформація, указана на аркуші "Список студентів" використовується також на інших аркушах, наприклад на аркуші "Звіт про відвідуваність" і в щомісячних звітах про відвідуваність.</t>
    </r>
  </si>
  <si>
    <r>
      <rPr>
        <b/>
        <sz val="10"/>
        <color theme="4" tint="-0.499984740745262"/>
        <rFont val="Century Gothic"/>
        <family val="2"/>
        <scheme val="minor"/>
      </rPr>
      <t>Змініть навчальний рік.</t>
    </r>
    <r>
      <rPr>
        <sz val="10"/>
        <color theme="4" tint="-0.499984740745262"/>
        <rFont val="Century Gothic"/>
        <family val="2"/>
        <scheme val="minor"/>
      </rPr>
      <t xml:space="preserve"> </t>
    </r>
    <r>
      <rPr>
        <sz val="10"/>
        <color theme="1"/>
        <rFont val="Century Gothic"/>
        <family val="2"/>
        <scheme val="minor"/>
      </rPr>
      <t xml:space="preserve">На аркуші </t>
    </r>
    <r>
      <rPr>
        <b/>
        <sz val="10"/>
        <color theme="1"/>
        <rFont val="Century Gothic"/>
        <family val="2"/>
        <scheme val="minor"/>
      </rPr>
      <t>Серпень</t>
    </r>
    <r>
      <rPr>
        <sz val="10"/>
        <color theme="1"/>
        <rFont val="Century Gothic"/>
        <family val="2"/>
        <scheme val="minor"/>
      </rPr>
      <t xml:space="preserve"> у верхньому правому куті клацайте елементи керування роком календаря, щоб вибрати потрібний навчальний рік. Рік змінюватиметься у всіх звітах за кожен місяць. Зверніть увагу, що елементи керування роком не друкуються.</t>
    </r>
  </si>
  <si>
    <r>
      <t xml:space="preserve">Щоб додати студента до обліку відвідування занять, клацніть клітинку під стовпцем </t>
    </r>
    <r>
      <rPr>
        <b/>
        <sz val="10"/>
        <color theme="1"/>
        <rFont val="Century Gothic"/>
        <family val="2"/>
        <scheme val="minor"/>
      </rPr>
      <t>Код студента</t>
    </r>
    <r>
      <rPr>
        <sz val="10"/>
        <color theme="1"/>
        <rFont val="Century Gothic"/>
        <family val="2"/>
        <scheme val="minor"/>
      </rPr>
      <t xml:space="preserve"> та виберіть у списку потрібний номер. Після цього автоматично відобразиться ім’я студента.</t>
    </r>
  </si>
  <si>
    <r>
      <rPr>
        <b/>
        <sz val="10"/>
        <color theme="1"/>
        <rFont val="Century Gothic"/>
        <family val="2"/>
        <scheme val="minor"/>
      </rPr>
      <t xml:space="preserve">Порада. </t>
    </r>
    <r>
      <rPr>
        <sz val="10"/>
        <color theme="1"/>
        <rFont val="Century Gothic"/>
        <family val="2"/>
        <scheme val="minor"/>
      </rPr>
      <t xml:space="preserve">Зберігайте введену інформацію поетапно! Указавши студентів для одного місяця, виділіть введені коди студентів, скопіюйте їх і вставте у стовпець </t>
    </r>
    <r>
      <rPr>
        <b/>
        <sz val="10"/>
        <color theme="1"/>
        <rFont val="Century Gothic"/>
        <family val="2"/>
        <scheme val="minor"/>
      </rPr>
      <t>Код студента</t>
    </r>
    <r>
      <rPr>
        <sz val="10"/>
        <color theme="1"/>
        <rFont val="Century Gothic"/>
        <family val="2"/>
        <scheme val="minor"/>
      </rPr>
      <t xml:space="preserve"> для наступних місяців. </t>
    </r>
  </si>
  <si>
    <r>
      <rPr>
        <b/>
        <i/>
        <sz val="10"/>
        <color theme="4" tint="-0.499984740745262"/>
        <rFont val="Century Gothic"/>
        <family val="2"/>
        <scheme val="minor"/>
      </rPr>
      <t>Змініть кольори у книзі (необов’язковий крок).</t>
    </r>
    <r>
      <rPr>
        <b/>
        <sz val="10"/>
        <color theme="1"/>
        <rFont val="Century Gothic"/>
        <family val="2"/>
        <scheme val="minor"/>
      </rPr>
      <t xml:space="preserve"> </t>
    </r>
    <r>
      <rPr>
        <sz val="10"/>
        <color theme="1"/>
        <rFont val="Century Gothic"/>
        <family val="2"/>
        <scheme val="minor"/>
      </rPr>
      <t xml:space="preserve">Спочатку перейдіть на останній аркуш, </t>
    </r>
    <r>
      <rPr>
        <b/>
        <sz val="10"/>
        <color theme="1"/>
        <rFont val="Century Gothic"/>
        <family val="2"/>
        <scheme val="minor"/>
      </rPr>
      <t>Звіт про відвідуваність,</t>
    </r>
    <r>
      <rPr>
        <sz val="10"/>
        <color theme="1"/>
        <rFont val="Century Gothic"/>
        <family val="2"/>
        <scheme val="minor"/>
      </rPr>
      <t xml:space="preserve"> і на вкладці </t>
    </r>
    <r>
      <rPr>
        <b/>
        <sz val="10"/>
        <color theme="1"/>
        <rFont val="Century Gothic"/>
        <family val="2"/>
        <scheme val="minor"/>
      </rPr>
      <t>Рецензування</t>
    </r>
    <r>
      <rPr>
        <sz val="10"/>
        <color theme="1"/>
        <rFont val="Century Gothic"/>
        <family val="2"/>
        <scheme val="minor"/>
      </rPr>
      <t xml:space="preserve"> у групі </t>
    </r>
    <r>
      <rPr>
        <b/>
        <sz val="10"/>
        <color theme="1"/>
        <rFont val="Century Gothic"/>
        <family val="2"/>
        <scheme val="minor"/>
      </rPr>
      <t>Зміни</t>
    </r>
    <r>
      <rPr>
        <sz val="10"/>
        <color theme="1"/>
        <rFont val="Century Gothic"/>
        <family val="2"/>
        <scheme val="minor"/>
      </rPr>
      <t xml:space="preserve"> натисніть кнопку </t>
    </r>
    <r>
      <rPr>
        <b/>
        <sz val="10"/>
        <color theme="1"/>
        <rFont val="Century Gothic"/>
        <family val="2"/>
        <scheme val="minor"/>
      </rPr>
      <t>Зняти захист аркуша</t>
    </r>
    <r>
      <rPr>
        <sz val="10"/>
        <color theme="1"/>
        <rFont val="Century Gothic"/>
        <family val="2"/>
        <scheme val="minor"/>
      </rPr>
      <t xml:space="preserve">. Відтак на вкладці </t>
    </r>
    <r>
      <rPr>
        <b/>
        <sz val="10"/>
        <color theme="1"/>
        <rFont val="Century Gothic"/>
        <family val="2"/>
        <scheme val="minor"/>
      </rPr>
      <t>Розмітка сторінки</t>
    </r>
    <r>
      <rPr>
        <sz val="10"/>
        <color theme="1"/>
        <rFont val="Century Gothic"/>
        <family val="2"/>
        <scheme val="minor"/>
      </rPr>
      <t xml:space="preserve"> у групі </t>
    </r>
    <r>
      <rPr>
        <b/>
        <sz val="10"/>
        <color theme="1"/>
        <rFont val="Century Gothic"/>
        <family val="2"/>
        <scheme val="minor"/>
      </rPr>
      <t>Теми</t>
    </r>
    <r>
      <rPr>
        <sz val="10"/>
        <color theme="1"/>
        <rFont val="Century Gothic"/>
        <family val="2"/>
        <scheme val="minor"/>
      </rPr>
      <t xml:space="preserve"> натисніть кнопку </t>
    </r>
    <r>
      <rPr>
        <b/>
        <sz val="10"/>
        <color theme="1"/>
        <rFont val="Century Gothic"/>
        <family val="2"/>
        <scheme val="minor"/>
      </rPr>
      <t>Кольори</t>
    </r>
    <r>
      <rPr>
        <sz val="10"/>
        <color theme="1"/>
        <rFont val="Century Gothic"/>
        <family val="2"/>
        <scheme val="minor"/>
      </rPr>
      <t xml:space="preserve"> й виберіть у колекції інший набір кольорів теми. Змінивши кольори та інші елементи теми, перейдіть на аркуш </t>
    </r>
    <r>
      <rPr>
        <b/>
        <sz val="10"/>
        <color theme="1"/>
        <rFont val="Century Gothic"/>
        <family val="2"/>
        <scheme val="minor"/>
      </rPr>
      <t>Звіт про відвідуваність</t>
    </r>
    <r>
      <rPr>
        <sz val="10"/>
        <color theme="1"/>
        <rFont val="Century Gothic"/>
        <family val="2"/>
        <scheme val="minor"/>
      </rPr>
      <t xml:space="preserve"> і на вкладці </t>
    </r>
    <r>
      <rPr>
        <b/>
        <sz val="10"/>
        <color theme="1"/>
        <rFont val="Century Gothic"/>
        <family val="2"/>
        <scheme val="minor"/>
      </rPr>
      <t>Рецензування</t>
    </r>
    <r>
      <rPr>
        <sz val="10"/>
        <color theme="1"/>
        <rFont val="Century Gothic"/>
        <family val="2"/>
        <scheme val="minor"/>
      </rPr>
      <t xml:space="preserve"> у групі </t>
    </r>
    <r>
      <rPr>
        <b/>
        <sz val="10"/>
        <color theme="1"/>
        <rFont val="Century Gothic"/>
        <family val="2"/>
        <scheme val="minor"/>
      </rPr>
      <t>Зміни</t>
    </r>
    <r>
      <rPr>
        <sz val="10"/>
        <color theme="1"/>
        <rFont val="Century Gothic"/>
        <family val="2"/>
        <scheme val="minor"/>
      </rPr>
      <t xml:space="preserve"> натисніть кнопку</t>
    </r>
    <r>
      <rPr>
        <b/>
        <sz val="10"/>
        <color theme="1"/>
        <rFont val="Century Gothic"/>
        <family val="2"/>
        <scheme val="minor"/>
      </rPr>
      <t xml:space="preserve"> Захистити аркуш</t>
    </r>
    <r>
      <rPr>
        <sz val="10"/>
        <color theme="1"/>
        <rFont val="Century Gothic"/>
        <family val="2"/>
        <scheme val="minor"/>
      </rPr>
      <t xml:space="preserve">. Потім натисніть кнопку </t>
    </r>
    <r>
      <rPr>
        <b/>
        <sz val="10"/>
        <color theme="1"/>
        <rFont val="Century Gothic"/>
        <family val="2"/>
        <scheme val="minor"/>
      </rPr>
      <t>ОК</t>
    </r>
  </si>
  <si>
    <r>
      <rPr>
        <b/>
        <sz val="10"/>
        <color theme="1"/>
        <rFont val="Century Gothic"/>
        <family val="2"/>
        <scheme val="minor"/>
      </rPr>
      <t>Порада.</t>
    </r>
    <r>
      <rPr>
        <sz val="10"/>
        <color theme="1"/>
        <rFont val="Century Gothic"/>
        <family val="2"/>
        <scheme val="minor"/>
      </rPr>
      <t xml:space="preserve"> Створіть настроюваний набір кольорів теми, які відповідатимуть кольорам школи! Для цього на вкладці </t>
    </r>
    <r>
      <rPr>
        <b/>
        <sz val="10"/>
        <color theme="1"/>
        <rFont val="Century Gothic"/>
        <family val="2"/>
        <scheme val="minor"/>
      </rPr>
      <t>Розмітка сторінки</t>
    </r>
    <r>
      <rPr>
        <sz val="10"/>
        <color theme="1"/>
        <rFont val="Century Gothic"/>
        <family val="2"/>
        <scheme val="minor"/>
      </rPr>
      <t xml:space="preserve"> у групі </t>
    </r>
    <r>
      <rPr>
        <b/>
        <sz val="10"/>
        <color theme="1"/>
        <rFont val="Century Gothic"/>
        <family val="2"/>
        <scheme val="minor"/>
      </rPr>
      <t>Теми</t>
    </r>
    <r>
      <rPr>
        <sz val="10"/>
        <color theme="1"/>
        <rFont val="Century Gothic"/>
        <family val="2"/>
        <scheme val="minor"/>
      </rPr>
      <t xml:space="preserve"> натисніть кнопку </t>
    </r>
    <r>
      <rPr>
        <b/>
        <sz val="10"/>
        <color theme="1"/>
        <rFont val="Century Gothic"/>
        <family val="2"/>
        <scheme val="minor"/>
      </rPr>
      <t>Кольори,</t>
    </r>
    <r>
      <rPr>
        <sz val="10"/>
        <color theme="1"/>
        <rFont val="Century Gothic"/>
        <family val="2"/>
        <scheme val="minor"/>
      </rPr>
      <t xml:space="preserve"> а потім під колекцією кольорів натисніть кнопку </t>
    </r>
    <r>
      <rPr>
        <b/>
        <sz val="10"/>
        <color theme="1"/>
        <rFont val="Century Gothic"/>
        <family val="2"/>
        <scheme val="minor"/>
      </rPr>
      <t>Створити нові кольори теми</t>
    </r>
    <r>
      <rPr>
        <sz val="10"/>
        <color theme="1"/>
        <rFont val="Century Gothic"/>
        <family val="2"/>
        <scheme val="minor"/>
      </rPr>
      <t xml:space="preserve">. Додаткові відомості про створення настроюваних наборів кольорів теми див. в цьому розділі довідки: </t>
    </r>
  </si>
  <si>
    <t>Якщо в таблиці немає рядка "Усього", введіть у кінці таблиці текст, натисніть клавішу Enter або табуляції, і таблиця автоматично розширить свій діапазон.</t>
  </si>
  <si>
    <t>Установіть курсор в останній клітинці над рядком "Усього" (наприклад, у клітинці "Відсутність, дн." останнього студента) і натисніть клавішу табуляції.</t>
  </si>
  <si>
    <r>
      <t xml:space="preserve">Клацніть правою кнопкою миші таблицю, у контекстному меню наведіть вказівник на пункт </t>
    </r>
    <r>
      <rPr>
        <b/>
        <sz val="10"/>
        <color theme="1"/>
        <rFont val="Century Gothic"/>
        <family val="2"/>
        <scheme val="minor"/>
      </rPr>
      <t>Вставити</t>
    </r>
    <r>
      <rPr>
        <sz val="10"/>
        <color theme="1"/>
        <rFont val="Century Gothic"/>
        <family val="2"/>
        <scheme val="minor"/>
      </rPr>
      <t xml:space="preserve">, а потім виберіть команду </t>
    </r>
    <r>
      <rPr>
        <b/>
        <sz val="10"/>
        <color theme="1"/>
        <rFont val="Century Gothic"/>
        <family val="2"/>
        <charset val="204"/>
        <scheme val="minor"/>
      </rPr>
      <t>Рядки таблиць вище</t>
    </r>
    <r>
      <rPr>
        <sz val="10"/>
        <color theme="1"/>
        <rFont val="Century Gothic"/>
        <family val="2"/>
        <scheme val="minor"/>
      </rPr>
      <t xml:space="preserve"> або </t>
    </r>
    <r>
      <rPr>
        <b/>
        <sz val="10"/>
        <color theme="1"/>
        <rFont val="Century Gothic"/>
        <family val="2"/>
        <charset val="204"/>
        <scheme val="minor"/>
      </rPr>
      <t>Рядок таблиці внизу</t>
    </r>
    <r>
      <rPr>
        <sz val="10"/>
        <color theme="1"/>
        <rFont val="Century Gothic"/>
        <family val="2"/>
        <scheme val="minor"/>
      </rPr>
      <t xml:space="preserve">. </t>
    </r>
  </si>
  <si>
    <r>
      <t xml:space="preserve">На останньому аркуші цієї книги ("Звіт про відвідуваність") відстежується відвідуваність за рік до поточної дати. Щоб переглянути звіт про певного студента, клацніть під клітинкою </t>
    </r>
    <r>
      <rPr>
        <b/>
        <sz val="10"/>
        <color theme="1"/>
        <rFont val="Century Gothic"/>
        <family val="2"/>
        <scheme val="minor"/>
      </rPr>
      <t>Код студента</t>
    </r>
    <r>
      <rPr>
        <sz val="10"/>
        <color theme="1"/>
        <rFont val="Century Gothic"/>
        <family val="2"/>
        <scheme val="minor"/>
      </rPr>
      <t xml:space="preserve"> та виберіть у списку потрібний номер – автоматично відобразиться інформація, яку ви раніше ввели на аркуші зі списком студентів. Якщо ви вперше використовуєте звіт про відвідуваність, вам потрібно вказати школу, клас, викладача та номер аудиторії. Ця інформація не змінюватиметься, коли ви вибиратимете іншого студента.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</si>
</sst>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mm/dd/yy;@"/>
    <numFmt numFmtId="166" formatCode="[&lt;=9999999]###\-####;\(###\)\ ###\-####"/>
    <numFmt numFmtId="167" formatCode="0;0;;@"/>
    <numFmt numFmtId="168" formatCode="_)@"/>
  </numFmts>
  <fonts count="49" x14ac:knownFonts="1">
    <font>
      <sz val="10"/>
      <color theme="1"/>
      <name val="Century Gothic"/>
      <family val="2"/>
      <scheme val="minor"/>
    </font>
    <font>
      <sz val="11"/>
      <color theme="1"/>
      <name val="Century Gothic"/>
      <family val="2"/>
      <scheme val="minor"/>
    </font>
    <font>
      <sz val="10"/>
      <name val="Century Gothic"/>
      <family val="2"/>
    </font>
    <font>
      <b/>
      <sz val="12"/>
      <name val="Arial"/>
      <family val="2"/>
    </font>
    <font>
      <sz val="9"/>
      <name val="Century Gothic"/>
      <family val="2"/>
    </font>
    <font>
      <b/>
      <sz val="20"/>
      <name val="Century Gothic"/>
      <family val="1"/>
      <scheme val="major"/>
    </font>
    <font>
      <sz val="16"/>
      <name val="Century Gothic"/>
      <family val="1"/>
      <scheme val="major"/>
    </font>
    <font>
      <b/>
      <sz val="8"/>
      <color theme="1" tint="0.14996795556505021"/>
      <name val="Century Gothic"/>
      <family val="1"/>
      <scheme val="minor"/>
    </font>
    <font>
      <sz val="8"/>
      <name val="Century Gothic"/>
      <family val="1"/>
      <scheme val="minor"/>
    </font>
    <font>
      <b/>
      <sz val="8"/>
      <color theme="1" tint="0.14996795556505021"/>
      <name val="Century Gothic"/>
      <family val="2"/>
      <scheme val="minor"/>
    </font>
    <font>
      <sz val="8"/>
      <name val="Century Gothic"/>
      <family val="2"/>
      <scheme val="minor"/>
    </font>
    <font>
      <sz val="9"/>
      <name val="Century Gothic"/>
      <family val="1"/>
      <scheme val="major"/>
    </font>
    <font>
      <b/>
      <sz val="8"/>
      <color theme="0"/>
      <name val="Century Gothic"/>
      <family val="1"/>
      <scheme val="major"/>
    </font>
    <font>
      <sz val="9"/>
      <color theme="0"/>
      <name val="Century Gothic"/>
      <family val="1"/>
      <scheme val="major"/>
    </font>
    <font>
      <sz val="10"/>
      <color theme="1"/>
      <name val="Century Gothic"/>
      <family val="1"/>
      <scheme val="major"/>
    </font>
    <font>
      <b/>
      <sz val="9"/>
      <color theme="0"/>
      <name val="Century Gothic"/>
      <family val="1"/>
      <scheme val="major"/>
    </font>
    <font>
      <sz val="10"/>
      <name val="Century Gothic"/>
      <family val="2"/>
      <scheme val="minor"/>
    </font>
    <font>
      <b/>
      <sz val="12"/>
      <name val="Century Gothic"/>
      <family val="2"/>
      <scheme val="minor"/>
    </font>
    <font>
      <sz val="10"/>
      <name val="Century Gothic"/>
      <family val="1"/>
      <scheme val="major"/>
    </font>
    <font>
      <b/>
      <sz val="22"/>
      <color theme="0"/>
      <name val="Century Gothic"/>
      <family val="2"/>
      <scheme val="major"/>
    </font>
    <font>
      <b/>
      <sz val="16"/>
      <color theme="0"/>
      <name val="Century Gothic"/>
      <family val="2"/>
      <scheme val="minor"/>
    </font>
    <font>
      <sz val="9"/>
      <name val="Century Gothic"/>
      <family val="2"/>
      <scheme val="minor"/>
    </font>
    <font>
      <b/>
      <sz val="10"/>
      <color theme="1"/>
      <name val="Century Gothic"/>
      <family val="2"/>
      <scheme val="minor"/>
    </font>
    <font>
      <sz val="10"/>
      <color theme="1"/>
      <name val="Century Gothic"/>
      <family val="2"/>
      <scheme val="major"/>
    </font>
    <font>
      <b/>
      <sz val="11"/>
      <color indexed="9"/>
      <name val="Century Gothic"/>
      <family val="1"/>
      <scheme val="major"/>
    </font>
    <font>
      <sz val="9"/>
      <color theme="1"/>
      <name val="Century Gothic"/>
      <family val="2"/>
      <scheme val="minor"/>
    </font>
    <font>
      <b/>
      <sz val="18"/>
      <color theme="0"/>
      <name val="Century Gothic"/>
      <family val="2"/>
      <scheme val="minor"/>
    </font>
    <font>
      <b/>
      <sz val="16"/>
      <color theme="0"/>
      <name val="Century Gothic"/>
      <family val="1"/>
      <scheme val="major"/>
    </font>
    <font>
      <sz val="8"/>
      <color theme="1"/>
      <name val="Century Gothic"/>
      <family val="2"/>
      <scheme val="minor"/>
    </font>
    <font>
      <b/>
      <sz val="16"/>
      <color theme="0"/>
      <name val="Century Gothic"/>
      <family val="2"/>
      <scheme val="major"/>
    </font>
    <font>
      <b/>
      <i/>
      <sz val="14"/>
      <color theme="0"/>
      <name val="Century Gothic"/>
      <family val="2"/>
      <scheme val="major"/>
    </font>
    <font>
      <sz val="12"/>
      <color theme="3"/>
      <name val="Century Gothic"/>
      <family val="2"/>
      <scheme val="minor"/>
    </font>
    <font>
      <sz val="10"/>
      <color theme="4" tint="-0.499984740745262"/>
      <name val="Century Gothic"/>
      <family val="2"/>
      <scheme val="minor"/>
    </font>
    <font>
      <u/>
      <sz val="10"/>
      <color theme="10"/>
      <name val="Arial"/>
      <family val="2"/>
    </font>
    <font>
      <b/>
      <sz val="10"/>
      <color theme="4" tint="-0.499984740745262"/>
      <name val="Century Gothic"/>
      <family val="2"/>
      <scheme val="minor"/>
    </font>
    <font>
      <b/>
      <i/>
      <sz val="10"/>
      <color theme="4" tint="-0.499984740745262"/>
      <name val="Century Gothic"/>
      <family val="2"/>
      <scheme val="minor"/>
    </font>
    <font>
      <b/>
      <sz val="9"/>
      <color theme="4" tint="-0.499984740745262"/>
      <name val="Century Gothic"/>
      <family val="1"/>
      <scheme val="major"/>
    </font>
    <font>
      <sz val="9"/>
      <name val="Century Gothic"/>
      <family val="1"/>
      <scheme val="minor"/>
    </font>
    <font>
      <b/>
      <sz val="9"/>
      <color theme="1" tint="0.14996795556505021"/>
      <name val="Century Gothic"/>
      <family val="1"/>
      <scheme val="major"/>
    </font>
    <font>
      <sz val="9"/>
      <color theme="3" tint="-0.249977111117893"/>
      <name val="Century Gothic"/>
      <family val="1"/>
      <scheme val="major"/>
    </font>
    <font>
      <b/>
      <sz val="9"/>
      <color theme="3" tint="-0.249977111117893"/>
      <name val="Century Gothic"/>
      <family val="1"/>
      <scheme val="major"/>
    </font>
    <font>
      <sz val="9"/>
      <color theme="3" tint="-0.249977111117893"/>
      <name val="Century Gothic"/>
      <family val="1"/>
      <scheme val="minor"/>
    </font>
    <font>
      <sz val="9"/>
      <color theme="1"/>
      <name val="Century Gothic"/>
      <family val="1"/>
      <scheme val="minor"/>
    </font>
    <font>
      <b/>
      <sz val="9"/>
      <color theme="1" tint="0.14996795556505021"/>
      <name val="Century Gothic"/>
      <family val="1"/>
      <scheme val="minor"/>
    </font>
    <font>
      <b/>
      <sz val="8"/>
      <name val="Century Gothic"/>
      <family val="2"/>
      <scheme val="major"/>
    </font>
    <font>
      <sz val="10"/>
      <color theme="1"/>
      <name val="Century Gothic"/>
      <scheme val="minor"/>
    </font>
    <font>
      <b/>
      <sz val="10"/>
      <color theme="0"/>
      <name val="Century Gothic"/>
      <family val="2"/>
      <scheme val="minor"/>
    </font>
    <font>
      <sz val="10"/>
      <color theme="3" tint="-0.24994659260841701"/>
      <name val="Century Gothic"/>
      <family val="2"/>
      <scheme val="minor"/>
    </font>
    <font>
      <b/>
      <sz val="10"/>
      <color theme="1"/>
      <name val="Century Gothic"/>
      <family val="2"/>
      <charset val="204"/>
      <scheme val="minor"/>
    </font>
  </fonts>
  <fills count="13">
    <fill>
      <patternFill patternType="none"/>
    </fill>
    <fill>
      <patternFill patternType="gray125"/>
    </fill>
    <fill>
      <patternFill patternType="solid">
        <fgColor theme="4" tint="0.799981688894314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0"/>
      </patternFill>
    </fill>
    <fill>
      <patternFill patternType="lightUp">
        <fgColor theme="0" tint="-0.34998626667073579"/>
        <bgColor indexed="65"/>
      </patternFill>
    </fill>
    <fill>
      <patternFill patternType="solid">
        <fgColor theme="4"/>
        <bgColor indexed="64"/>
      </patternFill>
    </fill>
    <fill>
      <patternFill patternType="solid">
        <fgColor theme="6"/>
        <bgColor indexed="64"/>
      </patternFill>
    </fill>
    <fill>
      <patternFill patternType="solid">
        <fgColor theme="5"/>
        <bgColor indexed="64"/>
      </patternFill>
    </fill>
    <fill>
      <patternFill patternType="solid">
        <fgColor theme="8" tint="0.79998168889431442"/>
        <bgColor indexed="64"/>
      </patternFill>
    </fill>
    <fill>
      <patternFill patternType="solid">
        <fgColor theme="7"/>
        <bgColor indexed="64"/>
      </patternFill>
    </fill>
    <fill>
      <patternFill patternType="solid">
        <fgColor theme="8" tint="0.59999389629810485"/>
        <bgColor indexed="64"/>
      </patternFill>
    </fill>
  </fills>
  <borders count="17">
    <border>
      <left/>
      <right/>
      <top/>
      <bottom/>
      <diagonal/>
    </border>
    <border>
      <left style="thin">
        <color theme="3"/>
      </left>
      <right style="thin">
        <color theme="3"/>
      </right>
      <top style="thin">
        <color theme="3"/>
      </top>
      <bottom style="thin">
        <color theme="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4"/>
      </right>
      <top style="thin">
        <color theme="3"/>
      </top>
      <bottom style="thin">
        <color theme="3"/>
      </bottom>
      <diagonal/>
    </border>
    <border>
      <left/>
      <right style="thin">
        <color theme="3"/>
      </right>
      <top style="thin">
        <color theme="3"/>
      </top>
      <bottom style="thin">
        <color theme="3"/>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bottom style="medium">
        <color theme="4" tint="-0.499984740745262"/>
      </bottom>
      <diagonal/>
    </border>
    <border>
      <left style="thin">
        <color theme="3" tint="0.59996337778862885"/>
      </left>
      <right style="thin">
        <color theme="3" tint="0.59996337778862885"/>
      </right>
      <top/>
      <bottom style="thin">
        <color theme="3" tint="0.59996337778862885"/>
      </bottom>
      <diagonal/>
    </border>
    <border>
      <left/>
      <right style="thin">
        <color theme="0" tint="-0.34998626667073579"/>
      </right>
      <top/>
      <bottom style="medium">
        <color theme="4" tint="-0.499984740745262"/>
      </bottom>
      <diagonal/>
    </border>
    <border>
      <left style="thin">
        <color theme="0" tint="-0.34998626667073579"/>
      </left>
      <right style="thin">
        <color theme="0" tint="-0.34998626667073579"/>
      </right>
      <top/>
      <bottom style="medium">
        <color theme="4" tint="-0.499984740745262"/>
      </bottom>
      <diagonal/>
    </border>
    <border>
      <left style="thin">
        <color theme="3" tint="0.59996337778862885"/>
      </left>
      <right style="thin">
        <color theme="3" tint="0.59996337778862885"/>
      </right>
      <top style="thin">
        <color theme="3" tint="0.59996337778862885"/>
      </top>
      <bottom/>
      <diagonal/>
    </border>
    <border>
      <left style="thin">
        <color theme="3"/>
      </left>
      <right style="thin">
        <color theme="3"/>
      </right>
      <top style="thin">
        <color theme="4" tint="-0.499984740745262"/>
      </top>
      <bottom style="medium">
        <color theme="4" tint="-0.499984740745262"/>
      </bottom>
      <diagonal/>
    </border>
  </borders>
  <cellStyleXfs count="13">
    <xf numFmtId="0" fontId="0" fillId="0" borderId="0"/>
    <xf numFmtId="0" fontId="19" fillId="0" borderId="0" applyNumberFormat="0" applyFill="0" applyBorder="0" applyAlignment="0" applyProtection="0"/>
    <xf numFmtId="0" fontId="7" fillId="3" borderId="2">
      <alignment vertical="center"/>
    </xf>
    <xf numFmtId="0" fontId="8" fillId="0" borderId="2">
      <alignment horizontal="left" vertical="center" wrapText="1"/>
      <protection locked="0"/>
    </xf>
    <xf numFmtId="165" fontId="8" fillId="0" borderId="2">
      <alignment horizontal="left" vertical="center" wrapText="1"/>
      <protection locked="0"/>
    </xf>
    <xf numFmtId="166" fontId="8" fillId="0" borderId="2">
      <alignment horizontal="left" vertical="center" wrapText="1"/>
      <protection locked="0"/>
    </xf>
    <xf numFmtId="0" fontId="9" fillId="4" borderId="3" applyBorder="0">
      <alignment horizontal="center" vertical="center"/>
    </xf>
    <xf numFmtId="1" fontId="9" fillId="4" borderId="2">
      <alignment horizontal="center" vertical="center"/>
    </xf>
    <xf numFmtId="0" fontId="10" fillId="5" borderId="2">
      <alignment horizontal="center" vertical="center"/>
      <protection locked="0"/>
    </xf>
    <xf numFmtId="0" fontId="10" fillId="6" borderId="2">
      <alignment horizontal="center" vertical="center"/>
    </xf>
    <xf numFmtId="0" fontId="20"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cellStyleXfs>
  <cellXfs count="151">
    <xf numFmtId="0" fontId="0" fillId="0" borderId="0" xfId="0"/>
    <xf numFmtId="0" fontId="2" fillId="0" borderId="0" xfId="0" applyFont="1" applyFill="1" applyAlignment="1">
      <alignment vertical="center"/>
    </xf>
    <xf numFmtId="0" fontId="4" fillId="0" borderId="0" xfId="0" applyFont="1"/>
    <xf numFmtId="0" fontId="0" fillId="0" borderId="0"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164" fontId="0" fillId="0" borderId="0"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indent="2"/>
    </xf>
    <xf numFmtId="0" fontId="2" fillId="0" borderId="0" xfId="0" applyFont="1" applyAlignment="1">
      <alignment horizontal="center"/>
    </xf>
    <xf numFmtId="0" fontId="2" fillId="0" borderId="0" xfId="0" applyFont="1"/>
    <xf numFmtId="49" fontId="2" fillId="0" borderId="0" xfId="0" applyNumberFormat="1" applyFont="1"/>
    <xf numFmtId="0" fontId="0" fillId="0" borderId="0" xfId="0" applyAlignment="1">
      <alignment horizontal="left"/>
    </xf>
    <xf numFmtId="0" fontId="0" fillId="0" borderId="0" xfId="0" applyAlignment="1">
      <alignment horizontal="center" wrapText="1"/>
    </xf>
    <xf numFmtId="14" fontId="0" fillId="0" borderId="0" xfId="0" applyNumberFormat="1" applyAlignment="1">
      <alignment horizontal="center"/>
    </xf>
    <xf numFmtId="166" fontId="0" fillId="0" borderId="0" xfId="0" applyNumberFormat="1" applyAlignment="1">
      <alignment horizontal="left"/>
    </xf>
    <xf numFmtId="0" fontId="0" fillId="0" borderId="0" xfId="0" applyProtection="1"/>
    <xf numFmtId="166" fontId="0" fillId="0" borderId="0" xfId="0" applyNumberFormat="1" applyAlignment="1">
      <alignment horizontal="center"/>
    </xf>
    <xf numFmtId="167" fontId="0" fillId="0" borderId="0" xfId="0" applyNumberFormat="1"/>
    <xf numFmtId="164" fontId="0" fillId="0" borderId="0" xfId="0" applyNumberFormat="1" applyFont="1" applyFill="1" applyBorder="1" applyAlignment="1" applyProtection="1">
      <alignment horizontal="center" vertical="center"/>
      <protection locked="0"/>
    </xf>
    <xf numFmtId="167"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Protection="1">
      <protection locked="0"/>
    </xf>
    <xf numFmtId="0" fontId="14" fillId="0" borderId="0" xfId="0" applyFont="1" applyFill="1" applyBorder="1" applyAlignment="1">
      <alignment vertical="center"/>
    </xf>
    <xf numFmtId="49" fontId="14" fillId="0" borderId="0" xfId="0" applyNumberFormat="1" applyFont="1" applyFill="1" applyBorder="1" applyAlignment="1">
      <alignment horizontal="left" vertical="center"/>
    </xf>
    <xf numFmtId="0" fontId="14" fillId="0" borderId="0" xfId="0" applyFont="1" applyFill="1" applyBorder="1" applyAlignment="1">
      <alignment horizontal="center" vertical="center"/>
    </xf>
    <xf numFmtId="0" fontId="0" fillId="0" borderId="0" xfId="0" applyFont="1" applyBorder="1" applyAlignment="1">
      <alignment vertical="center"/>
    </xf>
    <xf numFmtId="0" fontId="16" fillId="0" borderId="0" xfId="0" applyFont="1" applyFill="1" applyAlignment="1">
      <alignment vertical="center"/>
    </xf>
    <xf numFmtId="0" fontId="17" fillId="0" borderId="0" xfId="0" applyFont="1" applyBorder="1" applyAlignment="1">
      <alignment vertical="center"/>
    </xf>
    <xf numFmtId="0" fontId="17" fillId="0" borderId="0" xfId="0" applyFont="1" applyBorder="1" applyAlignment="1">
      <alignment horizontal="right" vertical="center"/>
    </xf>
    <xf numFmtId="0" fontId="16" fillId="0" borderId="0" xfId="0" applyFont="1" applyFill="1" applyAlignment="1">
      <alignment horizontal="center" vertical="center"/>
    </xf>
    <xf numFmtId="0" fontId="18" fillId="10" borderId="0" xfId="0" applyFont="1" applyFill="1" applyBorder="1" applyAlignment="1">
      <alignment horizontal="center"/>
    </xf>
    <xf numFmtId="164" fontId="0" fillId="0" borderId="0" xfId="0" applyNumberFormat="1" applyAlignment="1">
      <alignment horizontal="center"/>
    </xf>
    <xf numFmtId="0" fontId="18" fillId="9" borderId="0" xfId="0" applyFont="1" applyFill="1" applyBorder="1" applyAlignment="1">
      <alignment horizontal="center"/>
    </xf>
    <xf numFmtId="0" fontId="18" fillId="8" borderId="0" xfId="0" applyFont="1" applyFill="1" applyBorder="1" applyAlignment="1">
      <alignment horizontal="center"/>
    </xf>
    <xf numFmtId="49" fontId="19" fillId="7" borderId="0" xfId="1" applyNumberFormat="1" applyFill="1" applyBorder="1" applyAlignment="1">
      <alignment vertical="center"/>
    </xf>
    <xf numFmtId="0" fontId="2" fillId="7" borderId="0" xfId="0" applyFont="1" applyFill="1" applyAlignment="1">
      <alignment vertical="center"/>
    </xf>
    <xf numFmtId="0" fontId="0" fillId="7" borderId="0" xfId="0" applyFill="1" applyBorder="1" applyAlignment="1">
      <alignment vertical="center"/>
    </xf>
    <xf numFmtId="0" fontId="3" fillId="7" borderId="0" xfId="0" applyFont="1" applyFill="1" applyBorder="1" applyAlignment="1">
      <alignment vertical="center"/>
    </xf>
    <xf numFmtId="0" fontId="2" fillId="7" borderId="0" xfId="0" applyFont="1" applyFill="1" applyAlignment="1">
      <alignment horizontal="center" vertical="center"/>
    </xf>
    <xf numFmtId="0" fontId="13" fillId="7" borderId="1" xfId="0" applyFont="1" applyFill="1" applyBorder="1" applyAlignment="1">
      <alignment horizontal="center"/>
    </xf>
    <xf numFmtId="0" fontId="0" fillId="7" borderId="0" xfId="0" applyFill="1"/>
    <xf numFmtId="0" fontId="21" fillId="0" borderId="0" xfId="0" applyFont="1" applyFill="1" applyAlignment="1">
      <alignment horizontal="right" vertical="center"/>
    </xf>
    <xf numFmtId="0" fontId="0" fillId="0" borderId="0" xfId="0" applyFont="1" applyFill="1" applyBorder="1" applyAlignment="1">
      <alignment vertical="center"/>
    </xf>
    <xf numFmtId="49" fontId="0" fillId="0" borderId="0" xfId="0" applyNumberFormat="1" applyFont="1" applyFill="1" applyBorder="1" applyAlignment="1">
      <alignment horizontal="left" vertical="center"/>
    </xf>
    <xf numFmtId="0" fontId="0" fillId="0" borderId="0" xfId="0" applyFont="1" applyFill="1" applyBorder="1" applyProtection="1">
      <protection locked="0"/>
    </xf>
    <xf numFmtId="164" fontId="0" fillId="0" borderId="0" xfId="0" applyNumberFormat="1" applyFont="1" applyFill="1" applyBorder="1"/>
    <xf numFmtId="164" fontId="0" fillId="0" borderId="0" xfId="0" applyNumberFormat="1" applyFont="1" applyFill="1" applyBorder="1" applyAlignment="1">
      <alignment horizontal="center"/>
    </xf>
    <xf numFmtId="0" fontId="23" fillId="0" borderId="0" xfId="0" applyFont="1" applyFill="1" applyBorder="1" applyAlignment="1">
      <alignment horizontal="left" vertical="center"/>
    </xf>
    <xf numFmtId="0" fontId="25" fillId="11" borderId="0" xfId="0" applyFont="1" applyFill="1" applyBorder="1" applyAlignment="1">
      <alignment horizontal="center" vertical="center"/>
    </xf>
    <xf numFmtId="0" fontId="25" fillId="9" borderId="0" xfId="0" applyFont="1" applyFill="1" applyBorder="1" applyAlignment="1">
      <alignment horizontal="center" vertical="center"/>
    </xf>
    <xf numFmtId="0" fontId="25" fillId="8" borderId="0" xfId="0" applyFont="1" applyFill="1" applyBorder="1" applyAlignment="1">
      <alignment horizontal="center" vertical="center"/>
    </xf>
    <xf numFmtId="0" fontId="25" fillId="10" borderId="0" xfId="0" applyFont="1" applyFill="1" applyBorder="1" applyAlignment="1">
      <alignment horizontal="center" vertical="center"/>
    </xf>
    <xf numFmtId="0" fontId="25" fillId="12" borderId="0" xfId="0" applyFont="1" applyFill="1" applyBorder="1" applyAlignment="1">
      <alignment horizontal="center" vertical="center"/>
    </xf>
    <xf numFmtId="0" fontId="25" fillId="0" borderId="0" xfId="0" applyFont="1" applyBorder="1" applyAlignment="1">
      <alignment vertical="center"/>
    </xf>
    <xf numFmtId="0" fontId="26" fillId="7" borderId="0" xfId="0" applyFont="1" applyFill="1" applyBorder="1" applyAlignment="1">
      <alignment horizontal="right" vertical="center"/>
    </xf>
    <xf numFmtId="0" fontId="26" fillId="7" borderId="0" xfId="0" applyFont="1" applyFill="1" applyBorder="1" applyAlignment="1">
      <alignment horizontal="center" vertical="center"/>
    </xf>
    <xf numFmtId="0" fontId="25" fillId="0" borderId="0" xfId="0" applyFont="1" applyAlignment="1">
      <alignment vertical="center"/>
    </xf>
    <xf numFmtId="0" fontId="11" fillId="7" borderId="7" xfId="0" applyFont="1" applyFill="1" applyBorder="1"/>
    <xf numFmtId="17" fontId="24" fillId="7" borderId="4" xfId="0" applyNumberFormat="1" applyFont="1" applyFill="1" applyBorder="1" applyAlignment="1">
      <alignment horizontal="left" vertical="center"/>
    </xf>
    <xf numFmtId="0" fontId="5" fillId="7" borderId="0" xfId="0" applyFont="1" applyFill="1" applyBorder="1" applyAlignment="1" applyProtection="1">
      <alignment vertical="center"/>
    </xf>
    <xf numFmtId="0" fontId="6" fillId="7" borderId="0" xfId="0" applyFont="1" applyFill="1" applyBorder="1" applyAlignment="1" applyProtection="1">
      <alignment horizontal="right" vertical="center"/>
    </xf>
    <xf numFmtId="0" fontId="0" fillId="7" borderId="0" xfId="0" applyFill="1" applyProtection="1"/>
    <xf numFmtId="0" fontId="19" fillId="7" borderId="0" xfId="1" applyFill="1" applyBorder="1" applyAlignment="1" applyProtection="1">
      <alignment vertical="center"/>
    </xf>
    <xf numFmtId="167" fontId="8" fillId="0" borderId="0" xfId="3" applyNumberFormat="1" applyBorder="1" applyAlignment="1" applyProtection="1">
      <alignment horizontal="left" vertical="center" wrapText="1" indent="1"/>
    </xf>
    <xf numFmtId="166" fontId="8" fillId="0" borderId="0" xfId="5" applyBorder="1" applyAlignment="1" applyProtection="1">
      <alignment horizontal="left" vertical="center" wrapText="1" indent="1"/>
    </xf>
    <xf numFmtId="0" fontId="25" fillId="0" borderId="0" xfId="0" applyFont="1" applyAlignment="1">
      <alignment horizontal="left" vertical="center"/>
    </xf>
    <xf numFmtId="0" fontId="0" fillId="8" borderId="0" xfId="0" applyFont="1" applyFill="1" applyBorder="1" applyAlignment="1">
      <alignment horizontal="center"/>
    </xf>
    <xf numFmtId="0" fontId="0" fillId="9" borderId="0" xfId="0" applyFont="1" applyFill="1" applyBorder="1" applyAlignment="1">
      <alignment horizontal="center"/>
    </xf>
    <xf numFmtId="0" fontId="0" fillId="10" borderId="0" xfId="0" applyFont="1" applyFill="1" applyBorder="1" applyAlignment="1">
      <alignment horizontal="center"/>
    </xf>
    <xf numFmtId="0" fontId="18" fillId="11" borderId="0" xfId="0" applyFont="1" applyFill="1" applyBorder="1" applyAlignment="1">
      <alignment horizontal="center"/>
    </xf>
    <xf numFmtId="0" fontId="28" fillId="0" borderId="0" xfId="0" applyFont="1"/>
    <xf numFmtId="0" fontId="28" fillId="11" borderId="0" xfId="0" applyFont="1" applyFill="1" applyAlignment="1">
      <alignment horizontal="center"/>
    </xf>
    <xf numFmtId="0" fontId="28" fillId="9" borderId="0" xfId="0" applyFont="1" applyFill="1" applyAlignment="1">
      <alignment horizontal="center"/>
    </xf>
    <xf numFmtId="0" fontId="28" fillId="8" borderId="0" xfId="0" applyFont="1" applyFill="1" applyAlignment="1">
      <alignment horizontal="center"/>
    </xf>
    <xf numFmtId="0" fontId="28" fillId="0" borderId="0" xfId="0" applyFont="1" applyProtection="1"/>
    <xf numFmtId="0" fontId="28" fillId="10" borderId="0" xfId="0" applyFont="1" applyFill="1" applyAlignment="1">
      <alignment horizontal="center"/>
    </xf>
    <xf numFmtId="0" fontId="28" fillId="12" borderId="0" xfId="0" applyFont="1" applyFill="1" applyAlignment="1">
      <alignment horizontal="center"/>
    </xf>
    <xf numFmtId="167" fontId="10" fillId="0" borderId="0" xfId="3" applyNumberFormat="1" applyFont="1" applyBorder="1" applyAlignment="1" applyProtection="1">
      <alignment horizontal="left"/>
    </xf>
    <xf numFmtId="167" fontId="29" fillId="7" borderId="0" xfId="1" applyNumberFormat="1" applyFont="1" applyFill="1" applyBorder="1" applyAlignment="1" applyProtection="1">
      <alignment vertical="center"/>
    </xf>
    <xf numFmtId="0" fontId="30" fillId="7" borderId="0" xfId="1" applyFont="1" applyFill="1" applyBorder="1" applyAlignment="1" applyProtection="1">
      <alignment horizontal="left" vertical="center" indent="1"/>
    </xf>
    <xf numFmtId="0" fontId="1" fillId="7" borderId="0" xfId="0" applyFont="1" applyFill="1"/>
    <xf numFmtId="0" fontId="0" fillId="0" borderId="0" xfId="0" applyAlignment="1">
      <alignment horizontal="center" vertical="center" wrapText="1"/>
    </xf>
    <xf numFmtId="0" fontId="0" fillId="0" borderId="0" xfId="0" applyAlignment="1">
      <alignment horizontal="left" vertical="center" wrapText="1"/>
    </xf>
    <xf numFmtId="0" fontId="19" fillId="7" borderId="0" xfId="1" applyFill="1" applyAlignment="1">
      <alignment horizontal="left" vertical="center" indent="1"/>
    </xf>
    <xf numFmtId="0" fontId="31" fillId="0" borderId="0" xfId="11"/>
    <xf numFmtId="0" fontId="0" fillId="0" borderId="0" xfId="0" applyAlignment="1">
      <alignment wrapText="1"/>
    </xf>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49" fontId="0" fillId="11" borderId="0" xfId="0" applyNumberFormat="1" applyFont="1" applyFill="1" applyBorder="1" applyAlignment="1">
      <alignment horizontal="center"/>
    </xf>
    <xf numFmtId="0" fontId="0" fillId="0" borderId="0" xfId="0" quotePrefix="1" applyAlignment="1">
      <alignment vertical="top"/>
    </xf>
    <xf numFmtId="0" fontId="0" fillId="0" borderId="0" xfId="0" applyFill="1"/>
    <xf numFmtId="0" fontId="0" fillId="0" borderId="0" xfId="0" applyAlignment="1">
      <alignment vertical="center" wrapText="1"/>
    </xf>
    <xf numFmtId="0" fontId="31" fillId="0" borderId="0" xfId="11" applyAlignment="1">
      <alignment vertical="top"/>
    </xf>
    <xf numFmtId="0" fontId="19" fillId="7" borderId="0" xfId="1" applyFont="1" applyFill="1" applyAlignment="1">
      <alignment horizontal="left" vertical="center" indent="1"/>
    </xf>
    <xf numFmtId="0" fontId="0" fillId="0" borderId="0" xfId="0" applyAlignment="1">
      <alignment wrapText="1"/>
    </xf>
    <xf numFmtId="168" fontId="36" fillId="2" borderId="9" xfId="2" applyNumberFormat="1" applyFont="1" applyFill="1" applyBorder="1" applyAlignment="1" applyProtection="1">
      <alignment vertical="center"/>
    </xf>
    <xf numFmtId="168" fontId="36" fillId="2" borderId="10" xfId="2" applyNumberFormat="1" applyFont="1" applyFill="1" applyBorder="1" applyAlignment="1" applyProtection="1">
      <alignment vertical="center"/>
    </xf>
    <xf numFmtId="0" fontId="37" fillId="0" borderId="8" xfId="3" applyFont="1" applyBorder="1" applyAlignment="1" applyProtection="1">
      <alignment horizontal="center" vertical="center" wrapText="1"/>
      <protection locked="0"/>
    </xf>
    <xf numFmtId="0" fontId="39" fillId="2" borderId="12" xfId="0" applyFont="1" applyFill="1" applyBorder="1" applyAlignment="1" applyProtection="1">
      <alignment horizontal="center" vertical="center"/>
    </xf>
    <xf numFmtId="164" fontId="41" fillId="0" borderId="8" xfId="8" applyNumberFormat="1" applyFont="1" applyFill="1" applyBorder="1" applyProtection="1">
      <alignment horizontal="center" vertical="center"/>
    </xf>
    <xf numFmtId="164" fontId="39" fillId="2" borderId="8" xfId="0" applyNumberFormat="1" applyFont="1" applyFill="1" applyBorder="1" applyAlignment="1" applyProtection="1">
      <alignment horizontal="center" vertical="center"/>
    </xf>
    <xf numFmtId="0" fontId="42" fillId="0" borderId="0" xfId="0" applyFont="1" applyProtection="1"/>
    <xf numFmtId="0" fontId="37" fillId="0" borderId="0" xfId="0" applyFont="1" applyFill="1" applyBorder="1" applyProtection="1"/>
    <xf numFmtId="164" fontId="40" fillId="0" borderId="8" xfId="7" applyNumberFormat="1" applyFont="1" applyFill="1" applyBorder="1" applyProtection="1">
      <alignment horizontal="center" vertical="center"/>
    </xf>
    <xf numFmtId="0" fontId="36" fillId="2" borderId="8" xfId="2" applyNumberFormat="1" applyFont="1" applyFill="1" applyBorder="1" applyAlignment="1" applyProtection="1">
      <alignment vertical="center"/>
    </xf>
    <xf numFmtId="0" fontId="44" fillId="11" borderId="13" xfId="0" applyFont="1" applyFill="1" applyBorder="1" applyAlignment="1" applyProtection="1">
      <alignment horizontal="center" vertical="center"/>
    </xf>
    <xf numFmtId="0" fontId="44" fillId="9" borderId="14" xfId="0" applyFont="1" applyFill="1" applyBorder="1" applyAlignment="1" applyProtection="1">
      <alignment horizontal="center" vertical="center"/>
    </xf>
    <xf numFmtId="0" fontId="44" fillId="8" borderId="14" xfId="0" applyFont="1" applyFill="1" applyBorder="1" applyAlignment="1" applyProtection="1">
      <alignment horizontal="center" vertical="center"/>
    </xf>
    <xf numFmtId="0" fontId="44" fillId="10" borderId="14" xfId="0" applyFont="1" applyFill="1" applyBorder="1" applyAlignment="1" applyProtection="1">
      <alignment horizontal="center" vertical="center"/>
    </xf>
    <xf numFmtId="0" fontId="19" fillId="7" borderId="0" xfId="1" applyNumberForma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horizontal="left" vertical="center"/>
    </xf>
    <xf numFmtId="164" fontId="45" fillId="0" borderId="0" xfId="0" applyNumberFormat="1" applyFont="1" applyFill="1" applyBorder="1" applyAlignment="1">
      <alignment horizontal="center" vertical="center"/>
    </xf>
    <xf numFmtId="0" fontId="46" fillId="7" borderId="16" xfId="0" applyFont="1" applyFill="1" applyBorder="1" applyAlignment="1">
      <alignment horizontal="center" vertical="center" wrapText="1"/>
    </xf>
    <xf numFmtId="0" fontId="46" fillId="7" borderId="16" xfId="0" applyFont="1" applyFill="1" applyBorder="1" applyAlignment="1">
      <alignment horizontal="left" vertical="center" wrapText="1"/>
    </xf>
    <xf numFmtId="0" fontId="47" fillId="0" borderId="8" xfId="0" applyFont="1" applyFill="1" applyBorder="1" applyAlignment="1">
      <alignment horizontal="left"/>
    </xf>
    <xf numFmtId="0" fontId="47" fillId="0" borderId="8" xfId="0" applyFont="1" applyFill="1" applyBorder="1"/>
    <xf numFmtId="0" fontId="47" fillId="0" borderId="8" xfId="0" applyFont="1" applyFill="1" applyBorder="1" applyAlignment="1">
      <alignment horizontal="center"/>
    </xf>
    <xf numFmtId="0" fontId="47" fillId="2" borderId="8" xfId="0" applyFont="1" applyFill="1" applyBorder="1" applyAlignment="1">
      <alignment horizontal="left"/>
    </xf>
    <xf numFmtId="0" fontId="47" fillId="2" borderId="8" xfId="0" applyFont="1" applyFill="1" applyBorder="1"/>
    <xf numFmtId="0" fontId="47" fillId="2" borderId="8" xfId="0" applyFont="1" applyFill="1" applyBorder="1" applyAlignment="1">
      <alignment horizontal="center"/>
    </xf>
    <xf numFmtId="0" fontId="0" fillId="0" borderId="0" xfId="0" applyAlignment="1">
      <alignment vertical="center" wrapText="1"/>
    </xf>
    <xf numFmtId="0" fontId="0" fillId="0" borderId="0" xfId="0" applyAlignment="1">
      <alignment vertical="top" wrapText="1"/>
    </xf>
    <xf numFmtId="0" fontId="0" fillId="0" borderId="0" xfId="0" applyAlignment="1">
      <alignment wrapText="1"/>
    </xf>
    <xf numFmtId="0" fontId="33" fillId="0" borderId="0" xfId="12" quotePrefix="1" applyAlignment="1">
      <alignment vertical="top" wrapText="1"/>
    </xf>
    <xf numFmtId="0" fontId="15" fillId="7" borderId="4" xfId="0" applyFont="1" applyFill="1" applyBorder="1" applyAlignment="1">
      <alignment horizontal="center"/>
    </xf>
    <xf numFmtId="0" fontId="15" fillId="7" borderId="5" xfId="0" applyFont="1" applyFill="1" applyBorder="1" applyAlignment="1">
      <alignment horizontal="center"/>
    </xf>
    <xf numFmtId="0" fontId="15" fillId="7" borderId="6" xfId="0" applyFont="1" applyFill="1" applyBorder="1" applyAlignment="1">
      <alignment horizontal="center"/>
    </xf>
    <xf numFmtId="0" fontId="15" fillId="7" borderId="1" xfId="0" applyFont="1" applyFill="1" applyBorder="1" applyAlignment="1">
      <alignment horizontal="center"/>
    </xf>
    <xf numFmtId="164" fontId="40" fillId="0" borderId="15" xfId="7" applyNumberFormat="1" applyFont="1" applyFill="1" applyBorder="1" applyProtection="1">
      <alignment horizontal="center" vertical="center"/>
    </xf>
    <xf numFmtId="164" fontId="40" fillId="0" borderId="12" xfId="7" applyNumberFormat="1" applyFont="1" applyFill="1" applyBorder="1" applyProtection="1">
      <alignment horizontal="center" vertical="center"/>
    </xf>
    <xf numFmtId="0" fontId="43" fillId="0" borderId="0" xfId="0" applyFont="1" applyFill="1" applyBorder="1" applyAlignment="1" applyProtection="1">
      <alignment horizontal="right" vertical="center"/>
    </xf>
    <xf numFmtId="0" fontId="38" fillId="2" borderId="8" xfId="6" applyFont="1" applyFill="1" applyBorder="1" applyProtection="1">
      <alignment horizontal="center" vertical="center"/>
    </xf>
    <xf numFmtId="164" fontId="40" fillId="0" borderId="8" xfId="7" applyNumberFormat="1" applyFont="1" applyFill="1" applyBorder="1" applyProtection="1">
      <alignment horizontal="center" vertical="center"/>
    </xf>
    <xf numFmtId="0" fontId="38" fillId="2" borderId="15" xfId="6" applyFont="1" applyFill="1" applyBorder="1" applyProtection="1">
      <alignment horizontal="center" vertical="center"/>
    </xf>
    <xf numFmtId="0" fontId="38" fillId="2" borderId="12" xfId="6" applyFont="1" applyFill="1" applyBorder="1" applyProtection="1">
      <alignment horizontal="center" vertical="center"/>
    </xf>
    <xf numFmtId="0" fontId="12" fillId="7" borderId="0" xfId="0" applyFont="1" applyFill="1" applyBorder="1" applyAlignment="1" applyProtection="1">
      <alignment horizontal="center" vertical="center"/>
    </xf>
    <xf numFmtId="0" fontId="37" fillId="0" borderId="8" xfId="3" applyFont="1" applyBorder="1" applyAlignment="1" applyProtection="1">
      <alignment horizontal="left" vertical="center" wrapText="1" indent="1"/>
      <protection locked="0"/>
    </xf>
    <xf numFmtId="167" fontId="37" fillId="0" borderId="8" xfId="3" applyNumberFormat="1" applyFont="1" applyBorder="1" applyAlignment="1" applyProtection="1">
      <alignment horizontal="left" vertical="center" wrapText="1" indent="1"/>
    </xf>
    <xf numFmtId="168" fontId="36" fillId="2" borderId="8" xfId="2" applyNumberFormat="1" applyFont="1" applyFill="1" applyBorder="1" applyAlignment="1" applyProtection="1">
      <alignment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36" fillId="2" borderId="8" xfId="2" applyNumberFormat="1" applyFont="1" applyFill="1" applyBorder="1" applyProtection="1">
      <alignment vertical="center"/>
    </xf>
    <xf numFmtId="0" fontId="37" fillId="0" borderId="8" xfId="3" applyFont="1" applyBorder="1" applyAlignment="1" applyProtection="1">
      <alignment horizontal="center" vertical="center" wrapText="1"/>
      <protection locked="0"/>
    </xf>
    <xf numFmtId="168" fontId="36" fillId="2" borderId="8" xfId="2" applyNumberFormat="1" applyFont="1" applyFill="1" applyBorder="1" applyProtection="1">
      <alignment vertical="center"/>
    </xf>
    <xf numFmtId="166" fontId="37" fillId="0" borderId="8" xfId="5" applyFont="1" applyBorder="1" applyAlignment="1" applyProtection="1">
      <alignment horizontal="left" vertical="center" wrapText="1" indent="1"/>
    </xf>
    <xf numFmtId="167" fontId="37" fillId="0" borderId="8" xfId="3" applyNumberFormat="1" applyFont="1" applyBorder="1" applyAlignment="1" applyProtection="1">
      <alignment horizontal="center" vertical="center" wrapText="1"/>
    </xf>
    <xf numFmtId="14" fontId="37" fillId="0" borderId="8" xfId="4" applyNumberFormat="1" applyFont="1" applyBorder="1" applyAlignment="1" applyProtection="1">
      <alignment horizontal="center" vertical="center" wrapText="1"/>
    </xf>
  </cellXfs>
  <cellStyles count="13">
    <cellStyle name="Attendance Totals" xfId="7"/>
    <cellStyle name="Birthdate" xfId="4"/>
    <cellStyle name="Month" xfId="6"/>
    <cellStyle name="Phone Number" xfId="5"/>
    <cellStyle name="Student Information" xfId="2"/>
    <cellStyle name="Student Information - user entered" xfId="3"/>
    <cellStyle name="Weekday" xfId="8"/>
    <cellStyle name="Weekend" xfId="9"/>
    <cellStyle name="Гіперпосилання" xfId="12" builtinId="8"/>
    <cellStyle name="Заголовок 1" xfId="10" builtinId="16" customBuiltin="1"/>
    <cellStyle name="Заголовок 2" xfId="11" builtinId="17" customBuiltin="1"/>
    <cellStyle name="Звичайний" xfId="0" builtinId="0" customBuiltin="1"/>
    <cellStyle name="Назва" xfId="1" builtinId="15" customBuiltin="1"/>
  </cellStyles>
  <dxfs count="998">
    <dxf>
      <font>
        <color theme="4" tint="0.79998168889431442"/>
      </font>
    </dxf>
    <dxf>
      <fill>
        <patternFill>
          <bgColor theme="8" tint="0.59996337778862885"/>
        </patternFill>
      </fill>
    </dxf>
    <dxf>
      <fill>
        <patternFill>
          <bgColor theme="8" tint="0.79998168889431442"/>
        </patternFill>
      </fill>
    </dxf>
    <dxf>
      <fill>
        <patternFill>
          <bgColor theme="6"/>
        </patternFill>
      </fill>
    </dxf>
    <dxf>
      <fill>
        <patternFill>
          <bgColor theme="5"/>
        </patternFill>
      </fill>
    </dxf>
    <dxf>
      <fill>
        <patternFill>
          <bgColor theme="7"/>
        </patternFill>
      </fill>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7" formatCode="0;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7" formatCode="0;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7" formatCode="0;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7" formatCode="0;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7" formatCode="0;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7" formatCode="0;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Century Gothic"/>
        <scheme val="major"/>
      </font>
    </dxf>
    <dxf>
      <font>
        <color theme="4" tint="0.79998168889431442"/>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color theme="4"/>
      </font>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7"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7" formatCode="0;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Century Gothic"/>
        <scheme val="major"/>
      </font>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4" formatCode="0;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4" formatCode="0;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4" formatCode="0;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7" formatCode="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4" formatCode="0;0;"/>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164" formatCode="0;0;"/>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textRotation="0" wrapText="0" indent="0" justifyLastLine="0" shrinkToFit="0" readingOrder="0"/>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scheme val="minor"/>
      </font>
      <numFmt numFmtId="164" formatCode="0;0;"/>
      <fill>
        <patternFill patternType="none">
          <fgColor indexed="64"/>
          <bgColor indexed="65"/>
        </patternFill>
      </fill>
      <alignment horizontal="center" vertical="center" textRotation="0" wrapText="0" indent="0" justifyLastLine="0" shrinkToFit="0" readingOrder="0"/>
    </dxf>
    <dxf>
      <fill>
        <patternFill>
          <bgColor theme="7"/>
        </patternFill>
      </fill>
    </dxf>
    <dxf>
      <fill>
        <patternFill>
          <bgColor theme="6"/>
        </patternFill>
      </fill>
    </dxf>
    <dxf>
      <fill>
        <patternFill>
          <bgColor theme="8" tint="0.79998168889431442"/>
        </patternFill>
      </fill>
    </dxf>
    <dxf>
      <fill>
        <patternFill>
          <bgColor theme="8" tint="0.59996337778862885"/>
        </patternFill>
      </fill>
    </dxf>
    <dxf>
      <fill>
        <patternFill>
          <bgColor theme="5"/>
        </patternFill>
      </fill>
    </dxf>
    <dxf>
      <numFmt numFmtId="0" formatCode="General"/>
      <alignment horizontal="left" vertical="bottom" textRotation="0" wrapText="0" indent="0" justifyLastLine="0" shrinkToFit="0" readingOrder="0"/>
    </dxf>
    <dxf>
      <numFmt numFmtId="166" formatCode="[&lt;=9999999]###\-####;\(###\)\ ###\-####"/>
      <alignment horizontal="center" vertical="bottom" textRotation="0" wrapText="0" indent="0" justifyLastLine="0" shrinkToFit="0" readingOrder="0"/>
    </dxf>
    <dxf>
      <numFmt numFmtId="166" formatCode="[&lt;=9999999]###\-####;\(###\)\ ###\-####"/>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66" formatCode="[&lt;=9999999]###\-####;\(###\)\ ###\-####"/>
      <alignment horizontal="center" vertical="bottom" textRotation="0" wrapText="0" indent="0" justifyLastLine="0" shrinkToFit="0" readingOrder="0"/>
    </dxf>
    <dxf>
      <numFmt numFmtId="166" formatCode="[&lt;=9999999]###\-####;\(###\)\ ###\-####"/>
      <alignment horizontal="center" vertical="bottom" textRotation="0" wrapText="0" indent="0" justifyLastLine="0" shrinkToFit="0" readingOrder="0"/>
    </dxf>
    <dxf>
      <numFmt numFmtId="166" formatCode="[&lt;=9999999]###\-####;\(###\)\ ###\-####"/>
      <alignment horizontal="left" vertical="bottom" textRotation="0" wrapText="0" indent="0" justifyLastLine="0" shrinkToFit="0" readingOrder="0"/>
    </dxf>
    <dxf>
      <numFmt numFmtId="166" formatCode="[&lt;=9999999]###\-####;\(###\)\ ###\-####"/>
      <alignment horizontal="left" vertical="bottom" textRotation="0" wrapText="0" indent="0" justifyLastLine="0" shrinkToFit="0" readingOrder="0"/>
    </dxf>
    <dxf>
      <numFmt numFmtId="166" formatCode="[&lt;=9999999]###\-####;\(###\)\ ###\-####"/>
      <alignment horizontal="center" vertical="bottom" textRotation="0" wrapText="0" indent="0" justifyLastLine="0" shrinkToFit="0" readingOrder="0"/>
    </dxf>
    <dxf>
      <numFmt numFmtId="166" formatCode="[&lt;=9999999]###\-####;\(###\)\ ###\-####"/>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9" formatCode="dd/mm/yyyy"/>
      <alignment horizontal="center" vertical="bottom" textRotation="0" wrapText="0" indent="0" justifyLastLine="0" shrinkToFit="0" readingOrder="0"/>
    </dxf>
    <dxf>
      <font>
        <color theme="3" tint="-0.24994659260841701"/>
      </font>
      <fill>
        <patternFill patternType="none">
          <fgColor indexed="64"/>
          <bgColor indexed="65"/>
        </patternFill>
      </fill>
      <alignment horizontal="center" vertical="bottom" textRotation="0" wrapText="0" indent="0" justifyLastLine="0" shrinkToFit="0" readingOrder="0"/>
      <border diagonalUp="0" diagonalDown="0">
        <left style="thin">
          <color theme="3" tint="0.59996337778862885"/>
        </left>
        <right style="thin">
          <color theme="3" tint="0.59996337778862885"/>
        </right>
        <top style="thin">
          <color theme="3" tint="0.59996337778862885"/>
        </top>
        <bottom style="thin">
          <color theme="3" tint="0.59996337778862885"/>
        </bottom>
        <vertical/>
        <horizontal/>
      </border>
    </dxf>
    <dxf>
      <font>
        <color theme="3" tint="-0.24994659260841701"/>
      </font>
      <fill>
        <patternFill patternType="none">
          <fgColor indexed="64"/>
          <bgColor indexed="65"/>
        </patternFill>
      </fill>
      <alignment horizontal="left" vertical="bottom" textRotation="0" wrapText="0" indent="0" justifyLastLine="0" shrinkToFit="0" readingOrder="0"/>
      <border diagonalUp="0" diagonalDown="0">
        <left style="thin">
          <color theme="3" tint="0.59996337778862885"/>
        </left>
        <right style="thin">
          <color theme="3" tint="0.59996337778862885"/>
        </right>
        <top style="thin">
          <color theme="3" tint="0.59996337778862885"/>
        </top>
        <bottom style="thin">
          <color theme="3" tint="0.59996337778862885"/>
        </bottom>
        <vertical/>
        <horizontal/>
      </border>
    </dxf>
    <dxf>
      <font>
        <b val="0"/>
        <i val="0"/>
        <strike val="0"/>
        <condense val="0"/>
        <extend val="0"/>
        <outline val="0"/>
        <shadow val="0"/>
        <u val="none"/>
        <vertAlign val="baseline"/>
        <sz val="10"/>
        <color theme="3" tint="-0.24994659260841701"/>
        <name val="Century Gothic"/>
        <scheme val="minor"/>
      </font>
      <fill>
        <patternFill patternType="none">
          <fgColor indexed="64"/>
          <bgColor indexed="65"/>
        </patternFill>
      </fill>
      <border diagonalUp="0" diagonalDown="0">
        <left style="thin">
          <color theme="3" tint="0.59996337778862885"/>
        </left>
        <right style="thin">
          <color theme="3" tint="0.59996337778862885"/>
        </right>
        <top style="thin">
          <color theme="3" tint="0.59996337778862885"/>
        </top>
        <bottom style="thin">
          <color theme="3" tint="0.59996337778862885"/>
        </bottom>
        <vertical/>
        <horizontal/>
      </border>
    </dxf>
    <dxf>
      <font>
        <color theme="3" tint="-0.24994659260841701"/>
      </font>
      <fill>
        <patternFill patternType="none">
          <fgColor indexed="64"/>
          <bgColor indexed="65"/>
        </patternFill>
      </fill>
      <alignment horizontal="left" vertical="bottom" textRotation="0" wrapText="0" indent="0" justifyLastLine="0" shrinkToFit="0" readingOrder="0"/>
      <border diagonalUp="0" diagonalDown="0">
        <left style="thin">
          <color theme="3" tint="0.59996337778862885"/>
        </left>
        <right style="thin">
          <color theme="3" tint="0.59996337778862885"/>
        </right>
        <top style="thin">
          <color theme="3" tint="0.59996337778862885"/>
        </top>
        <bottom style="thin">
          <color theme="3" tint="0.59996337778862885"/>
        </bottom>
        <vertical/>
        <horizontal/>
      </border>
    </dxf>
    <dxf>
      <alignment horizontal="center" vertical="center" textRotation="0" wrapText="1" indent="0" justifyLastLine="0" shrinkToFit="0" readingOrder="0"/>
    </dxf>
    <dxf>
      <fill>
        <patternFill>
          <bgColor theme="4" tint="0.79998168889431442"/>
        </patternFill>
      </fill>
    </dxf>
    <dxf>
      <fill>
        <patternFill patternType="none">
          <fgColor indexed="64"/>
          <bgColor auto="1"/>
        </patternFill>
      </fill>
    </dxf>
    <dxf>
      <font>
        <b val="0"/>
        <i val="0"/>
      </font>
      <border>
        <top style="double">
          <color theme="1"/>
        </top>
      </border>
    </dxf>
    <dxf>
      <font>
        <b/>
        <i val="0"/>
        <color theme="0"/>
      </font>
      <fill>
        <patternFill>
          <bgColor theme="4"/>
        </patternFill>
      </fill>
      <border>
        <left style="thin">
          <color theme="3"/>
        </left>
        <right style="thin">
          <color theme="3"/>
        </right>
        <top style="thin">
          <color theme="4" tint="-0.499984740745262"/>
        </top>
        <bottom style="medium">
          <color theme="4" tint="-0.499984740745262"/>
        </bottom>
        <vertical style="thin">
          <color theme="3"/>
        </vertical>
        <horizontal style="thin">
          <color theme="3"/>
        </horizontal>
      </border>
    </dxf>
    <dxf>
      <font>
        <color theme="3" tint="-0.2499465926084170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
      <fill>
        <patternFill>
          <bgColor theme="4" tint="0.79998168889431442"/>
        </patternFill>
      </fill>
    </dxf>
    <dxf>
      <fill>
        <patternFill patternType="none">
          <fgColor indexed="64"/>
          <bgColor auto="1"/>
        </patternFill>
      </fill>
    </dxf>
    <dxf>
      <font>
        <b val="0"/>
        <i val="0"/>
      </font>
      <border>
        <top style="double">
          <color theme="1"/>
        </top>
      </border>
    </dxf>
    <dxf>
      <font>
        <color theme="1"/>
      </font>
      <fill>
        <patternFill>
          <bgColor theme="4" tint="0.79998168889431442"/>
        </patternFill>
      </fill>
      <border>
        <left style="thin">
          <color theme="3"/>
        </left>
        <right style="thin">
          <color theme="3"/>
        </right>
        <top style="medium">
          <color theme="3"/>
        </top>
        <bottom style="thin">
          <color theme="3"/>
        </bottom>
        <vertical style="thin">
          <color theme="3"/>
        </vertical>
        <horizontal style="thin">
          <color theme="3"/>
        </horizontal>
      </border>
    </dxf>
    <dxf>
      <font>
        <color theme="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s>
  <tableStyles count="2" defaultTableStyle="TableStyleMedium2" defaultPivotStyle="PivotStyleLight16">
    <tableStyle name="Employee Absence Table" pivot="0" count="5">
      <tableStyleElement type="wholeTable" dxfId="997"/>
      <tableStyleElement type="headerRow" dxfId="996"/>
      <tableStyleElement type="totalRow" dxfId="995"/>
      <tableStyleElement type="firstRowStripe" dxfId="994"/>
      <tableStyleElement type="secondRowStripe" dxfId="993"/>
    </tableStyle>
    <tableStyle name="Student List" pivot="0" count="5">
      <tableStyleElement type="wholeTable" dxfId="992"/>
      <tableStyleElement type="headerRow" dxfId="991"/>
      <tableStyleElement type="totalRow" dxfId="990"/>
      <tableStyleElement type="firstRowStripe" dxfId="989"/>
      <tableStyleElement type="secondRowStripe" dxfId="988"/>
    </tableStyle>
  </tableStyles>
  <colors>
    <mruColors>
      <color rgb="FFF0D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Spin" dx="16" fmlaLink="Календарнийрік" max="3000" min="2010" page="10" val="2012"/>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39</xdr:col>
          <xdr:colOff>38100</xdr:colOff>
          <xdr:row>0</xdr:row>
          <xdr:rowOff>104775</xdr:rowOff>
        </xdr:from>
        <xdr:to>
          <xdr:col>39</xdr:col>
          <xdr:colOff>209550</xdr:colOff>
          <xdr:row>0</xdr:row>
          <xdr:rowOff>419100</xdr:rowOff>
        </xdr:to>
        <xdr:sp macro="" textlink="">
          <xdr:nvSpPr>
            <xdr:cNvPr id="2049" name="Лічильник 1" descr="Calendar Year Spinner. Click the spinner to change the school calendar year or type the year in cell AM."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ables/table1.xml><?xml version="1.0" encoding="utf-8"?>
<table xmlns="http://schemas.openxmlformats.org/spreadsheetml/2006/main" id="1" name="Перелікстудентів" displayName="Перелікстудентів" ref="B3:S8" totalsRowShown="0" headerRowDxfId="987">
  <autoFilter ref="B3:S8"/>
  <tableColumns count="18">
    <tableColumn id="1" name="Код студента" dataDxfId="986"/>
    <tableColumn id="2" name="Ім’я студента" dataDxfId="985"/>
    <tableColumn id="3" name="Прізвище студента" dataDxfId="984"/>
    <tableColumn id="5" name="Стать" dataDxfId="983"/>
    <tableColumn id="6" name="Дата народження" dataDxfId="982"/>
    <tableColumn id="7" name="Батько/мати/опікун1" dataDxfId="981"/>
    <tableColumn id="10" name="Відносини з батьком/матір’ю/опікуном1" dataDxfId="980"/>
    <tableColumn id="9" name="Роб. тел. батька/матері/опікуна1" dataDxfId="979"/>
    <tableColumn id="8" name="Дом. тел. батька/матері/опікуна1" dataDxfId="978"/>
    <tableColumn id="18" name="Батько/мати/опікун2" dataDxfId="977"/>
    <tableColumn id="15" name="Відносини з батьком/матір’ю/опікуном2" dataDxfId="976"/>
    <tableColumn id="16" name="Роб. тел. батька/матері/опікуна2" dataDxfId="975"/>
    <tableColumn id="17" name="Дом. тел. батька/матері/опікуна2" dataDxfId="974"/>
    <tableColumn id="13" name="В екстрених ситуаціях телефонувати" dataDxfId="973"/>
    <tableColumn id="12" name="В екстрених ситуаціях звертатися до" dataDxfId="972"/>
    <tableColumn id="11" name="Роб. тел. контакту на випадок екстреної ситуації" dataDxfId="971"/>
    <tableColumn id="14" name="Дом. тел. контакту на випадок екстреної ситуації" dataDxfId="970"/>
    <tableColumn id="4" name="Повне ім’я студента" dataDxfId="969">
      <calculatedColumnFormula>Перелікстудентів[[#This Row],[Ім’я студента]]&amp;" " &amp;Перелікстудентів[[#This Row],[Прізвище студента]]</calculatedColumnFormula>
    </tableColumn>
  </tableColumns>
  <tableStyleInfo name="Student List" showFirstColumn="0" showLastColumn="0" showRowStripes="1" showColumnStripes="0"/>
  <extLst>
    <ext xmlns:x14="http://schemas.microsoft.com/office/spreadsheetml/2009/9/main" uri="{504A1905-F514-4f6f-8877-14C23A59335A}">
      <x14:table altText="Список студентів" altTextSummary="Імена студентів, контактна інформація опікунів та контактна інформація на випадок екстрених ситуацій для кожного студента."/>
    </ext>
  </extLst>
</table>
</file>

<file path=xl/tables/table10.xml><?xml version="1.0" encoding="utf-8"?>
<table xmlns="http://schemas.openxmlformats.org/spreadsheetml/2006/main" id="9" name="Відвідуваністьзаквітень" displayName="Відвідуваністьзаквітень" ref="B6:AM12" totalsRowCount="1" headerRowDxfId="332" totalsRowDxfId="331">
  <tableColumns count="38">
    <tableColumn id="38" name="Код студента" dataDxfId="330" totalsRowDxfId="329"/>
    <tableColumn id="1" name="Ім’я студента" totalsRowLabel="Усього днів відсутній" dataDxfId="328" totalsRowDxfId="327">
      <calculatedColumnFormula>IFERROR(VLOOKUP(Відвідуваністьзаквітень[[#This Row],[Код студента]],Перелікстудентів[],18,FALSE),"")</calculatedColumnFormula>
    </tableColumn>
    <tableColumn id="2" name="1" totalsRowFunction="custom" dataDxfId="326" totalsRowDxfId="325">
      <totalsRowFormula>COUNTIF(Відвідуваністьзаквітень[1],"П")+COUNTIF(Відвідуваністьзаквітень[1],"ПП")</totalsRowFormula>
    </tableColumn>
    <tableColumn id="3" name="2" totalsRowFunction="custom" dataDxfId="324" totalsRowDxfId="323">
      <totalsRowFormula>COUNTIF(Відвідуваністьзаквітень[2],"П")+COUNTIF(Відвідуваністьзаквітень[2],"ПП")</totalsRowFormula>
    </tableColumn>
    <tableColumn id="4" name="3" totalsRowFunction="custom" dataDxfId="322" totalsRowDxfId="321">
      <totalsRowFormula>COUNTIF(Відвідуваністьзаквітень[3],"П")+COUNTIF(Відвідуваністьзаквітень[3],"ПП")</totalsRowFormula>
    </tableColumn>
    <tableColumn id="5" name="4" totalsRowFunction="custom" dataDxfId="320" totalsRowDxfId="319">
      <totalsRowFormula>COUNTIF(Відвідуваністьзаквітень[4],"П")+COUNTIF(Відвідуваністьзаквітень[4],"ПП")</totalsRowFormula>
    </tableColumn>
    <tableColumn id="6" name="5" totalsRowFunction="custom" dataDxfId="318" totalsRowDxfId="317">
      <totalsRowFormula>COUNTIF(Відвідуваністьзаквітень[5],"П")+COUNTIF(Відвідуваністьзаквітень[5],"ПП")</totalsRowFormula>
    </tableColumn>
    <tableColumn id="7" name="6" totalsRowFunction="custom" dataDxfId="316" totalsRowDxfId="315">
      <totalsRowFormula>COUNTIF(Відвідуваністьзаквітень[6],"П")+COUNTIF(Відвідуваністьзаквітень[6],"ПП")</totalsRowFormula>
    </tableColumn>
    <tableColumn id="8" name="7" totalsRowFunction="custom" dataDxfId="314" totalsRowDxfId="313">
      <totalsRowFormula>COUNTIF(Відвідуваністьзаквітень[7],"П")+COUNTIF(Відвідуваністьзаквітень[7],"ПП")</totalsRowFormula>
    </tableColumn>
    <tableColumn id="9" name="8" totalsRowFunction="custom" dataDxfId="312" totalsRowDxfId="311">
      <totalsRowFormula>COUNTIF(Відвідуваністьзаквітень[8],"П")+COUNTIF(Відвідуваністьзаквітень[8],"ПП")</totalsRowFormula>
    </tableColumn>
    <tableColumn id="10" name="9" totalsRowFunction="custom" dataDxfId="310" totalsRowDxfId="309">
      <totalsRowFormula>COUNTIF(Відвідуваністьзаквітень[9],"П")+COUNTIF(Відвідуваністьзаквітень[9],"ПП")</totalsRowFormula>
    </tableColumn>
    <tableColumn id="11" name="10" totalsRowFunction="custom" dataDxfId="308" totalsRowDxfId="307">
      <totalsRowFormula>COUNTIF(Відвідуваністьзаквітень[10],"П")+COUNTIF(Відвідуваністьзаквітень[10],"ПП")</totalsRowFormula>
    </tableColumn>
    <tableColumn id="12" name="11" totalsRowFunction="custom" dataDxfId="306" totalsRowDxfId="305">
      <totalsRowFormula>COUNTIF(Відвідуваністьзаквітень[11],"П")+COUNTIF(Відвідуваністьзаквітень[11],"ПП")</totalsRowFormula>
    </tableColumn>
    <tableColumn id="13" name="12" totalsRowFunction="custom" dataDxfId="304" totalsRowDxfId="303">
      <totalsRowFormula>COUNTIF(Відвідуваністьзаквітень[12],"П")+COUNTIF(Відвідуваністьзаквітень[12],"ПП")</totalsRowFormula>
    </tableColumn>
    <tableColumn id="14" name="13" totalsRowFunction="custom" dataDxfId="302" totalsRowDxfId="301">
      <totalsRowFormula>COUNTIF(Відвідуваністьзаквітень[13],"П")+COUNTIF(Відвідуваністьзаквітень[13],"ПП")</totalsRowFormula>
    </tableColumn>
    <tableColumn id="15" name="14" totalsRowFunction="custom" dataDxfId="300" totalsRowDxfId="299">
      <totalsRowFormula>COUNTIF(Відвідуваністьзаквітень[14],"П")+COUNTIF(Відвідуваністьзаквітень[14],"ПП")</totalsRowFormula>
    </tableColumn>
    <tableColumn id="16" name="15" totalsRowFunction="custom" dataDxfId="298" totalsRowDxfId="297">
      <totalsRowFormula>COUNTIF(Відвідуваністьзаквітень[15],"П")+COUNTIF(Відвідуваністьзаквітень[15],"ПП")</totalsRowFormula>
    </tableColumn>
    <tableColumn id="17" name="16" totalsRowFunction="custom" dataDxfId="296" totalsRowDxfId="295">
      <totalsRowFormula>COUNTIF(Відвідуваністьзаквітень[16],"П")+COUNTIF(Відвідуваністьзаквітень[16],"ПП")</totalsRowFormula>
    </tableColumn>
    <tableColumn id="18" name="17" totalsRowFunction="custom" dataDxfId="294" totalsRowDxfId="293">
      <totalsRowFormula>COUNTIF(Відвідуваністьзаквітень[17],"П")+COUNTIF(Відвідуваністьзаквітень[17],"ПП")</totalsRowFormula>
    </tableColumn>
    <tableColumn id="19" name="18" totalsRowFunction="custom" dataDxfId="292" totalsRowDxfId="291">
      <totalsRowFormula>COUNTIF(Відвідуваністьзаквітень[18],"П")+COUNTIF(Відвідуваністьзаквітень[18],"ПП")</totalsRowFormula>
    </tableColumn>
    <tableColumn id="20" name="19" totalsRowFunction="custom" dataDxfId="290" totalsRowDxfId="289">
      <totalsRowFormula>COUNTIF(Відвідуваністьзаквітень[19],"П")+COUNTIF(Відвідуваністьзаквітень[19],"ПП")</totalsRowFormula>
    </tableColumn>
    <tableColumn id="21" name="20" totalsRowFunction="custom" dataDxfId="288" totalsRowDxfId="287">
      <totalsRowFormula>COUNTIF(Відвідуваністьзаквітень[20],"П")+COUNTIF(Відвідуваністьзаквітень[20],"ПП")</totalsRowFormula>
    </tableColumn>
    <tableColumn id="22" name="21" totalsRowFunction="custom" dataDxfId="286" totalsRowDxfId="285">
      <totalsRowFormula>COUNTIF(Відвідуваністьзаквітень[21],"П")+COUNTIF(Відвідуваністьзаквітень[21],"ПП")</totalsRowFormula>
    </tableColumn>
    <tableColumn id="23" name="22" totalsRowFunction="custom" dataDxfId="284" totalsRowDxfId="283">
      <totalsRowFormula>COUNTIF(Відвідуваністьзаквітень[22],"П")+COUNTIF(Відвідуваністьзаквітень[22],"ПП")</totalsRowFormula>
    </tableColumn>
    <tableColumn id="24" name="23" totalsRowFunction="custom" dataDxfId="282" totalsRowDxfId="281">
      <totalsRowFormula>COUNTIF(Відвідуваністьзаквітень[23],"П")+COUNTIF(Відвідуваністьзаквітень[23],"ПП")</totalsRowFormula>
    </tableColumn>
    <tableColumn id="25" name="24" totalsRowFunction="custom" dataDxfId="280" totalsRowDxfId="279">
      <totalsRowFormula>COUNTIF(Відвідуваністьзаквітень[24],"П")+COUNTIF(Відвідуваністьзаквітень[24],"ПП")</totalsRowFormula>
    </tableColumn>
    <tableColumn id="26" name="25" totalsRowFunction="custom" dataDxfId="278" totalsRowDxfId="277">
      <totalsRowFormula>COUNTIF(Відвідуваністьзаквітень[25],"П")+COUNTIF(Відвідуваністьзаквітень[25],"ПП")</totalsRowFormula>
    </tableColumn>
    <tableColumn id="27" name="26" totalsRowFunction="custom" dataDxfId="276" totalsRowDxfId="275">
      <totalsRowFormula>COUNTIF(Відвідуваністьзаквітень[26],"П")+COUNTIF(Відвідуваністьзаквітень[26],"ПП")</totalsRowFormula>
    </tableColumn>
    <tableColumn id="28" name="27" totalsRowFunction="custom" dataDxfId="274" totalsRowDxfId="273">
      <totalsRowFormula>COUNTIF(Відвідуваністьзаквітень[27],"П")+COUNTIF(Відвідуваністьзаквітень[27],"ПП")</totalsRowFormula>
    </tableColumn>
    <tableColumn id="29" name="28" totalsRowFunction="custom" dataDxfId="272" totalsRowDxfId="271">
      <totalsRowFormula>COUNTIF(Відвідуваністьзаквітень[28],"П")+COUNTIF(Відвідуваністьзаквітень[28],"ПП")</totalsRowFormula>
    </tableColumn>
    <tableColumn id="30" name="29" totalsRowFunction="custom" dataDxfId="270" totalsRowDxfId="269">
      <totalsRowFormula>COUNTIF(Відвідуваністьзаквітень[29],"П")+COUNTIF(Відвідуваністьзаквітень[29],"ПП")</totalsRowFormula>
    </tableColumn>
    <tableColumn id="31" name="30" totalsRowFunction="custom" dataDxfId="268" totalsRowDxfId="267">
      <totalsRowFormula>COUNTIF(Відвідуваністьзаквітень[30],"П")+COUNTIF(Відвідуваністьзаквітень[30],"ПП")</totalsRowFormula>
    </tableColumn>
    <tableColumn id="32" name=" " totalsRowFunction="custom" dataDxfId="266" totalsRowDxfId="265">
      <totalsRowFormula>COUNTIF(Відвідуваністьзаквітень[[ ]],"П")+COUNTIF(Відвідуваністьзаквітень[[ ]],"ПП")</totalsRowFormula>
    </tableColumn>
    <tableColumn id="35" name="З" totalsRowFunction="sum" dataDxfId="264" totalsRowDxfId="263">
      <calculatedColumnFormula>COUNTIF(Відвідуваністьзаквітень[[#This Row],[1]:[ ]],Код1)</calculatedColumnFormula>
    </tableColumn>
    <tableColumn id="34" name="ПП" totalsRowFunction="sum" dataDxfId="262" totalsRowDxfId="261">
      <calculatedColumnFormula>COUNTIF(Відвідуваністьзаквітень[[#This Row],[1]:[ ]],Код2)</calculatedColumnFormula>
    </tableColumn>
    <tableColumn id="37" name="П" totalsRowFunction="sum" dataDxfId="260" totalsRowDxfId="259">
      <calculatedColumnFormula>COUNTIF(Відвідуваністьзаквітень[[#This Row],[1]:[ ]],Код3)</calculatedColumnFormula>
    </tableColumn>
    <tableColumn id="36" name="Н" totalsRowFunction="sum" dataDxfId="258" totalsRowDxfId="257">
      <calculatedColumnFormula>COUNTIF(Відвідуваністьзаквітень[[#This Row],[1]:[ ]],Код4)</calculatedColumnFormula>
    </tableColumn>
    <tableColumn id="33" name="Відсутність, дн." totalsRowFunction="sum" dataDxfId="256" totalsRowDxfId="255">
      <calculatedColumnFormula>SUM(Відвідуваністьзавересень[[#This Row],[ПП]:[П]])</calculatedColumnFormula>
    </tableColumn>
  </tableColumns>
  <tableStyleInfo name="Employee Absence Table" showFirstColumn="0" showLastColumn="0" showRowStripes="1" showColumnStripes="1"/>
  <extLst>
    <ext xmlns:x14="http://schemas.microsoft.com/office/spreadsheetml/2009/9/main" uri="{504A1905-F514-4f6f-8877-14C23A59335A}">
      <x14:table altText="Облік відвідування занять за лютий" altTextSummary="Відстеження відвідуваності занять студентами у квітні. Запізнення = З, поважна причина = ПП, прогул = П, на місці = Н, вихідний = В."/>
    </ext>
  </extLst>
</table>
</file>

<file path=xl/tables/table11.xml><?xml version="1.0" encoding="utf-8"?>
<table xmlns="http://schemas.openxmlformats.org/spreadsheetml/2006/main" id="11" name="Відвідуваністьзатравень" displayName="Відвідуваністьзатравень" ref="B6:AM12" totalsRowCount="1" headerRowDxfId="249" totalsRowDxfId="248">
  <tableColumns count="38">
    <tableColumn id="38" name="Код студента" dataDxfId="247" totalsRowDxfId="246"/>
    <tableColumn id="1" name="Ім’я студента" totalsRowLabel="Усього днів відсутній" dataDxfId="245" totalsRowDxfId="244">
      <calculatedColumnFormula>IFERROR(VLOOKUP(Відвідуваністьзатравень[[#This Row],[Код студента]],Перелікстудентів[],18,FALSE),"")</calculatedColumnFormula>
    </tableColumn>
    <tableColumn id="2" name="1" totalsRowFunction="custom" dataDxfId="243" totalsRowDxfId="242">
      <totalsRowFormula>COUNTIF(Відвідуваністьзатравень[1],"П")+COUNTIF(Відвідуваністьзатравень[1],"ПП")</totalsRowFormula>
    </tableColumn>
    <tableColumn id="3" name="2" totalsRowFunction="custom" dataDxfId="241" totalsRowDxfId="240">
      <totalsRowFormula>COUNTIF(Відвідуваністьзатравень[2],"П")+COUNTIF(Відвідуваністьзатравень[2],"ПП")</totalsRowFormula>
    </tableColumn>
    <tableColumn id="4" name="3" totalsRowFunction="custom" dataDxfId="239" totalsRowDxfId="238">
      <totalsRowFormula>COUNTIF(Відвідуваністьзатравень[3],"П")+COUNTIF(Відвідуваністьзатравень[3],"ПП")</totalsRowFormula>
    </tableColumn>
    <tableColumn id="5" name="4" totalsRowFunction="custom" dataDxfId="237" totalsRowDxfId="236">
      <totalsRowFormula>COUNTIF(Відвідуваністьзатравень[4],"П")+COUNTIF(Відвідуваністьзатравень[4],"ПП")</totalsRowFormula>
    </tableColumn>
    <tableColumn id="6" name="5" totalsRowFunction="custom" dataDxfId="235" totalsRowDxfId="234">
      <totalsRowFormula>COUNTIF(Відвідуваністьзатравень[5],"П")+COUNTIF(Відвідуваністьзатравень[5],"ПП")</totalsRowFormula>
    </tableColumn>
    <tableColumn id="7" name="6" totalsRowFunction="custom" dataDxfId="233" totalsRowDxfId="232">
      <totalsRowFormula>COUNTIF(Відвідуваністьзатравень[6],"П")+COUNTIF(Відвідуваністьзатравень[6],"ПП")</totalsRowFormula>
    </tableColumn>
    <tableColumn id="8" name="7" totalsRowFunction="custom" dataDxfId="231" totalsRowDxfId="230">
      <totalsRowFormula>COUNTIF(Відвідуваністьзатравень[7],"П")+COUNTIF(Відвідуваністьзатравень[7],"ПП")</totalsRowFormula>
    </tableColumn>
    <tableColumn id="9" name="8" totalsRowFunction="custom" dataDxfId="229" totalsRowDxfId="228">
      <totalsRowFormula>COUNTIF(Відвідуваністьзатравень[8],"П")+COUNTIF(Відвідуваністьзатравень[8],"ПП")</totalsRowFormula>
    </tableColumn>
    <tableColumn id="10" name="9" totalsRowFunction="custom" dataDxfId="227" totalsRowDxfId="226">
      <totalsRowFormula>COUNTIF(Відвідуваністьзатравень[9],"П")+COUNTIF(Відвідуваністьзатравень[9],"ПП")</totalsRowFormula>
    </tableColumn>
    <tableColumn id="11" name="10" totalsRowFunction="custom" dataDxfId="225" totalsRowDxfId="224">
      <totalsRowFormula>COUNTIF(Відвідуваністьзатравень[10],"П")+COUNTIF(Відвідуваністьзатравень[10],"ПП")</totalsRowFormula>
    </tableColumn>
    <tableColumn id="12" name="11" totalsRowFunction="custom" dataDxfId="223" totalsRowDxfId="222">
      <totalsRowFormula>COUNTIF(Відвідуваністьзатравень[11],"П")+COUNTIF(Відвідуваністьзатравень[11],"ПП")</totalsRowFormula>
    </tableColumn>
    <tableColumn id="13" name="12" totalsRowFunction="custom" dataDxfId="221" totalsRowDxfId="220">
      <totalsRowFormula>COUNTIF(Відвідуваністьзатравень[12],"П")+COUNTIF(Відвідуваністьзатравень[12],"ПП")</totalsRowFormula>
    </tableColumn>
    <tableColumn id="14" name="13" totalsRowFunction="custom" dataDxfId="219" totalsRowDxfId="218">
      <totalsRowFormula>COUNTIF(Відвідуваністьзатравень[13],"П")+COUNTIF(Відвідуваністьзатравень[13],"ПП")</totalsRowFormula>
    </tableColumn>
    <tableColumn id="15" name="14" totalsRowFunction="custom" dataDxfId="217" totalsRowDxfId="216">
      <totalsRowFormula>COUNTIF(Відвідуваністьзатравень[14],"П")+COUNTIF(Відвідуваністьзатравень[14],"ПП")</totalsRowFormula>
    </tableColumn>
    <tableColumn id="16" name="15" totalsRowFunction="custom" dataDxfId="215" totalsRowDxfId="214">
      <totalsRowFormula>COUNTIF(Відвідуваністьзатравень[15],"П")+COUNTIF(Відвідуваністьзатравень[15],"ПП")</totalsRowFormula>
    </tableColumn>
    <tableColumn id="17" name="16" totalsRowFunction="custom" dataDxfId="213" totalsRowDxfId="212">
      <totalsRowFormula>COUNTIF(Відвідуваністьзатравень[16],"П")+COUNTIF(Відвідуваністьзатравень[16],"ПП")</totalsRowFormula>
    </tableColumn>
    <tableColumn id="18" name="17" totalsRowFunction="custom" dataDxfId="211" totalsRowDxfId="210">
      <totalsRowFormula>COUNTIF(Відвідуваністьзатравень[17],"П")+COUNTIF(Відвідуваністьзатравень[17],"ПП")</totalsRowFormula>
    </tableColumn>
    <tableColumn id="19" name="18" totalsRowFunction="custom" dataDxfId="209" totalsRowDxfId="208">
      <totalsRowFormula>COUNTIF(Відвідуваністьзатравень[18],"П")+COUNTIF(Відвідуваністьзатравень[18],"ПП")</totalsRowFormula>
    </tableColumn>
    <tableColumn id="20" name="19" totalsRowFunction="custom" dataDxfId="207" totalsRowDxfId="206">
      <totalsRowFormula>COUNTIF(Відвідуваністьзатравень[19],"П")+COUNTIF(Відвідуваністьзатравень[19],"ПП")</totalsRowFormula>
    </tableColumn>
    <tableColumn id="21" name="20" totalsRowFunction="custom" dataDxfId="205" totalsRowDxfId="204">
      <totalsRowFormula>COUNTIF(Відвідуваністьзатравень[20],"П")+COUNTIF(Відвідуваністьзатравень[20],"ПП")</totalsRowFormula>
    </tableColumn>
    <tableColumn id="22" name="21" totalsRowFunction="custom" dataDxfId="203" totalsRowDxfId="202">
      <totalsRowFormula>COUNTIF(Відвідуваністьзатравень[21],"П")+COUNTIF(Відвідуваністьзатравень[21],"ПП")</totalsRowFormula>
    </tableColumn>
    <tableColumn id="23" name="22" totalsRowFunction="custom" dataDxfId="201" totalsRowDxfId="200">
      <totalsRowFormula>COUNTIF(Відвідуваністьзатравень[22],"П")+COUNTIF(Відвідуваністьзатравень[22],"ПП")</totalsRowFormula>
    </tableColumn>
    <tableColumn id="24" name="23" totalsRowFunction="custom" dataDxfId="199" totalsRowDxfId="198">
      <totalsRowFormula>COUNTIF(Відвідуваністьзатравень[23],"П")+COUNTIF(Відвідуваністьзатравень[23],"ПП")</totalsRowFormula>
    </tableColumn>
    <tableColumn id="25" name="24" totalsRowFunction="custom" dataDxfId="197" totalsRowDxfId="196">
      <totalsRowFormula>COUNTIF(Відвідуваністьзатравень[24],"П")+COUNTIF(Відвідуваністьзатравень[24],"ПП")</totalsRowFormula>
    </tableColumn>
    <tableColumn id="26" name="25" totalsRowFunction="custom" dataDxfId="195" totalsRowDxfId="194">
      <totalsRowFormula>COUNTIF(Відвідуваністьзатравень[25],"П")+COUNTIF(Відвідуваністьзатравень[25],"ПП")</totalsRowFormula>
    </tableColumn>
    <tableColumn id="27" name="26" totalsRowFunction="custom" dataDxfId="193" totalsRowDxfId="192">
      <totalsRowFormula>COUNTIF(Відвідуваністьзатравень[26],"П")+COUNTIF(Відвідуваністьзатравень[26],"ПП")</totalsRowFormula>
    </tableColumn>
    <tableColumn id="28" name="27" totalsRowFunction="custom" dataDxfId="191" totalsRowDxfId="190">
      <totalsRowFormula>COUNTIF(Відвідуваністьзатравень[27],"П")+COUNTIF(Відвідуваністьзатравень[27],"ПП")</totalsRowFormula>
    </tableColumn>
    <tableColumn id="29" name="28" totalsRowFunction="custom" dataDxfId="189" totalsRowDxfId="188">
      <totalsRowFormula>COUNTIF(Відвідуваністьзатравень[28],"П")+COUNTIF(Відвідуваністьзатравень[28],"ПП")</totalsRowFormula>
    </tableColumn>
    <tableColumn id="30" name="29" totalsRowFunction="custom" dataDxfId="187" totalsRowDxfId="186">
      <totalsRowFormula>COUNTIF(Відвідуваністьзатравень[29],"П")+COUNTIF(Відвідуваністьзатравень[29],"ПП")</totalsRowFormula>
    </tableColumn>
    <tableColumn id="31" name="30" totalsRowFunction="custom" dataDxfId="185" totalsRowDxfId="184">
      <totalsRowFormula>COUNTIF(Відвідуваністьзатравень[30],"П")+COUNTIF(Відвідуваністьзатравень[30],"ПП")</totalsRowFormula>
    </tableColumn>
    <tableColumn id="32" name="31" totalsRowFunction="custom" dataDxfId="183" totalsRowDxfId="182">
      <totalsRowFormula>COUNTIF(Відвідуваністьзатравень[31],"П")+COUNTIF(Відвідуваністьзатравень[31],"ПП")</totalsRowFormula>
    </tableColumn>
    <tableColumn id="35" name="З" totalsRowFunction="sum" dataDxfId="181" totalsRowDxfId="180">
      <calculatedColumnFormula>COUNTIF(Відвідуваністьзатравень[[#This Row],[1]:[31]],Код1)</calculatedColumnFormula>
    </tableColumn>
    <tableColumn id="34" name="ПП" totalsRowFunction="sum" dataDxfId="179" totalsRowDxfId="178">
      <calculatedColumnFormula>COUNTIF(Відвідуваністьзатравень[[#This Row],[1]:[31]],Код2)</calculatedColumnFormula>
    </tableColumn>
    <tableColumn id="37" name="П" totalsRowFunction="sum" dataDxfId="177" totalsRowDxfId="176">
      <calculatedColumnFormula>COUNTIF(Відвідуваністьзатравень[[#This Row],[1]:[31]],Код3)</calculatedColumnFormula>
    </tableColumn>
    <tableColumn id="36" name="Н" totalsRowFunction="sum" dataDxfId="175" totalsRowDxfId="174">
      <calculatedColumnFormula>COUNTIF(Відвідуваністьзатравень[[#This Row],[1]:[31]],Код4)</calculatedColumnFormula>
    </tableColumn>
    <tableColumn id="33" name="Відсутність, дн." totalsRowFunction="sum" dataDxfId="173" totalsRowDxfId="172">
      <calculatedColumnFormula>SUM(Відвідуваністьзавересень[[#This Row],[ПП]:[П]])</calculatedColumnFormula>
    </tableColumn>
  </tableColumns>
  <tableStyleInfo name="Employee Absence Table" showFirstColumn="0" showLastColumn="0" showRowStripes="1" showColumnStripes="1"/>
  <extLst>
    <ext xmlns:x14="http://schemas.microsoft.com/office/spreadsheetml/2009/9/main" uri="{504A1905-F514-4f6f-8877-14C23A59335A}">
      <x14:table altText="Облік відвідування занять за лютий" altTextSummary="Відстеження відвідуваності занять студентами у травні. Запізнення = З, поважна причина = ПП, прогул = П, на місці = Н, вихідний = В."/>
    </ext>
  </extLst>
</table>
</file>

<file path=xl/tables/table12.xml><?xml version="1.0" encoding="utf-8"?>
<table xmlns="http://schemas.openxmlformats.org/spreadsheetml/2006/main" id="12" name="Відвідуваністьзачервень" displayName="Відвідуваністьзачервень" ref="B6:AM12" totalsRowCount="1" headerRowDxfId="166" totalsRowDxfId="165">
  <tableColumns count="38">
    <tableColumn id="38" name="Код студента" dataDxfId="164" totalsRowDxfId="163"/>
    <tableColumn id="1" name="Ім’я студента" totalsRowLabel="Усього днів відсутній" dataDxfId="162" totalsRowDxfId="161">
      <calculatedColumnFormula>IFERROR(VLOOKUP(Відвідуваністьзачервень[[#This Row],[Код студента]],Перелікстудентів[],18,FALSE),"")</calculatedColumnFormula>
    </tableColumn>
    <tableColumn id="2" name="1" totalsRowFunction="custom" dataDxfId="160" totalsRowDxfId="159">
      <totalsRowFormula>COUNTIF(Відвідуваністьзачервень[1],"П")+COUNTIF(Відвідуваністьзачервень[1],"ПП")</totalsRowFormula>
    </tableColumn>
    <tableColumn id="3" name="2" totalsRowFunction="custom" dataDxfId="158" totalsRowDxfId="157">
      <totalsRowFormula>COUNTIF(Відвідуваністьзачервень[2],"П")+COUNTIF(Відвідуваністьзачервень[2],"ПП")</totalsRowFormula>
    </tableColumn>
    <tableColumn id="4" name="3" totalsRowFunction="custom" dataDxfId="156" totalsRowDxfId="155">
      <totalsRowFormula>COUNTIF(Відвідуваністьзачервень[3],"П")+COUNTIF(Відвідуваністьзачервень[3],"ПП")</totalsRowFormula>
    </tableColumn>
    <tableColumn id="5" name="4" totalsRowFunction="custom" dataDxfId="154" totalsRowDxfId="153">
      <totalsRowFormula>COUNTIF(Відвідуваністьзачервень[4],"П")+COUNTIF(Відвідуваністьзачервень[4],"ПП")</totalsRowFormula>
    </tableColumn>
    <tableColumn id="6" name="5" totalsRowFunction="custom" dataDxfId="152" totalsRowDxfId="151">
      <totalsRowFormula>COUNTIF(Відвідуваністьзачервень[5],"П")+COUNTIF(Відвідуваністьзачервень[5],"ПП")</totalsRowFormula>
    </tableColumn>
    <tableColumn id="7" name="6" totalsRowFunction="custom" dataDxfId="150" totalsRowDxfId="149">
      <totalsRowFormula>COUNTIF(Відвідуваністьзачервень[6],"П")+COUNTIF(Відвідуваністьзачервень[6],"ПП")</totalsRowFormula>
    </tableColumn>
    <tableColumn id="8" name="7" totalsRowFunction="custom" dataDxfId="148" totalsRowDxfId="147">
      <totalsRowFormula>COUNTIF(Відвідуваністьзачервень[7],"П")+COUNTIF(Відвідуваністьзачервень[7],"ПП")</totalsRowFormula>
    </tableColumn>
    <tableColumn id="9" name="8" totalsRowFunction="custom" dataDxfId="146" totalsRowDxfId="145">
      <totalsRowFormula>COUNTIF(Відвідуваністьзачервень[8],"П")+COUNTIF(Відвідуваністьзачервень[8],"ПП")</totalsRowFormula>
    </tableColumn>
    <tableColumn id="10" name="9" totalsRowFunction="custom" dataDxfId="144" totalsRowDxfId="143">
      <totalsRowFormula>COUNTIF(Відвідуваністьзачервень[9],"П")+COUNTIF(Відвідуваністьзачервень[9],"ПП")</totalsRowFormula>
    </tableColumn>
    <tableColumn id="11" name="10" totalsRowFunction="custom" dataDxfId="142" totalsRowDxfId="141">
      <totalsRowFormula>COUNTIF(Відвідуваністьзачервень[10],"П")+COUNTIF(Відвідуваністьзачервень[10],"ПП")</totalsRowFormula>
    </tableColumn>
    <tableColumn id="12" name="11" totalsRowFunction="custom" dataDxfId="140" totalsRowDxfId="139">
      <totalsRowFormula>COUNTIF(Відвідуваністьзачервень[11],"П")+COUNTIF(Відвідуваністьзачервень[11],"ПП")</totalsRowFormula>
    </tableColumn>
    <tableColumn id="13" name="12" totalsRowFunction="custom" dataDxfId="138" totalsRowDxfId="137">
      <totalsRowFormula>COUNTIF(Відвідуваністьзачервень[12],"П")+COUNTIF(Відвідуваністьзачервень[12],"ПП")</totalsRowFormula>
    </tableColumn>
    <tableColumn id="14" name="13" totalsRowFunction="custom" dataDxfId="136" totalsRowDxfId="135">
      <totalsRowFormula>COUNTIF(Відвідуваністьзачервень[13],"П")+COUNTIF(Відвідуваністьзачервень[13],"ПП")</totalsRowFormula>
    </tableColumn>
    <tableColumn id="15" name="14" totalsRowFunction="custom" dataDxfId="134" totalsRowDxfId="133">
      <totalsRowFormula>COUNTIF(Відвідуваністьзачервень[14],"П")+COUNTIF(Відвідуваністьзачервень[14],"ПП")</totalsRowFormula>
    </tableColumn>
    <tableColumn id="16" name="15" totalsRowFunction="custom" dataDxfId="132" totalsRowDxfId="131">
      <totalsRowFormula>COUNTIF(Відвідуваністьзачервень[15],"П")+COUNTIF(Відвідуваністьзачервень[15],"ПП")</totalsRowFormula>
    </tableColumn>
    <tableColumn id="17" name="16" totalsRowFunction="custom" dataDxfId="130" totalsRowDxfId="129">
      <totalsRowFormula>COUNTIF(Відвідуваністьзачервень[16],"П")+COUNTIF(Відвідуваністьзачервень[16],"ПП")</totalsRowFormula>
    </tableColumn>
    <tableColumn id="18" name="17" totalsRowFunction="custom" dataDxfId="128" totalsRowDxfId="127">
      <totalsRowFormula>COUNTIF(Відвідуваністьзачервень[17],"П")+COUNTIF(Відвідуваністьзачервень[17],"ПП")</totalsRowFormula>
    </tableColumn>
    <tableColumn id="19" name="18" totalsRowFunction="custom" dataDxfId="126" totalsRowDxfId="125">
      <totalsRowFormula>COUNTIF(Відвідуваністьзачервень[18],"П")+COUNTIF(Відвідуваністьзачервень[18],"ПП")</totalsRowFormula>
    </tableColumn>
    <tableColumn id="20" name="19" totalsRowFunction="custom" dataDxfId="124" totalsRowDxfId="123">
      <totalsRowFormula>COUNTIF(Відвідуваністьзачервень[19],"П")+COUNTIF(Відвідуваністьзачервень[19],"ПП")</totalsRowFormula>
    </tableColumn>
    <tableColumn id="21" name="20" totalsRowFunction="custom" dataDxfId="122" totalsRowDxfId="121">
      <totalsRowFormula>COUNTIF(Відвідуваністьзачервень[20],"П")+COUNTIF(Відвідуваністьзачервень[20],"ПП")</totalsRowFormula>
    </tableColumn>
    <tableColumn id="22" name="21" totalsRowFunction="custom" dataDxfId="120" totalsRowDxfId="119">
      <totalsRowFormula>COUNTIF(Відвідуваністьзачервень[21],"П")+COUNTIF(Відвідуваністьзачервень[21],"ПП")</totalsRowFormula>
    </tableColumn>
    <tableColumn id="23" name="22" totalsRowFunction="custom" dataDxfId="118" totalsRowDxfId="117">
      <totalsRowFormula>COUNTIF(Відвідуваністьзачервень[22],"П")+COUNTIF(Відвідуваністьзачервень[22],"ПП")</totalsRowFormula>
    </tableColumn>
    <tableColumn id="24" name="23" totalsRowFunction="custom" dataDxfId="116" totalsRowDxfId="115">
      <totalsRowFormula>COUNTIF(Відвідуваністьзачервень[23],"П")+COUNTIF(Відвідуваністьзачервень[23],"ПП")</totalsRowFormula>
    </tableColumn>
    <tableColumn id="25" name="24" totalsRowFunction="custom" dataDxfId="114" totalsRowDxfId="113">
      <totalsRowFormula>COUNTIF(Відвідуваністьзачервень[24],"П")+COUNTIF(Відвідуваністьзачервень[24],"ПП")</totalsRowFormula>
    </tableColumn>
    <tableColumn id="26" name="25" totalsRowFunction="custom" dataDxfId="112" totalsRowDxfId="111">
      <totalsRowFormula>COUNTIF(Відвідуваністьзачервень[25],"П")+COUNTIF(Відвідуваністьзачервень[25],"ПП")</totalsRowFormula>
    </tableColumn>
    <tableColumn id="27" name="26" totalsRowFunction="custom" dataDxfId="110" totalsRowDxfId="109">
      <totalsRowFormula>COUNTIF(Відвідуваністьзачервень[26],"П")+COUNTIF(Відвідуваністьзачервень[26],"ПП")</totalsRowFormula>
    </tableColumn>
    <tableColumn id="28" name="27" totalsRowFunction="custom" dataDxfId="108" totalsRowDxfId="107">
      <totalsRowFormula>COUNTIF(Відвідуваністьзачервень[27],"П")+COUNTIF(Відвідуваністьзачервень[27],"ПП")</totalsRowFormula>
    </tableColumn>
    <tableColumn id="29" name="28" totalsRowFunction="custom" dataDxfId="106" totalsRowDxfId="105">
      <totalsRowFormula>COUNTIF(Відвідуваністьзачервень[28],"П")+COUNTIF(Відвідуваністьзачервень[28],"ПП")</totalsRowFormula>
    </tableColumn>
    <tableColumn id="30" name="29" totalsRowFunction="custom" dataDxfId="104" totalsRowDxfId="103">
      <totalsRowFormula>COUNTIF(Відвідуваністьзачервень[29],"П")+COUNTIF(Відвідуваністьзачервень[29],"ПП")</totalsRowFormula>
    </tableColumn>
    <tableColumn id="31" name="30" totalsRowFunction="custom" dataDxfId="102" totalsRowDxfId="101">
      <totalsRowFormula>COUNTIF(Відвідуваністьзачервень[30],"П")+COUNTIF(Відвідуваністьзачервень[30],"ПП")</totalsRowFormula>
    </tableColumn>
    <tableColumn id="32" name=" " totalsRowFunction="custom" dataDxfId="100" totalsRowDxfId="99">
      <totalsRowFormula>COUNTIF(Відвідуваністьзачервень[[ ]],"П")+COUNTIF(Відвідуваністьзачервень[[ ]],"ПП")</totalsRowFormula>
    </tableColumn>
    <tableColumn id="35" name="З" totalsRowFunction="sum" dataDxfId="98" totalsRowDxfId="97">
      <calculatedColumnFormula>COUNTIF(Відвідуваністьзачервень[[#This Row],[1]:[ ]],Код1)</calculatedColumnFormula>
    </tableColumn>
    <tableColumn id="34" name="ПП" totalsRowFunction="sum" dataDxfId="96" totalsRowDxfId="95">
      <calculatedColumnFormula>COUNTIF(Відвідуваністьзачервень[[#This Row],[1]:[ ]],Код2)</calculatedColumnFormula>
    </tableColumn>
    <tableColumn id="37" name="П" totalsRowFunction="sum" dataDxfId="94" totalsRowDxfId="93">
      <calculatedColumnFormula>COUNTIF(Відвідуваністьзачервень[[#This Row],[1]:[ ]],Код3)</calculatedColumnFormula>
    </tableColumn>
    <tableColumn id="36" name="Н" totalsRowFunction="sum" dataDxfId="92" totalsRowDxfId="91">
      <calculatedColumnFormula>COUNTIF(Відвідуваністьзачервень[[#This Row],[1]:[ ]],Код4)</calculatedColumnFormula>
    </tableColumn>
    <tableColumn id="33" name="Відсутність, дн." totalsRowFunction="sum" dataDxfId="90" totalsRowDxfId="89">
      <calculatedColumnFormula>SUM(Відвідуваністьзавересень[[#This Row],[ПП]:[П]])</calculatedColumnFormula>
    </tableColumn>
  </tableColumns>
  <tableStyleInfo name="Employee Absence Table" showFirstColumn="0" showLastColumn="0" showRowStripes="1" showColumnStripes="1"/>
  <extLst>
    <ext xmlns:x14="http://schemas.microsoft.com/office/spreadsheetml/2009/9/main" uri="{504A1905-F514-4f6f-8877-14C23A59335A}">
      <x14:table altText="Облік відвідування занять за лютий" altTextSummary="Відстеження відвідуваності занять студентами в червні. Запізнення = З, поважна причина = ПП, прогул = П, на місці = Н, вихідний = В."/>
    </ext>
  </extLst>
</table>
</file>

<file path=xl/tables/table13.xml><?xml version="1.0" encoding="utf-8"?>
<table xmlns="http://schemas.openxmlformats.org/spreadsheetml/2006/main" id="13" name="Відвідуваністьзалипень" displayName="Відвідуваністьзалипень" ref="B6:AM12" totalsRowCount="1" headerRowDxfId="83" totalsRowDxfId="82">
  <tableColumns count="38">
    <tableColumn id="38" name="Код студента" dataDxfId="81" totalsRowDxfId="80"/>
    <tableColumn id="1" name="Ім’я студента" totalsRowLabel="Усього днів відсутній" dataDxfId="79" totalsRowDxfId="78">
      <calculatedColumnFormula>IFERROR(VLOOKUP(Відвідуваністьзалипень[[#This Row],[Код студента]],Перелікстудентів[],18,FALSE),"")</calculatedColumnFormula>
    </tableColumn>
    <tableColumn id="2" name="1" totalsRowFunction="custom" dataDxfId="77" totalsRowDxfId="76">
      <totalsRowFormula>COUNTIF(Відвідуваністьзалипень[1],"П")+COUNTIF(Відвідуваністьзалипень[1],"ПП")</totalsRowFormula>
    </tableColumn>
    <tableColumn id="3" name="2" totalsRowFunction="custom" dataDxfId="75" totalsRowDxfId="74">
      <totalsRowFormula>COUNTIF(Відвідуваністьзалипень[2],"П")+COUNTIF(Відвідуваністьзалипень[2],"ПП")</totalsRowFormula>
    </tableColumn>
    <tableColumn id="4" name="3" totalsRowFunction="custom" dataDxfId="73" totalsRowDxfId="72">
      <totalsRowFormula>COUNTIF(Відвідуваністьзалипень[3],"П")+COUNTIF(Відвідуваністьзалипень[3],"ПП")</totalsRowFormula>
    </tableColumn>
    <tableColumn id="5" name="4" totalsRowFunction="custom" dataDxfId="71" totalsRowDxfId="70">
      <totalsRowFormula>COUNTIF(Відвідуваністьзалипень[4],"П")+COUNTIF(Відвідуваністьзалипень[4],"ПП")</totalsRowFormula>
    </tableColumn>
    <tableColumn id="6" name="5" totalsRowFunction="custom" dataDxfId="69" totalsRowDxfId="68">
      <totalsRowFormula>COUNTIF(Відвідуваністьзалипень[5],"П")+COUNTIF(Відвідуваністьзалипень[5],"ПП")</totalsRowFormula>
    </tableColumn>
    <tableColumn id="7" name="6" totalsRowFunction="custom" dataDxfId="67" totalsRowDxfId="66">
      <totalsRowFormula>COUNTIF(Відвідуваністьзалипень[6],"П")+COUNTIF(Відвідуваністьзалипень[6],"ПП")</totalsRowFormula>
    </tableColumn>
    <tableColumn id="8" name="7" totalsRowFunction="custom" dataDxfId="65" totalsRowDxfId="64">
      <totalsRowFormula>COUNTIF(Відвідуваністьзалипень[7],"П")+COUNTIF(Відвідуваністьзалипень[7],"ПП")</totalsRowFormula>
    </tableColumn>
    <tableColumn id="9" name="8" totalsRowFunction="custom" dataDxfId="63" totalsRowDxfId="62">
      <totalsRowFormula>COUNTIF(Відвідуваністьзалипень[8],"П")+COUNTIF(Відвідуваністьзалипень[8],"ПП")</totalsRowFormula>
    </tableColumn>
    <tableColumn id="10" name="9" totalsRowFunction="custom" dataDxfId="61" totalsRowDxfId="60">
      <totalsRowFormula>COUNTIF(Відвідуваністьзалипень[9],"П")+COUNTIF(Відвідуваністьзалипень[9],"ПП")</totalsRowFormula>
    </tableColumn>
    <tableColumn id="11" name="10" totalsRowFunction="custom" dataDxfId="59" totalsRowDxfId="58">
      <totalsRowFormula>COUNTIF(Відвідуваністьзалипень[10],"П")+COUNTIF(Відвідуваністьзалипень[10],"ПП")</totalsRowFormula>
    </tableColumn>
    <tableColumn id="12" name="11" totalsRowFunction="custom" dataDxfId="57" totalsRowDxfId="56">
      <totalsRowFormula>COUNTIF(Відвідуваністьзалипень[11],"П")+COUNTIF(Відвідуваністьзалипень[11],"ПП")</totalsRowFormula>
    </tableColumn>
    <tableColumn id="13" name="12" totalsRowFunction="custom" dataDxfId="55" totalsRowDxfId="54">
      <totalsRowFormula>COUNTIF(Відвідуваністьзалипень[12],"П")+COUNTIF(Відвідуваністьзалипень[12],"ПП")</totalsRowFormula>
    </tableColumn>
    <tableColumn id="14" name="13" totalsRowFunction="custom" dataDxfId="53" totalsRowDxfId="52">
      <totalsRowFormula>COUNTIF(Відвідуваністьзалипень[13],"П")+COUNTIF(Відвідуваністьзалипень[13],"ПП")</totalsRowFormula>
    </tableColumn>
    <tableColumn id="15" name="14" totalsRowFunction="custom" dataDxfId="51" totalsRowDxfId="50">
      <totalsRowFormula>COUNTIF(Відвідуваністьзалипень[14],"П")+COUNTIF(Відвідуваністьзалипень[14],"ПП")</totalsRowFormula>
    </tableColumn>
    <tableColumn id="16" name="15" totalsRowFunction="custom" dataDxfId="49" totalsRowDxfId="48">
      <totalsRowFormula>COUNTIF(Відвідуваністьзалипень[15],"П")+COUNTIF(Відвідуваністьзалипень[15],"ПП")</totalsRowFormula>
    </tableColumn>
    <tableColumn id="17" name="16" totalsRowFunction="custom" dataDxfId="47" totalsRowDxfId="46">
      <totalsRowFormula>COUNTIF(Відвідуваністьзалипень[16],"П")+COUNTIF(Відвідуваністьзалипень[16],"ПП")</totalsRowFormula>
    </tableColumn>
    <tableColumn id="18" name="17" totalsRowFunction="custom" dataDxfId="45" totalsRowDxfId="44">
      <totalsRowFormula>COUNTIF(Відвідуваністьзалипень[17],"П")+COUNTIF(Відвідуваністьзалипень[17],"ПП")</totalsRowFormula>
    </tableColumn>
    <tableColumn id="19" name="18" totalsRowFunction="custom" dataDxfId="43" totalsRowDxfId="42">
      <totalsRowFormula>COUNTIF(Відвідуваністьзалипень[18],"П")+COUNTIF(Відвідуваністьзалипень[18],"ПП")</totalsRowFormula>
    </tableColumn>
    <tableColumn id="20" name="19" totalsRowFunction="custom" dataDxfId="41" totalsRowDxfId="40">
      <totalsRowFormula>COUNTIF(Відвідуваністьзалипень[19],"П")+COUNTIF(Відвідуваністьзалипень[19],"ПП")</totalsRowFormula>
    </tableColumn>
    <tableColumn id="21" name="20" totalsRowFunction="custom" dataDxfId="39" totalsRowDxfId="38">
      <totalsRowFormula>COUNTIF(Відвідуваністьзалипень[20],"П")+COUNTIF(Відвідуваністьзалипень[20],"ПП")</totalsRowFormula>
    </tableColumn>
    <tableColumn id="22" name="21" totalsRowFunction="custom" dataDxfId="37" totalsRowDxfId="36">
      <totalsRowFormula>COUNTIF(Відвідуваністьзалипень[21],"П")+COUNTIF(Відвідуваністьзалипень[21],"ПП")</totalsRowFormula>
    </tableColumn>
    <tableColumn id="23" name="22" totalsRowFunction="custom" dataDxfId="35" totalsRowDxfId="34">
      <totalsRowFormula>COUNTIF(Відвідуваністьзалипень[22],"П")+COUNTIF(Відвідуваністьзалипень[22],"ПП")</totalsRowFormula>
    </tableColumn>
    <tableColumn id="24" name="23" totalsRowFunction="custom" dataDxfId="33" totalsRowDxfId="32">
      <totalsRowFormula>COUNTIF(Відвідуваністьзалипень[23],"П")+COUNTIF(Відвідуваністьзалипень[23],"ПП")</totalsRowFormula>
    </tableColumn>
    <tableColumn id="25" name="24" totalsRowFunction="custom" dataDxfId="31" totalsRowDxfId="30">
      <totalsRowFormula>COUNTIF(Відвідуваністьзалипень[24],"П")+COUNTIF(Відвідуваністьзалипень[24],"ПП")</totalsRowFormula>
    </tableColumn>
    <tableColumn id="26" name="25" totalsRowFunction="custom" dataDxfId="29" totalsRowDxfId="28">
      <totalsRowFormula>COUNTIF(Відвідуваністьзалипень[25],"П")+COUNTIF(Відвідуваністьзалипень[25],"ПП")</totalsRowFormula>
    </tableColumn>
    <tableColumn id="27" name="26" totalsRowFunction="custom" dataDxfId="27" totalsRowDxfId="26">
      <totalsRowFormula>COUNTIF(Відвідуваністьзалипень[26],"П")+COUNTIF(Відвідуваністьзалипень[26],"ПП")</totalsRowFormula>
    </tableColumn>
    <tableColumn id="28" name="27" totalsRowFunction="custom" dataDxfId="25" totalsRowDxfId="24">
      <totalsRowFormula>COUNTIF(Відвідуваністьзалипень[27],"П")+COUNTIF(Відвідуваністьзалипень[27],"ПП")</totalsRowFormula>
    </tableColumn>
    <tableColumn id="29" name="28" totalsRowFunction="custom" dataDxfId="23" totalsRowDxfId="22">
      <totalsRowFormula>COUNTIF(Відвідуваністьзалипень[28],"П")+COUNTIF(Відвідуваністьзалипень[28],"ПП")</totalsRowFormula>
    </tableColumn>
    <tableColumn id="30" name="29" totalsRowFunction="custom" dataDxfId="21" totalsRowDxfId="20">
      <totalsRowFormula>COUNTIF(Відвідуваністьзалипень[29],"П")+COUNTIF(Відвідуваністьзалипень[29],"ПП")</totalsRowFormula>
    </tableColumn>
    <tableColumn id="31" name="30" totalsRowFunction="custom" dataDxfId="19" totalsRowDxfId="18">
      <totalsRowFormula>COUNTIF(Відвідуваністьзалипень[30],"П")+COUNTIF(Відвідуваністьзалипень[30],"ПП")</totalsRowFormula>
    </tableColumn>
    <tableColumn id="32" name="31" totalsRowFunction="custom" dataDxfId="17" totalsRowDxfId="16">
      <totalsRowFormula>COUNTIF(Відвідуваністьзалипень[31],"П")+COUNTIF(Відвідуваністьзалипень[31],"ПП")</totalsRowFormula>
    </tableColumn>
    <tableColumn id="35" name="З" totalsRowFunction="sum" dataDxfId="15" totalsRowDxfId="14">
      <calculatedColumnFormula>COUNTIF(Відвідуваністьзалипень[[#This Row],[1]:[31]],Код1)</calculatedColumnFormula>
    </tableColumn>
    <tableColumn id="34" name="ПП" totalsRowFunction="sum" dataDxfId="13" totalsRowDxfId="12">
      <calculatedColumnFormula>COUNTIF(Відвідуваністьзалипень[[#This Row],[1]:[31]],Код2)</calculatedColumnFormula>
    </tableColumn>
    <tableColumn id="37" name="П" totalsRowFunction="sum" dataDxfId="11" totalsRowDxfId="10">
      <calculatedColumnFormula>COUNTIF(Відвідуваністьзалипень[[#This Row],[1]:[31]],Код3)</calculatedColumnFormula>
    </tableColumn>
    <tableColumn id="36" name="Н" totalsRowFunction="sum" dataDxfId="9" totalsRowDxfId="8">
      <calculatedColumnFormula>COUNTIF(Відвідуваністьзалипень[[#This Row],[1]:[31]],Код4)</calculatedColumnFormula>
    </tableColumn>
    <tableColumn id="33" name="Відсутність, дн." totalsRowFunction="sum" dataDxfId="7" totalsRowDxfId="6">
      <calculatedColumnFormula>SUM(Відвідуваністьзавересень[[#This Row],[ПП]:[П]])</calculatedColumnFormula>
    </tableColumn>
  </tableColumns>
  <tableStyleInfo name="Employee Absence Table" showFirstColumn="0" showLastColumn="0" showRowStripes="1" showColumnStripes="1"/>
  <extLst>
    <ext xmlns:x14="http://schemas.microsoft.com/office/spreadsheetml/2009/9/main" uri="{504A1905-F514-4f6f-8877-14C23A59335A}">
      <x14:table altText="Облік відвідування занять за лютий" altTextSummary="Відстеження відвідуваності занять студентами в липні. Запізнення = З, поважна причина = ПП, прогул = П, на місці = Н, вихідний = В."/>
    </ext>
  </extLst>
</table>
</file>

<file path=xl/tables/table2.xml><?xml version="1.0" encoding="utf-8"?>
<table xmlns="http://schemas.openxmlformats.org/spreadsheetml/2006/main" id="3" name="Відвідуваністьзасерпень" displayName="Відвідуваністьзасерпень" ref="B6:AM12" totalsRowCount="1" totalsRowDxfId="963">
  <tableColumns count="38">
    <tableColumn id="38" name="Код студента" totalsRowDxfId="962"/>
    <tableColumn id="1" name="Ім’я студента" totalsRowLabel="Усього днів відсутній" totalsRowDxfId="961">
      <calculatedColumnFormula>IFERROR(VLOOKUP(Відвідуваністьзасерпень[[#This Row],[Код студента]],Перелікстудентів[],18,FALSE),"")</calculatedColumnFormula>
    </tableColumn>
    <tableColumn id="2" name="1" totalsRowFunction="custom" totalsRowDxfId="960">
      <totalsRowFormula>COUNTIF(Відвідуваністьзасерпень[1],"П")+COUNTIF(Відвідуваністьзасерпень[1],"ПП")</totalsRowFormula>
    </tableColumn>
    <tableColumn id="3" name="2" totalsRowFunction="custom" totalsRowDxfId="959">
      <totalsRowFormula>COUNTIF(Відвідуваністьзасерпень[2],"П")+COUNTIF(Відвідуваністьзасерпень[2],"ПП")</totalsRowFormula>
    </tableColumn>
    <tableColumn id="4" name="3" totalsRowFunction="custom" totalsRowDxfId="958">
      <totalsRowFormula>COUNTIF(Відвідуваністьзасерпень[3],"П")+COUNTIF(Відвідуваністьзасерпень[3],"ПП")</totalsRowFormula>
    </tableColumn>
    <tableColumn id="5" name="4" totalsRowFunction="custom" totalsRowDxfId="957">
      <totalsRowFormula>COUNTIF(Відвідуваністьзасерпень[4],"П")+COUNTIF(Відвідуваністьзасерпень[4],"ПП")</totalsRowFormula>
    </tableColumn>
    <tableColumn id="6" name="5" totalsRowFunction="custom" totalsRowDxfId="956">
      <totalsRowFormula>COUNTIF(Відвідуваністьзасерпень[5],"П")+COUNTIF(Відвідуваністьзасерпень[5],"ПП")</totalsRowFormula>
    </tableColumn>
    <tableColumn id="7" name="6" totalsRowFunction="custom" totalsRowDxfId="955">
      <totalsRowFormula>COUNTIF(Відвідуваністьзасерпень[6],"П")+COUNTIF(Відвідуваністьзасерпень[6],"ПП")</totalsRowFormula>
    </tableColumn>
    <tableColumn id="8" name="7" totalsRowFunction="custom" totalsRowDxfId="954">
      <totalsRowFormula>COUNTIF(Відвідуваністьзасерпень[7],"П")+COUNTIF(Відвідуваністьзасерпень[7],"ПП")</totalsRowFormula>
    </tableColumn>
    <tableColumn id="9" name="8" totalsRowFunction="custom" totalsRowDxfId="953">
      <totalsRowFormula>COUNTIF(Відвідуваністьзасерпень[8],"П")+COUNTIF(Відвідуваністьзасерпень[8],"ПП")</totalsRowFormula>
    </tableColumn>
    <tableColumn id="10" name="9" totalsRowFunction="custom" totalsRowDxfId="952">
      <totalsRowFormula>COUNTIF(Відвідуваністьзасерпень[9],"П")+COUNTIF(Відвідуваністьзасерпень[9],"ПП")</totalsRowFormula>
    </tableColumn>
    <tableColumn id="11" name="10" totalsRowFunction="custom" totalsRowDxfId="951">
      <totalsRowFormula>COUNTIF(Відвідуваністьзасерпень[10],"П")+COUNTIF(Відвідуваністьзасерпень[10],"ПП")</totalsRowFormula>
    </tableColumn>
    <tableColumn id="12" name="11" totalsRowFunction="custom" totalsRowDxfId="950">
      <totalsRowFormula>COUNTIF(Відвідуваністьзасерпень[11],"П")+COUNTIF(Відвідуваністьзасерпень[11],"ПП")</totalsRowFormula>
    </tableColumn>
    <tableColumn id="13" name="12" totalsRowFunction="custom" totalsRowDxfId="949">
      <totalsRowFormula>COUNTIF(Відвідуваністьзасерпень[12],"П")+COUNTIF(Відвідуваністьзасерпень[12],"ПП")</totalsRowFormula>
    </tableColumn>
    <tableColumn id="14" name="13" totalsRowFunction="custom" totalsRowDxfId="948">
      <totalsRowFormula>COUNTIF(Відвідуваністьзасерпень[13],"П")+COUNTIF(Відвідуваністьзасерпень[13],"ПП")</totalsRowFormula>
    </tableColumn>
    <tableColumn id="15" name="14" totalsRowFunction="custom" totalsRowDxfId="947">
      <totalsRowFormula>COUNTIF(Відвідуваністьзасерпень[14],"П")+COUNTIF(Відвідуваністьзасерпень[14],"ПП")</totalsRowFormula>
    </tableColumn>
    <tableColumn id="16" name="15" totalsRowFunction="custom" totalsRowDxfId="946">
      <totalsRowFormula>COUNTIF(Відвідуваністьзасерпень[15],"П")+COUNTIF(Відвідуваністьзасерпень[15],"ПП")</totalsRowFormula>
    </tableColumn>
    <tableColumn id="17" name="16" totalsRowFunction="custom" totalsRowDxfId="945">
      <totalsRowFormula>COUNTIF(Відвідуваністьзасерпень[16],"П")+COUNTIF(Відвідуваністьзасерпень[16],"ПП")</totalsRowFormula>
    </tableColumn>
    <tableColumn id="18" name="17" totalsRowFunction="custom" totalsRowDxfId="944">
      <totalsRowFormula>COUNTIF(Відвідуваністьзасерпень[17],"П")+COUNTIF(Відвідуваністьзасерпень[17],"ПП")</totalsRowFormula>
    </tableColumn>
    <tableColumn id="19" name="18" totalsRowFunction="custom" totalsRowDxfId="943">
      <totalsRowFormula>COUNTIF(Відвідуваністьзасерпень[18],"П")+COUNTIF(Відвідуваністьзасерпень[18],"ПП")</totalsRowFormula>
    </tableColumn>
    <tableColumn id="20" name="19" totalsRowFunction="custom" totalsRowDxfId="942">
      <totalsRowFormula>COUNTIF(Відвідуваністьзасерпень[19],"П")+COUNTIF(Відвідуваністьзасерпень[19],"ПП")</totalsRowFormula>
    </tableColumn>
    <tableColumn id="21" name="20" totalsRowFunction="custom" totalsRowDxfId="941">
      <totalsRowFormula>COUNTIF(Відвідуваністьзасерпень[20],"П")+COUNTIF(Відвідуваністьзасерпень[20],"ПП")</totalsRowFormula>
    </tableColumn>
    <tableColumn id="22" name="21" totalsRowFunction="custom" totalsRowDxfId="940">
      <totalsRowFormula>COUNTIF(Відвідуваністьзасерпень[21],"П")+COUNTIF(Відвідуваністьзасерпень[21],"ПП")</totalsRowFormula>
    </tableColumn>
    <tableColumn id="23" name="22" totalsRowFunction="custom" totalsRowDxfId="939">
      <totalsRowFormula>COUNTIF(Відвідуваністьзасерпень[22],"П")+COUNTIF(Відвідуваністьзасерпень[22],"ПП")</totalsRowFormula>
    </tableColumn>
    <tableColumn id="24" name="23" totalsRowFunction="custom" totalsRowDxfId="938">
      <totalsRowFormula>COUNTIF(Відвідуваністьзасерпень[23],"П")+COUNTIF(Відвідуваністьзасерпень[23],"ПП")</totalsRowFormula>
    </tableColumn>
    <tableColumn id="25" name="24" totalsRowFunction="custom" totalsRowDxfId="937">
      <totalsRowFormula>COUNTIF(Відвідуваністьзасерпень[24],"П")+COUNTIF(Відвідуваністьзасерпень[24],"ПП")</totalsRowFormula>
    </tableColumn>
    <tableColumn id="26" name="25" totalsRowFunction="custom" totalsRowDxfId="936">
      <totalsRowFormula>COUNTIF(Відвідуваністьзасерпень[25],"П")+COUNTIF(Відвідуваністьзасерпень[25],"ПП")</totalsRowFormula>
    </tableColumn>
    <tableColumn id="27" name="26" totalsRowFunction="custom" totalsRowDxfId="935">
      <totalsRowFormula>COUNTIF(Відвідуваністьзасерпень[26],"П")+COUNTIF(Відвідуваністьзасерпень[26],"ПП")</totalsRowFormula>
    </tableColumn>
    <tableColumn id="28" name="27" totalsRowFunction="custom" totalsRowDxfId="934">
      <totalsRowFormula>COUNTIF(Відвідуваністьзасерпень[27],"П")+COUNTIF(Відвідуваністьзасерпень[27],"ПП")</totalsRowFormula>
    </tableColumn>
    <tableColumn id="29" name="28" totalsRowFunction="custom" totalsRowDxfId="933">
      <totalsRowFormula>COUNTIF(Відвідуваністьзасерпень[28],"П")+COUNTIF(Відвідуваністьзасерпень[28],"ПП")</totalsRowFormula>
    </tableColumn>
    <tableColumn id="30" name="29" totalsRowFunction="custom" totalsRowDxfId="932">
      <totalsRowFormula>COUNTIF(Відвідуваністьзасерпень[29],"П")+COUNTIF(Відвідуваністьзасерпень[29],"ПП")</totalsRowFormula>
    </tableColumn>
    <tableColumn id="31" name="30" totalsRowFunction="custom" totalsRowDxfId="931">
      <totalsRowFormula>COUNTIF(Відвідуваністьзасерпень[30],"П")+COUNTIF(Відвідуваністьзасерпень[30],"ПП")</totalsRowFormula>
    </tableColumn>
    <tableColumn id="32" name="31" totalsRowFunction="custom" totalsRowDxfId="930">
      <totalsRowFormula>COUNTIF(Відвідуваністьзасерпень[31],"П")+COUNTIF(Відвідуваністьзасерпень[31],"ПП")</totalsRowFormula>
    </tableColumn>
    <tableColumn id="35" name="З" totalsRowFunction="sum" dataDxfId="929" totalsRowDxfId="928">
      <calculatedColumnFormula>COUNTIF(Відвідуваністьзасерпень[[#This Row],[1]:[31]],Код1)</calculatedColumnFormula>
    </tableColumn>
    <tableColumn id="34" name="ПП" totalsRowFunction="sum" dataDxfId="927" totalsRowDxfId="926">
      <calculatedColumnFormula>COUNTIF(Відвідуваністьзасерпень[[#This Row],[1]:[31]],Код2)</calculatedColumnFormula>
    </tableColumn>
    <tableColumn id="37" name="П" totalsRowFunction="sum" dataDxfId="925" totalsRowDxfId="924">
      <calculatedColumnFormula>COUNTIF(Відвідуваністьзасерпень[[#This Row],[1]:[31]],Код3)</calculatedColumnFormula>
    </tableColumn>
    <tableColumn id="36" name="Н" totalsRowFunction="sum" dataDxfId="923" totalsRowDxfId="922">
      <calculatedColumnFormula>COUNTIF(Відвідуваністьзасерпень[[#This Row],[1]:[31]],Код4)</calculatedColumnFormula>
    </tableColumn>
    <tableColumn id="33" name="Відсутність, дн." totalsRowFunction="sum" totalsRowDxfId="921">
      <calculatedColumnFormula>SUM(Відвідуваністьзасерпень[[#This Row],[ПП]:[П]])</calculatedColumnFormula>
    </tableColumn>
  </tableColumns>
  <tableStyleInfo name="Employee Absence Table" showFirstColumn="0" showLastColumn="1" showRowStripes="1" showColumnStripes="1"/>
  <extLst>
    <ext xmlns:x14="http://schemas.microsoft.com/office/spreadsheetml/2009/9/main" uri="{504A1905-F514-4f6f-8877-14C23A59335A}">
      <x14:table altText="Облік відвідування занять за серпень" altTextSummary="Відстеження відвідуваності занять студентами в серпні. Запізнення = З, поважна причина = ПП, прогул = П, на місці = Н, вихідний = В."/>
    </ext>
  </extLst>
</table>
</file>

<file path=xl/tables/table3.xml><?xml version="1.0" encoding="utf-8"?>
<table xmlns="http://schemas.openxmlformats.org/spreadsheetml/2006/main" id="10" name="Відвідуваністьзавересень" displayName="Відвідуваністьзавересень" ref="B6:AM12" totalsRowCount="1" totalsRowDxfId="910">
  <tableColumns count="38">
    <tableColumn id="38" name="Код студента" totalsRowDxfId="909"/>
    <tableColumn id="1" name="Ім’я студента" totalsRowLabel="Усього днів відсутній" dataDxfId="908" totalsRowDxfId="907">
      <calculatedColumnFormula>IFERROR(VLOOKUP(Відвідуваністьзавересень[[#This Row],[Код студента]],Перелікстудентів[],18,FALSE),"")</calculatedColumnFormula>
    </tableColumn>
    <tableColumn id="2" name="1" totalsRowFunction="custom" dataDxfId="906" totalsRowDxfId="905">
      <totalsRowFormula>COUNTIF(Відвідуваністьзавересень[1],"П")+COUNTIF(Відвідуваністьзавересень[1],"ПП")</totalsRowFormula>
    </tableColumn>
    <tableColumn id="3" name="2" totalsRowFunction="custom" dataDxfId="904" totalsRowDxfId="903">
      <totalsRowFormula>COUNTIF(Відвідуваністьзавересень[2],"П")+COUNTIF(Відвідуваністьзавересень[2],"ПП")</totalsRowFormula>
    </tableColumn>
    <tableColumn id="4" name="3" totalsRowFunction="custom" dataDxfId="902" totalsRowDxfId="901">
      <totalsRowFormula>COUNTIF(Відвідуваністьзавересень[3],"П")+COUNTIF(Відвідуваністьзавересень[3],"ПП")</totalsRowFormula>
    </tableColumn>
    <tableColumn id="5" name="4" totalsRowFunction="custom" dataDxfId="900" totalsRowDxfId="899">
      <totalsRowFormula>COUNTIF(Відвідуваністьзавересень[4],"П")+COUNTIF(Відвідуваністьзавересень[4],"ПП")</totalsRowFormula>
    </tableColumn>
    <tableColumn id="6" name="5" totalsRowFunction="custom" dataDxfId="898" totalsRowDxfId="897">
      <totalsRowFormula>COUNTIF(Відвідуваністьзавересень[5],"П")+COUNTIF(Відвідуваністьзавересень[5],"ПП")</totalsRowFormula>
    </tableColumn>
    <tableColumn id="7" name="6" totalsRowFunction="custom" dataDxfId="896" totalsRowDxfId="895">
      <totalsRowFormula>COUNTIF(Відвідуваністьзавересень[6],"П")+COUNTIF(Відвідуваністьзавересень[6],"ПП")</totalsRowFormula>
    </tableColumn>
    <tableColumn id="8" name="7" totalsRowFunction="custom" dataDxfId="894" totalsRowDxfId="893">
      <totalsRowFormula>COUNTIF(Відвідуваністьзавересень[7],"П")+COUNTIF(Відвідуваністьзавересень[7],"ПП")</totalsRowFormula>
    </tableColumn>
    <tableColumn id="9" name="8" totalsRowFunction="custom" dataDxfId="892" totalsRowDxfId="891">
      <totalsRowFormula>COUNTIF(Відвідуваністьзавересень[8],"П")+COUNTIF(Відвідуваністьзавересень[8],"ПП")</totalsRowFormula>
    </tableColumn>
    <tableColumn id="10" name="9" totalsRowFunction="custom" dataDxfId="890" totalsRowDxfId="889">
      <totalsRowFormula>COUNTIF(Відвідуваністьзавересень[9],"П")+COUNTIF(Відвідуваністьзавересень[9],"ПП")</totalsRowFormula>
    </tableColumn>
    <tableColumn id="11" name="10" totalsRowFunction="custom" dataDxfId="888" totalsRowDxfId="887">
      <totalsRowFormula>COUNTIF(Відвідуваністьзавересень[10],"П")+COUNTIF(Відвідуваністьзавересень[10],"ПП")</totalsRowFormula>
    </tableColumn>
    <tableColumn id="12" name="11" totalsRowFunction="custom" dataDxfId="886" totalsRowDxfId="885">
      <totalsRowFormula>COUNTIF(Відвідуваністьзавересень[11],"П")+COUNTIF(Відвідуваністьзавересень[11],"ПП")</totalsRowFormula>
    </tableColumn>
    <tableColumn id="13" name="12" totalsRowFunction="custom" dataDxfId="884" totalsRowDxfId="883">
      <totalsRowFormula>COUNTIF(Відвідуваністьзавересень[12],"П")+COUNTIF(Відвідуваністьзавересень[12],"ПП")</totalsRowFormula>
    </tableColumn>
    <tableColumn id="14" name="13" totalsRowFunction="custom" dataDxfId="882" totalsRowDxfId="881">
      <totalsRowFormula>COUNTIF(Відвідуваністьзавересень[13],"П")+COUNTIF(Відвідуваністьзавересень[13],"ПП")</totalsRowFormula>
    </tableColumn>
    <tableColumn id="15" name="14" totalsRowFunction="custom" dataDxfId="880" totalsRowDxfId="879">
      <totalsRowFormula>COUNTIF(Відвідуваністьзавересень[14],"П")+COUNTIF(Відвідуваністьзавересень[14],"ПП")</totalsRowFormula>
    </tableColumn>
    <tableColumn id="16" name="15" totalsRowFunction="custom" dataDxfId="878" totalsRowDxfId="877">
      <totalsRowFormula>COUNTIF(Відвідуваністьзавересень[15],"П")+COUNTIF(Відвідуваністьзавересень[15],"ПП")</totalsRowFormula>
    </tableColumn>
    <tableColumn id="17" name="16" totalsRowFunction="custom" dataDxfId="876" totalsRowDxfId="875">
      <totalsRowFormula>COUNTIF(Відвідуваністьзавересень[16],"П")+COUNTIF(Відвідуваністьзавересень[16],"ПП")</totalsRowFormula>
    </tableColumn>
    <tableColumn id="18" name="17" totalsRowFunction="custom" dataDxfId="874" totalsRowDxfId="873">
      <totalsRowFormula>COUNTIF(Відвідуваністьзавересень[17],"П")+COUNTIF(Відвідуваністьзавересень[17],"ПП")</totalsRowFormula>
    </tableColumn>
    <tableColumn id="19" name="18" totalsRowFunction="custom" dataDxfId="872" totalsRowDxfId="871">
      <totalsRowFormula>COUNTIF(Відвідуваністьзавересень[18],"П")+COUNTIF(Відвідуваністьзавересень[18],"ПП")</totalsRowFormula>
    </tableColumn>
    <tableColumn id="20" name="19" totalsRowFunction="custom" dataDxfId="870" totalsRowDxfId="869">
      <totalsRowFormula>COUNTIF(Відвідуваністьзавересень[19],"П")+COUNTIF(Відвідуваністьзавересень[19],"ПП")</totalsRowFormula>
    </tableColumn>
    <tableColumn id="21" name="20" totalsRowFunction="custom" dataDxfId="868" totalsRowDxfId="867">
      <totalsRowFormula>COUNTIF(Відвідуваністьзавересень[20],"П")+COUNTIF(Відвідуваністьзавересень[20],"ПП")</totalsRowFormula>
    </tableColumn>
    <tableColumn id="22" name="21" totalsRowFunction="custom" dataDxfId="866" totalsRowDxfId="865">
      <totalsRowFormula>COUNTIF(Відвідуваністьзавересень[21],"П")+COUNTIF(Відвідуваністьзавересень[21],"ПП")</totalsRowFormula>
    </tableColumn>
    <tableColumn id="23" name="22" totalsRowFunction="custom" dataDxfId="864" totalsRowDxfId="863">
      <totalsRowFormula>COUNTIF(Відвідуваністьзавересень[22],"П")+COUNTIF(Відвідуваністьзавересень[22],"ПП")</totalsRowFormula>
    </tableColumn>
    <tableColumn id="24" name="23" totalsRowFunction="custom" dataDxfId="862" totalsRowDxfId="861">
      <totalsRowFormula>COUNTIF(Відвідуваністьзавересень[23],"П")+COUNTIF(Відвідуваністьзавересень[23],"ПП")</totalsRowFormula>
    </tableColumn>
    <tableColumn id="25" name="24" totalsRowFunction="custom" dataDxfId="860" totalsRowDxfId="859">
      <totalsRowFormula>COUNTIF(Відвідуваністьзавересень[24],"П")+COUNTIF(Відвідуваністьзавересень[24],"ПП")</totalsRowFormula>
    </tableColumn>
    <tableColumn id="26" name="25" totalsRowFunction="custom" dataDxfId="858" totalsRowDxfId="857">
      <totalsRowFormula>COUNTIF(Відвідуваністьзавересень[25],"П")+COUNTIF(Відвідуваністьзавересень[25],"ПП")</totalsRowFormula>
    </tableColumn>
    <tableColumn id="27" name="26" totalsRowFunction="custom" dataDxfId="856" totalsRowDxfId="855">
      <totalsRowFormula>COUNTIF(Відвідуваністьзавересень[26],"П")+COUNTIF(Відвідуваністьзавересень[26],"ПП")</totalsRowFormula>
    </tableColumn>
    <tableColumn id="28" name="27" totalsRowFunction="custom" dataDxfId="854" totalsRowDxfId="853">
      <totalsRowFormula>COUNTIF(Відвідуваністьзавересень[27],"П")+COUNTIF(Відвідуваністьзавересень[27],"ПП")</totalsRowFormula>
    </tableColumn>
    <tableColumn id="29" name="28" totalsRowFunction="custom" dataDxfId="852" totalsRowDxfId="851">
      <totalsRowFormula>COUNTIF(Відвідуваністьзавересень[28],"П")+COUNTIF(Відвідуваністьзавересень[28],"ПП")</totalsRowFormula>
    </tableColumn>
    <tableColumn id="30" name="29" totalsRowFunction="custom" dataDxfId="850" totalsRowDxfId="849">
      <totalsRowFormula>COUNTIF(Відвідуваністьзавересень[29],"П")+COUNTIF(Відвідуваністьзавересень[29],"ПП")</totalsRowFormula>
    </tableColumn>
    <tableColumn id="31" name="30" totalsRowFunction="custom" totalsRowDxfId="848">
      <totalsRowFormula>COUNTIF(Відвідуваністьзавересень[30],"П")+COUNTIF(Відвідуваністьзавересень[30],"ПП")</totalsRowFormula>
    </tableColumn>
    <tableColumn id="32" name=" " totalsRowFunction="custom" totalsRowDxfId="847">
      <totalsRowFormula>COUNTIF(Відвідуваністьзавересень[[ ]],"П")+COUNTIF(Відвідуваністьзавересень[[ ]],"ПП")</totalsRowFormula>
    </tableColumn>
    <tableColumn id="35" name="З" totalsRowFunction="sum" dataDxfId="846" totalsRowDxfId="845">
      <calculatedColumnFormula>COUNTIF(Відвідуваністьзавересень[[#This Row],[1]:[ ]],Код1)</calculatedColumnFormula>
    </tableColumn>
    <tableColumn id="34" name="ПП" totalsRowFunction="sum" dataDxfId="844" totalsRowDxfId="843">
      <calculatedColumnFormula>COUNTIF(Відвідуваністьзавересень[[#This Row],[1]:[ ]],Код2)</calculatedColumnFormula>
    </tableColumn>
    <tableColumn id="37" name="П" totalsRowFunction="sum" dataDxfId="842" totalsRowDxfId="841">
      <calculatedColumnFormula>COUNTIF(Відвідуваністьзавересень[[#This Row],[1]:[ ]],Код3)</calculatedColumnFormula>
    </tableColumn>
    <tableColumn id="36" name="Н" totalsRowFunction="sum" dataDxfId="840" totalsRowDxfId="839">
      <calculatedColumnFormula>COUNTIF(Відвідуваністьзавересень[[#This Row],[1]:[ ]],Код4)</calculatedColumnFormula>
    </tableColumn>
    <tableColumn id="33" name="Відсутність, дн." totalsRowFunction="sum" totalsRowDxfId="838">
      <calculatedColumnFormula>SUM(Відвідуваністьзавересень[[#This Row],[ПП]:[П]])</calculatedColumnFormula>
    </tableColumn>
  </tableColumns>
  <tableStyleInfo name="Employee Absence Table" showFirstColumn="0" showLastColumn="1" showRowStripes="1" showColumnStripes="1"/>
  <extLst>
    <ext xmlns:x14="http://schemas.microsoft.com/office/spreadsheetml/2009/9/main" uri="{504A1905-F514-4f6f-8877-14C23A59335A}">
      <x14:table altText="Облік відвідування занять за серпень" altTextSummary="Відстеження відвідуваності занять студентами у вересні. Запізнення = З, поважна причина = ПП, прогул = П, на місці = Н, вихідний = В."/>
    </ext>
  </extLst>
</table>
</file>

<file path=xl/tables/table4.xml><?xml version="1.0" encoding="utf-8"?>
<table xmlns="http://schemas.openxmlformats.org/spreadsheetml/2006/main" id="2" name="Відвідуваністьзажовтень" displayName="Відвідуваністьзажовтень" ref="B6:AM12" totalsRowCount="1" totalsRowDxfId="827">
  <tableColumns count="38">
    <tableColumn id="38" name="Код студента" totalsRowDxfId="826"/>
    <tableColumn id="1" name="Ім’я студента" totalsRowLabel="Усього днів відсутній" dataDxfId="825" totalsRowDxfId="824">
      <calculatedColumnFormula>IFERROR(VLOOKUP(Відвідуваністьзажовтень[[#This Row],[Код студента]],Перелікстудентів[],18,FALSE),"")</calculatedColumnFormula>
    </tableColumn>
    <tableColumn id="2" name="1" totalsRowFunction="custom" dataDxfId="823" totalsRowDxfId="822">
      <totalsRowFormula>COUNTIF(Відвідуваністьзажовтень[1],"П")+COUNTIF(Відвідуваністьзажовтень[1],"ПП")</totalsRowFormula>
    </tableColumn>
    <tableColumn id="3" name="2" totalsRowFunction="custom" dataDxfId="821" totalsRowDxfId="820">
      <totalsRowFormula>COUNTIF(Відвідуваністьзажовтень[2],"П")+COUNTIF(Відвідуваністьзажовтень[2],"ПП")</totalsRowFormula>
    </tableColumn>
    <tableColumn id="4" name="3" totalsRowFunction="custom" dataDxfId="819" totalsRowDxfId="818">
      <totalsRowFormula>COUNTIF(Відвідуваністьзажовтень[3],"П")+COUNTIF(Відвідуваністьзажовтень[3],"ПП")</totalsRowFormula>
    </tableColumn>
    <tableColumn id="5" name="4" totalsRowFunction="custom" dataDxfId="817" totalsRowDxfId="816">
      <totalsRowFormula>COUNTIF(Відвідуваністьзажовтень[4],"П")+COUNTIF(Відвідуваністьзажовтень[4],"ПП")</totalsRowFormula>
    </tableColumn>
    <tableColumn id="6" name="5" totalsRowFunction="custom" dataDxfId="815" totalsRowDxfId="814">
      <totalsRowFormula>COUNTIF(Відвідуваністьзажовтень[5],"П")+COUNTIF(Відвідуваністьзажовтень[5],"ПП")</totalsRowFormula>
    </tableColumn>
    <tableColumn id="7" name="6" totalsRowFunction="custom" dataDxfId="813" totalsRowDxfId="812">
      <totalsRowFormula>COUNTIF(Відвідуваністьзажовтень[6],"П")+COUNTIF(Відвідуваністьзажовтень[6],"ПП")</totalsRowFormula>
    </tableColumn>
    <tableColumn id="8" name="7" totalsRowFunction="custom" dataDxfId="811" totalsRowDxfId="810">
      <totalsRowFormula>COUNTIF(Відвідуваністьзажовтень[7],"П")+COUNTIF(Відвідуваністьзажовтень[7],"ПП")</totalsRowFormula>
    </tableColumn>
    <tableColumn id="9" name="8" totalsRowFunction="custom" dataDxfId="809" totalsRowDxfId="808">
      <totalsRowFormula>COUNTIF(Відвідуваністьзажовтень[8],"П")+COUNTIF(Відвідуваністьзажовтень[8],"ПП")</totalsRowFormula>
    </tableColumn>
    <tableColumn id="10" name="9" totalsRowFunction="custom" dataDxfId="807" totalsRowDxfId="806">
      <totalsRowFormula>COUNTIF(Відвідуваністьзажовтень[9],"П")+COUNTIF(Відвідуваністьзажовтень[9],"ПП")</totalsRowFormula>
    </tableColumn>
    <tableColumn id="11" name="10" totalsRowFunction="custom" dataDxfId="805" totalsRowDxfId="804">
      <totalsRowFormula>COUNTIF(Відвідуваністьзажовтень[10],"П")+COUNTIF(Відвідуваністьзажовтень[10],"ПП")</totalsRowFormula>
    </tableColumn>
    <tableColumn id="12" name="11" totalsRowFunction="custom" dataDxfId="803" totalsRowDxfId="802">
      <totalsRowFormula>COUNTIF(Відвідуваністьзажовтень[11],"П")+COUNTIF(Відвідуваністьзажовтень[11],"ПП")</totalsRowFormula>
    </tableColumn>
    <tableColumn id="13" name="12" totalsRowFunction="custom" dataDxfId="801" totalsRowDxfId="800">
      <totalsRowFormula>COUNTIF(Відвідуваністьзажовтень[12],"П")+COUNTIF(Відвідуваністьзажовтень[12],"ПП")</totalsRowFormula>
    </tableColumn>
    <tableColumn id="14" name="13" totalsRowFunction="custom" dataDxfId="799" totalsRowDxfId="798">
      <totalsRowFormula>COUNTIF(Відвідуваністьзажовтень[13],"П")+COUNTIF(Відвідуваністьзажовтень[13],"ПП")</totalsRowFormula>
    </tableColumn>
    <tableColumn id="15" name="14" totalsRowFunction="custom" dataDxfId="797" totalsRowDxfId="796">
      <totalsRowFormula>COUNTIF(Відвідуваністьзажовтень[14],"П")+COUNTIF(Відвідуваністьзажовтень[14],"ПП")</totalsRowFormula>
    </tableColumn>
    <tableColumn id="16" name="15" totalsRowFunction="custom" dataDxfId="795" totalsRowDxfId="794">
      <totalsRowFormula>COUNTIF(Відвідуваністьзажовтень[15],"П")+COUNTIF(Відвідуваністьзажовтень[15],"ПП")</totalsRowFormula>
    </tableColumn>
    <tableColumn id="17" name="16" totalsRowFunction="custom" dataDxfId="793" totalsRowDxfId="792">
      <totalsRowFormula>COUNTIF(Відвідуваністьзажовтень[16],"П")+COUNTIF(Відвідуваністьзажовтень[16],"ПП")</totalsRowFormula>
    </tableColumn>
    <tableColumn id="18" name="17" totalsRowFunction="custom" dataDxfId="791" totalsRowDxfId="790">
      <totalsRowFormula>COUNTIF(Відвідуваністьзажовтень[17],"П")+COUNTIF(Відвідуваністьзажовтень[17],"ПП")</totalsRowFormula>
    </tableColumn>
    <tableColumn id="19" name="18" totalsRowFunction="custom" dataDxfId="789" totalsRowDxfId="788">
      <totalsRowFormula>COUNTIF(Відвідуваністьзажовтень[18],"П")+COUNTIF(Відвідуваністьзажовтень[18],"ПП")</totalsRowFormula>
    </tableColumn>
    <tableColumn id="20" name="19" totalsRowFunction="custom" dataDxfId="787" totalsRowDxfId="786">
      <totalsRowFormula>COUNTIF(Відвідуваністьзажовтень[19],"П")+COUNTIF(Відвідуваністьзажовтень[19],"ПП")</totalsRowFormula>
    </tableColumn>
    <tableColumn id="21" name="20" totalsRowFunction="custom" dataDxfId="785" totalsRowDxfId="784">
      <totalsRowFormula>COUNTIF(Відвідуваністьзажовтень[20],"П")+COUNTIF(Відвідуваністьзажовтень[20],"ПП")</totalsRowFormula>
    </tableColumn>
    <tableColumn id="22" name="21" totalsRowFunction="custom" dataDxfId="783" totalsRowDxfId="782">
      <totalsRowFormula>COUNTIF(Відвідуваністьзажовтень[21],"П")+COUNTIF(Відвідуваністьзажовтень[21],"ПП")</totalsRowFormula>
    </tableColumn>
    <tableColumn id="23" name="22" totalsRowFunction="custom" dataDxfId="781" totalsRowDxfId="780">
      <totalsRowFormula>COUNTIF(Відвідуваністьзажовтень[22],"П")+COUNTIF(Відвідуваністьзажовтень[22],"ПП")</totalsRowFormula>
    </tableColumn>
    <tableColumn id="24" name="23" totalsRowFunction="custom" dataDxfId="779" totalsRowDxfId="778">
      <totalsRowFormula>COUNTIF(Відвідуваністьзажовтень[23],"П")+COUNTIF(Відвідуваністьзажовтень[23],"ПП")</totalsRowFormula>
    </tableColumn>
    <tableColumn id="25" name="24" totalsRowFunction="custom" dataDxfId="777" totalsRowDxfId="776">
      <totalsRowFormula>COUNTIF(Відвідуваністьзажовтень[24],"П")+COUNTIF(Відвідуваністьзажовтень[24],"ПП")</totalsRowFormula>
    </tableColumn>
    <tableColumn id="26" name="25" totalsRowFunction="custom" dataDxfId="775" totalsRowDxfId="774">
      <totalsRowFormula>COUNTIF(Відвідуваністьзажовтень[25],"П")+COUNTIF(Відвідуваністьзажовтень[25],"ПП")</totalsRowFormula>
    </tableColumn>
    <tableColumn id="27" name="26" totalsRowFunction="custom" dataDxfId="773" totalsRowDxfId="772">
      <totalsRowFormula>COUNTIF(Відвідуваністьзажовтень[26],"П")+COUNTIF(Відвідуваністьзажовтень[26],"ПП")</totalsRowFormula>
    </tableColumn>
    <tableColumn id="28" name="27" totalsRowFunction="custom" dataDxfId="771" totalsRowDxfId="770">
      <totalsRowFormula>COUNTIF(Відвідуваністьзажовтень[27],"П")+COUNTIF(Відвідуваністьзажовтень[27],"ПП")</totalsRowFormula>
    </tableColumn>
    <tableColumn id="29" name="28" totalsRowFunction="custom" dataDxfId="769" totalsRowDxfId="768">
      <totalsRowFormula>COUNTIF(Відвідуваністьзажовтень[28],"П")+COUNTIF(Відвідуваністьзажовтень[28],"ПП")</totalsRowFormula>
    </tableColumn>
    <tableColumn id="30" name="29" totalsRowFunction="custom" dataDxfId="767" totalsRowDxfId="766">
      <totalsRowFormula>COUNTIF(Відвідуваністьзажовтень[29],"П")+COUNTIF(Відвідуваністьзажовтень[29],"ПП")</totalsRowFormula>
    </tableColumn>
    <tableColumn id="31" name="30" totalsRowFunction="custom" totalsRowDxfId="765">
      <totalsRowFormula>COUNTIF(Відвідуваністьзажовтень[30],"П")+COUNTIF(Відвідуваністьзажовтень[30],"ПП")</totalsRowFormula>
    </tableColumn>
    <tableColumn id="32" name="31" totalsRowFunction="custom" totalsRowDxfId="764">
      <totalsRowFormula>COUNTIF(Відвідуваністьзажовтень[31],"П")+COUNTIF(Відвідуваністьзажовтень[31],"ПП")</totalsRowFormula>
    </tableColumn>
    <tableColumn id="35" name="З" totalsRowFunction="sum" dataDxfId="763" totalsRowDxfId="762">
      <calculatedColumnFormula>COUNTIF(Відвідуваністьзажовтень[[#This Row],[1]:[31]],Код1)</calculatedColumnFormula>
    </tableColumn>
    <tableColumn id="34" name="ПП" totalsRowFunction="sum" dataDxfId="761" totalsRowDxfId="760">
      <calculatedColumnFormula>COUNTIF(Відвідуваністьзажовтень[[#This Row],[1]:[31]],Код2)</calculatedColumnFormula>
    </tableColumn>
    <tableColumn id="37" name="П" totalsRowFunction="sum" dataDxfId="759" totalsRowDxfId="758">
      <calculatedColumnFormula>COUNTIF(Відвідуваністьзажовтень[[#This Row],[1]:[31]],Код3)</calculatedColumnFormula>
    </tableColumn>
    <tableColumn id="36" name="Н" totalsRowFunction="sum" dataDxfId="757" totalsRowDxfId="756">
      <calculatedColumnFormula>COUNTIF(Відвідуваністьзажовтень[[#This Row],[1]:[31]],Код4)</calculatedColumnFormula>
    </tableColumn>
    <tableColumn id="33" name="Відсутність, дн." totalsRowFunction="sum" totalsRowDxfId="755">
      <calculatedColumnFormula>SUM(Відвідуваністьзавересень[[#This Row],[ПП]:[П]])</calculatedColumnFormula>
    </tableColumn>
  </tableColumns>
  <tableStyleInfo name="Employee Absence Table" showFirstColumn="0" showLastColumn="1" showRowStripes="1" showColumnStripes="1"/>
  <extLst>
    <ext xmlns:x14="http://schemas.microsoft.com/office/spreadsheetml/2009/9/main" uri="{504A1905-F514-4f6f-8877-14C23A59335A}">
      <x14:table altText="Облік відвідування занять за серпень" altTextSummary="Відстеження відвідуваності занять студентами в жовтні. Запізнення = З, поважна причина = ПП, прогул = П, на місці = Н, вихідний = В."/>
    </ext>
  </extLst>
</table>
</file>

<file path=xl/tables/table5.xml><?xml version="1.0" encoding="utf-8"?>
<table xmlns="http://schemas.openxmlformats.org/spreadsheetml/2006/main" id="4" name="Відвідуваністьзалистопад" displayName="Відвідуваністьзалистопад" ref="B6:AM12" totalsRowCount="1" totalsRowDxfId="744">
  <tableColumns count="38">
    <tableColumn id="38" name="Код студента" totalsRowDxfId="743"/>
    <tableColumn id="1" name="Ім’я студента" totalsRowLabel="Усього днів відсутній" dataDxfId="742" totalsRowDxfId="741">
      <calculatedColumnFormula>IFERROR(VLOOKUP(Відвідуваністьзалистопад[[#This Row],[Код студента]],Перелікстудентів[],18,FALSE),"")</calculatedColumnFormula>
    </tableColumn>
    <tableColumn id="2" name="1" totalsRowFunction="custom" dataDxfId="740" totalsRowDxfId="739">
      <totalsRowFormula>COUNTIF(Відвідуваністьзалистопад[1],"П")+COUNTIF(Відвідуваністьзалистопад[1],"ПП")</totalsRowFormula>
    </tableColumn>
    <tableColumn id="3" name="2" totalsRowFunction="custom" dataDxfId="738" totalsRowDxfId="737">
      <totalsRowFormula>COUNTIF(Відвідуваністьзалистопад[2],"П")+COUNTIF(Відвідуваністьзалистопад[2],"ПП")</totalsRowFormula>
    </tableColumn>
    <tableColumn id="4" name="3" totalsRowFunction="custom" dataDxfId="736" totalsRowDxfId="735">
      <totalsRowFormula>COUNTIF(Відвідуваністьзалистопад[3],"П")+COUNTIF(Відвідуваністьзалистопад[3],"ПП")</totalsRowFormula>
    </tableColumn>
    <tableColumn id="5" name="4" totalsRowFunction="custom" dataDxfId="734" totalsRowDxfId="733">
      <totalsRowFormula>COUNTIF(Відвідуваністьзалистопад[4],"П")+COUNTIF(Відвідуваністьзалистопад[4],"ПП")</totalsRowFormula>
    </tableColumn>
    <tableColumn id="6" name="5" totalsRowFunction="custom" dataDxfId="732" totalsRowDxfId="731">
      <totalsRowFormula>COUNTIF(Відвідуваністьзалистопад[5],"П")+COUNTIF(Відвідуваністьзалистопад[5],"ПП")</totalsRowFormula>
    </tableColumn>
    <tableColumn id="7" name="6" totalsRowFunction="custom" dataDxfId="730" totalsRowDxfId="729">
      <totalsRowFormula>COUNTIF(Відвідуваністьзалистопад[6],"П")+COUNTIF(Відвідуваністьзалистопад[6],"ПП")</totalsRowFormula>
    </tableColumn>
    <tableColumn id="8" name="7" totalsRowFunction="custom" dataDxfId="728" totalsRowDxfId="727">
      <totalsRowFormula>COUNTIF(Відвідуваністьзалистопад[7],"П")+COUNTIF(Відвідуваністьзалистопад[7],"ПП")</totalsRowFormula>
    </tableColumn>
    <tableColumn id="9" name="8" totalsRowFunction="custom" dataDxfId="726" totalsRowDxfId="725">
      <totalsRowFormula>COUNTIF(Відвідуваністьзалистопад[8],"П")+COUNTIF(Відвідуваністьзалистопад[8],"ПП")</totalsRowFormula>
    </tableColumn>
    <tableColumn id="10" name="9" totalsRowFunction="custom" dataDxfId="724" totalsRowDxfId="723">
      <totalsRowFormula>COUNTIF(Відвідуваністьзалистопад[9],"П")+COUNTIF(Відвідуваністьзалистопад[9],"ПП")</totalsRowFormula>
    </tableColumn>
    <tableColumn id="11" name="10" totalsRowFunction="custom" dataDxfId="722" totalsRowDxfId="721">
      <totalsRowFormula>COUNTIF(Відвідуваністьзалистопад[10],"П")+COUNTIF(Відвідуваністьзалистопад[10],"ПП")</totalsRowFormula>
    </tableColumn>
    <tableColumn id="12" name="11" totalsRowFunction="custom" dataDxfId="720" totalsRowDxfId="719">
      <totalsRowFormula>COUNTIF(Відвідуваністьзалистопад[11],"П")+COUNTIF(Відвідуваністьзалистопад[11],"ПП")</totalsRowFormula>
    </tableColumn>
    <tableColumn id="13" name="12" totalsRowFunction="custom" dataDxfId="718" totalsRowDxfId="717">
      <totalsRowFormula>COUNTIF(Відвідуваністьзалистопад[12],"П")+COUNTIF(Відвідуваністьзалистопад[12],"ПП")</totalsRowFormula>
    </tableColumn>
    <tableColumn id="14" name="13" totalsRowFunction="custom" dataDxfId="716" totalsRowDxfId="715">
      <totalsRowFormula>COUNTIF(Відвідуваністьзалистопад[13],"П")+COUNTIF(Відвідуваністьзалистопад[13],"ПП")</totalsRowFormula>
    </tableColumn>
    <tableColumn id="15" name="14" totalsRowFunction="custom" dataDxfId="714" totalsRowDxfId="713">
      <totalsRowFormula>COUNTIF(Відвідуваністьзалистопад[14],"П")+COUNTIF(Відвідуваністьзалистопад[14],"ПП")</totalsRowFormula>
    </tableColumn>
    <tableColumn id="16" name="15" totalsRowFunction="custom" dataDxfId="712" totalsRowDxfId="711">
      <totalsRowFormula>COUNTIF(Відвідуваністьзалистопад[15],"П")+COUNTIF(Відвідуваністьзалистопад[15],"ПП")</totalsRowFormula>
    </tableColumn>
    <tableColumn id="17" name="16" totalsRowFunction="custom" dataDxfId="710" totalsRowDxfId="709">
      <totalsRowFormula>COUNTIF(Відвідуваністьзалистопад[16],"П")+COUNTIF(Відвідуваністьзалистопад[16],"ПП")</totalsRowFormula>
    </tableColumn>
    <tableColumn id="18" name="17" totalsRowFunction="custom" dataDxfId="708" totalsRowDxfId="707">
      <totalsRowFormula>COUNTIF(Відвідуваністьзалистопад[17],"П")+COUNTIF(Відвідуваністьзалистопад[17],"ПП")</totalsRowFormula>
    </tableColumn>
    <tableColumn id="19" name="18" totalsRowFunction="custom" dataDxfId="706" totalsRowDxfId="705">
      <totalsRowFormula>COUNTIF(Відвідуваністьзалистопад[18],"П")+COUNTIF(Відвідуваністьзалистопад[18],"ПП")</totalsRowFormula>
    </tableColumn>
    <tableColumn id="20" name="19" totalsRowFunction="custom" dataDxfId="704" totalsRowDxfId="703">
      <totalsRowFormula>COUNTIF(Відвідуваністьзалистопад[19],"П")+COUNTIF(Відвідуваністьзалистопад[19],"ПП")</totalsRowFormula>
    </tableColumn>
    <tableColumn id="21" name="20" totalsRowFunction="custom" dataDxfId="702" totalsRowDxfId="701">
      <totalsRowFormula>COUNTIF(Відвідуваністьзалистопад[20],"П")+COUNTIF(Відвідуваністьзалистопад[20],"ПП")</totalsRowFormula>
    </tableColumn>
    <tableColumn id="22" name="21" totalsRowFunction="custom" dataDxfId="700" totalsRowDxfId="699">
      <totalsRowFormula>COUNTIF(Відвідуваністьзалистопад[21],"П")+COUNTIF(Відвідуваністьзалистопад[21],"ПП")</totalsRowFormula>
    </tableColumn>
    <tableColumn id="23" name="22" totalsRowFunction="custom" dataDxfId="698" totalsRowDxfId="697">
      <totalsRowFormula>COUNTIF(Відвідуваністьзалистопад[22],"П")+COUNTIF(Відвідуваністьзалистопад[22],"ПП")</totalsRowFormula>
    </tableColumn>
    <tableColumn id="24" name="23" totalsRowFunction="custom" dataDxfId="696" totalsRowDxfId="695">
      <totalsRowFormula>COUNTIF(Відвідуваністьзалистопад[23],"П")+COUNTIF(Відвідуваністьзалистопад[23],"ПП")</totalsRowFormula>
    </tableColumn>
    <tableColumn id="25" name="24" totalsRowFunction="custom" dataDxfId="694" totalsRowDxfId="693">
      <totalsRowFormula>COUNTIF(Відвідуваністьзалистопад[24],"П")+COUNTIF(Відвідуваністьзалистопад[24],"ПП")</totalsRowFormula>
    </tableColumn>
    <tableColumn id="26" name="25" totalsRowFunction="custom" dataDxfId="692" totalsRowDxfId="691">
      <totalsRowFormula>COUNTIF(Відвідуваністьзалистопад[25],"П")+COUNTIF(Відвідуваністьзалистопад[25],"ПП")</totalsRowFormula>
    </tableColumn>
    <tableColumn id="27" name="26" totalsRowFunction="custom" dataDxfId="690" totalsRowDxfId="689">
      <totalsRowFormula>COUNTIF(Відвідуваністьзалистопад[26],"П")+COUNTIF(Відвідуваністьзалистопад[26],"ПП")</totalsRowFormula>
    </tableColumn>
    <tableColumn id="28" name="27" totalsRowFunction="custom" dataDxfId="688" totalsRowDxfId="687">
      <totalsRowFormula>COUNTIF(Відвідуваністьзалистопад[27],"П")+COUNTIF(Відвідуваністьзалистопад[27],"ПП")</totalsRowFormula>
    </tableColumn>
    <tableColumn id="29" name="28" totalsRowFunction="custom" dataDxfId="686" totalsRowDxfId="685">
      <totalsRowFormula>COUNTIF(Відвідуваністьзалистопад[28],"П")+COUNTIF(Відвідуваністьзалистопад[28],"ПП")</totalsRowFormula>
    </tableColumn>
    <tableColumn id="30" name="29" totalsRowFunction="custom" dataDxfId="684" totalsRowDxfId="683">
      <totalsRowFormula>COUNTIF(Відвідуваністьзалистопад[29],"П")+COUNTIF(Відвідуваністьзалистопад[29],"ПП")</totalsRowFormula>
    </tableColumn>
    <tableColumn id="31" name="30" totalsRowFunction="custom" totalsRowDxfId="682">
      <totalsRowFormula>COUNTIF(Відвідуваністьзалистопад[30],"П")+COUNTIF(Відвідуваністьзалистопад[30],"ПП")</totalsRowFormula>
    </tableColumn>
    <tableColumn id="32" name=" " totalsRowFunction="custom" totalsRowDxfId="681">
      <totalsRowFormula>COUNTIF(Відвідуваністьзалистопад[[ ]],"П")+COUNTIF(Відвідуваністьзалистопад[[ ]],"ПП")</totalsRowFormula>
    </tableColumn>
    <tableColumn id="35" name="З" totalsRowFunction="sum" dataDxfId="680" totalsRowDxfId="679">
      <calculatedColumnFormula>COUNTIF(Відвідуваністьзалистопад[[#This Row],[1]:[ ]],Код1)</calculatedColumnFormula>
    </tableColumn>
    <tableColumn id="34" name="ПП" totalsRowFunction="sum" dataDxfId="678" totalsRowDxfId="677">
      <calculatedColumnFormula>COUNTIF(Відвідуваністьзалистопад[[#This Row],[1]:[ ]],Код2)</calculatedColumnFormula>
    </tableColumn>
    <tableColumn id="37" name="П" totalsRowFunction="sum" dataDxfId="676" totalsRowDxfId="675">
      <calculatedColumnFormula>COUNTIF(Відвідуваністьзалистопад[[#This Row],[1]:[ ]],Код3)</calculatedColumnFormula>
    </tableColumn>
    <tableColumn id="36" name="Н" totalsRowFunction="sum" dataDxfId="674" totalsRowDxfId="673">
      <calculatedColumnFormula>COUNTIF(Відвідуваністьзалистопад[[#This Row],[1]:[ ]],Код4)</calculatedColumnFormula>
    </tableColumn>
    <tableColumn id="33" name="Відсутність, дн." totalsRowFunction="sum" totalsRowDxfId="672">
      <calculatedColumnFormula>SUM(Відвідуваністьзавересень[[#This Row],[ПП]:[П]])</calculatedColumnFormula>
    </tableColumn>
  </tableColumns>
  <tableStyleInfo name="Employee Absence Table" showFirstColumn="0" showLastColumn="1" showRowStripes="1" showColumnStripes="1"/>
  <extLst>
    <ext xmlns:x14="http://schemas.microsoft.com/office/spreadsheetml/2009/9/main" uri="{504A1905-F514-4f6f-8877-14C23A59335A}">
      <x14:table altText="Облік відвідування занять за серпень" altTextSummary="Відстеження відвідуваності занять студентами в листопаді. Запізнення = З, поважна причина = ПП, прогул = П, на місці = Н, вихідний = В."/>
    </ext>
  </extLst>
</table>
</file>

<file path=xl/tables/table6.xml><?xml version="1.0" encoding="utf-8"?>
<table xmlns="http://schemas.openxmlformats.org/spreadsheetml/2006/main" id="6" name="Відвідуваністьзагрудень" displayName="Відвідуваністьзагрудень" ref="B6:AM12" totalsRowCount="1" totalsRowDxfId="661">
  <tableColumns count="38">
    <tableColumn id="38" name="Код студента" totalsRowDxfId="660"/>
    <tableColumn id="1" name="Ім’я студента" totalsRowLabel="Усього днів відсутній" dataDxfId="659" totalsRowDxfId="658">
      <calculatedColumnFormula>IFERROR(VLOOKUP(Відвідуваністьзагрудень[[#This Row],[Код студента]],Перелікстудентів[],18,FALSE),"")</calculatedColumnFormula>
    </tableColumn>
    <tableColumn id="2" name="1" totalsRowFunction="custom" dataDxfId="657" totalsRowDxfId="656">
      <totalsRowFormula>COUNTIF(Відвідуваністьзагрудень[1],"П")+COUNTIF(Відвідуваністьзагрудень[1],"ПП")</totalsRowFormula>
    </tableColumn>
    <tableColumn id="3" name="2" totalsRowFunction="custom" dataDxfId="655" totalsRowDxfId="654">
      <totalsRowFormula>COUNTIF(Відвідуваністьзагрудень[2],"П")+COUNTIF(Відвідуваністьзагрудень[2],"ПП")</totalsRowFormula>
    </tableColumn>
    <tableColumn id="4" name="3" totalsRowFunction="custom" dataDxfId="653" totalsRowDxfId="652">
      <totalsRowFormula>COUNTIF(Відвідуваністьзагрудень[3],"П")+COUNTIF(Відвідуваністьзагрудень[3],"ПП")</totalsRowFormula>
    </tableColumn>
    <tableColumn id="5" name="4" totalsRowFunction="custom" dataDxfId="651" totalsRowDxfId="650">
      <totalsRowFormula>COUNTIF(Відвідуваністьзагрудень[4],"П")+COUNTIF(Відвідуваністьзагрудень[4],"ПП")</totalsRowFormula>
    </tableColumn>
    <tableColumn id="6" name="5" totalsRowFunction="custom" dataDxfId="649" totalsRowDxfId="648">
      <totalsRowFormula>COUNTIF(Відвідуваністьзагрудень[5],"П")+COUNTIF(Відвідуваністьзагрудень[5],"ПП")</totalsRowFormula>
    </tableColumn>
    <tableColumn id="7" name="6" totalsRowFunction="custom" dataDxfId="647" totalsRowDxfId="646">
      <totalsRowFormula>COUNTIF(Відвідуваністьзагрудень[6],"П")+COUNTIF(Відвідуваністьзагрудень[6],"ПП")</totalsRowFormula>
    </tableColumn>
    <tableColumn id="8" name="7" totalsRowFunction="custom" dataDxfId="645" totalsRowDxfId="644">
      <totalsRowFormula>COUNTIF(Відвідуваністьзагрудень[7],"П")+COUNTIF(Відвідуваністьзагрудень[7],"ПП")</totalsRowFormula>
    </tableColumn>
    <tableColumn id="9" name="8" totalsRowFunction="custom" dataDxfId="643" totalsRowDxfId="642">
      <totalsRowFormula>COUNTIF(Відвідуваністьзагрудень[8],"П")+COUNTIF(Відвідуваністьзагрудень[8],"ПП")</totalsRowFormula>
    </tableColumn>
    <tableColumn id="10" name="9" totalsRowFunction="custom" dataDxfId="641" totalsRowDxfId="640">
      <totalsRowFormula>COUNTIF(Відвідуваністьзагрудень[9],"П")+COUNTIF(Відвідуваністьзагрудень[9],"ПП")</totalsRowFormula>
    </tableColumn>
    <tableColumn id="11" name="10" totalsRowFunction="custom" dataDxfId="639" totalsRowDxfId="638">
      <totalsRowFormula>COUNTIF(Відвідуваністьзагрудень[10],"П")+COUNTIF(Відвідуваністьзагрудень[10],"ПП")</totalsRowFormula>
    </tableColumn>
    <tableColumn id="12" name="11" totalsRowFunction="custom" dataDxfId="637" totalsRowDxfId="636">
      <totalsRowFormula>COUNTIF(Відвідуваністьзагрудень[11],"П")+COUNTIF(Відвідуваністьзагрудень[11],"ПП")</totalsRowFormula>
    </tableColumn>
    <tableColumn id="13" name="12" totalsRowFunction="custom" dataDxfId="635" totalsRowDxfId="634">
      <totalsRowFormula>COUNTIF(Відвідуваністьзагрудень[12],"П")+COUNTIF(Відвідуваністьзагрудень[12],"ПП")</totalsRowFormula>
    </tableColumn>
    <tableColumn id="14" name="13" totalsRowFunction="custom" dataDxfId="633" totalsRowDxfId="632">
      <totalsRowFormula>COUNTIF(Відвідуваністьзагрудень[13],"П")+COUNTIF(Відвідуваністьзагрудень[13],"ПП")</totalsRowFormula>
    </tableColumn>
    <tableColumn id="15" name="14" totalsRowFunction="custom" dataDxfId="631" totalsRowDxfId="630">
      <totalsRowFormula>COUNTIF(Відвідуваністьзагрудень[14],"П")+COUNTIF(Відвідуваністьзагрудень[14],"ПП")</totalsRowFormula>
    </tableColumn>
    <tableColumn id="16" name="15" totalsRowFunction="custom" dataDxfId="629" totalsRowDxfId="628">
      <totalsRowFormula>COUNTIF(Відвідуваністьзагрудень[15],"П")+COUNTIF(Відвідуваністьзагрудень[15],"ПП")</totalsRowFormula>
    </tableColumn>
    <tableColumn id="17" name="16" totalsRowFunction="custom" dataDxfId="627" totalsRowDxfId="626">
      <totalsRowFormula>COUNTIF(Відвідуваністьзагрудень[16],"П")+COUNTIF(Відвідуваністьзагрудень[16],"ПП")</totalsRowFormula>
    </tableColumn>
    <tableColumn id="18" name="17" totalsRowFunction="custom" dataDxfId="625" totalsRowDxfId="624">
      <totalsRowFormula>COUNTIF(Відвідуваністьзагрудень[17],"П")+COUNTIF(Відвідуваністьзагрудень[17],"ПП")</totalsRowFormula>
    </tableColumn>
    <tableColumn id="19" name="18" totalsRowFunction="custom" dataDxfId="623" totalsRowDxfId="622">
      <totalsRowFormula>COUNTIF(Відвідуваністьзагрудень[18],"П")+COUNTIF(Відвідуваністьзагрудень[18],"ПП")</totalsRowFormula>
    </tableColumn>
    <tableColumn id="20" name="19" totalsRowFunction="custom" dataDxfId="621" totalsRowDxfId="620">
      <totalsRowFormula>COUNTIF(Відвідуваністьзагрудень[19],"П")+COUNTIF(Відвідуваністьзагрудень[19],"ПП")</totalsRowFormula>
    </tableColumn>
    <tableColumn id="21" name="20" totalsRowFunction="custom" dataDxfId="619" totalsRowDxfId="618">
      <totalsRowFormula>COUNTIF(Відвідуваністьзагрудень[20],"П")+COUNTIF(Відвідуваністьзагрудень[20],"ПП")</totalsRowFormula>
    </tableColumn>
    <tableColumn id="22" name="21" totalsRowFunction="custom" dataDxfId="617" totalsRowDxfId="616">
      <totalsRowFormula>COUNTIF(Відвідуваністьзагрудень[21],"П")+COUNTIF(Відвідуваністьзагрудень[21],"ПП")</totalsRowFormula>
    </tableColumn>
    <tableColumn id="23" name="22" totalsRowFunction="custom" dataDxfId="615" totalsRowDxfId="614">
      <totalsRowFormula>COUNTIF(Відвідуваністьзагрудень[22],"П")+COUNTIF(Відвідуваністьзагрудень[22],"ПП")</totalsRowFormula>
    </tableColumn>
    <tableColumn id="24" name="23" totalsRowFunction="custom" dataDxfId="613" totalsRowDxfId="612">
      <totalsRowFormula>COUNTIF(Відвідуваністьзагрудень[23],"П")+COUNTIF(Відвідуваністьзагрудень[23],"ПП")</totalsRowFormula>
    </tableColumn>
    <tableColumn id="25" name="24" totalsRowFunction="custom" dataDxfId="611" totalsRowDxfId="610">
      <totalsRowFormula>COUNTIF(Відвідуваністьзагрудень[24],"П")+COUNTIF(Відвідуваністьзагрудень[24],"ПП")</totalsRowFormula>
    </tableColumn>
    <tableColumn id="26" name="25" totalsRowFunction="custom" dataDxfId="609" totalsRowDxfId="608">
      <totalsRowFormula>COUNTIF(Відвідуваністьзагрудень[25],"П")+COUNTIF(Відвідуваністьзагрудень[25],"ПП")</totalsRowFormula>
    </tableColumn>
    <tableColumn id="27" name="26" totalsRowFunction="custom" dataDxfId="607" totalsRowDxfId="606">
      <totalsRowFormula>COUNTIF(Відвідуваністьзагрудень[26],"П")+COUNTIF(Відвідуваністьзагрудень[26],"ПП")</totalsRowFormula>
    </tableColumn>
    <tableColumn id="28" name="27" totalsRowFunction="custom" dataDxfId="605" totalsRowDxfId="604">
      <totalsRowFormula>COUNTIF(Відвідуваністьзагрудень[27],"П")+COUNTIF(Відвідуваністьзагрудень[27],"ПП")</totalsRowFormula>
    </tableColumn>
    <tableColumn id="29" name="28" totalsRowFunction="custom" dataDxfId="603" totalsRowDxfId="602">
      <totalsRowFormula>COUNTIF(Відвідуваністьзагрудень[28],"П")+COUNTIF(Відвідуваністьзагрудень[28],"ПП")</totalsRowFormula>
    </tableColumn>
    <tableColumn id="30" name="29" totalsRowFunction="custom" dataDxfId="601" totalsRowDxfId="600">
      <totalsRowFormula>COUNTIF(Відвідуваністьзагрудень[29],"П")+COUNTIF(Відвідуваністьзагрудень[29],"ПП")</totalsRowFormula>
    </tableColumn>
    <tableColumn id="31" name="30" totalsRowFunction="custom" totalsRowDxfId="599">
      <totalsRowFormula>COUNTIF(Відвідуваністьзагрудень[30],"П")+COUNTIF(Відвідуваністьзагрудень[30],"ПП")</totalsRowFormula>
    </tableColumn>
    <tableColumn id="32" name="31" totalsRowFunction="custom" totalsRowDxfId="598">
      <totalsRowFormula>COUNTIF(Відвідуваністьзагрудень[31],"П")+COUNTIF(Відвідуваністьзагрудень[31],"ПП")</totalsRowFormula>
    </tableColumn>
    <tableColumn id="35" name="З" totalsRowFunction="sum" dataDxfId="597" totalsRowDxfId="596">
      <calculatedColumnFormula>COUNTIF(Відвідуваністьзагрудень[[#This Row],[1]:[31]],Код1)</calculatedColumnFormula>
    </tableColumn>
    <tableColumn id="34" name="ПП" totalsRowFunction="sum" dataDxfId="595" totalsRowDxfId="594">
      <calculatedColumnFormula>COUNTIF(Відвідуваністьзагрудень[[#This Row],[1]:[31]],Код2)</calculatedColumnFormula>
    </tableColumn>
    <tableColumn id="37" name="П" totalsRowFunction="sum" dataDxfId="593" totalsRowDxfId="592">
      <calculatedColumnFormula>COUNTIF(Відвідуваністьзагрудень[[#This Row],[1]:[31]],Код3)</calculatedColumnFormula>
    </tableColumn>
    <tableColumn id="36" name="Н" totalsRowFunction="sum" dataDxfId="591" totalsRowDxfId="590">
      <calculatedColumnFormula>COUNTIF(Відвідуваністьзагрудень[[#This Row],[1]:[31]],Код4)</calculatedColumnFormula>
    </tableColumn>
    <tableColumn id="33" name="Відсутність, дн." totalsRowFunction="sum" totalsRowDxfId="589">
      <calculatedColumnFormula>SUM(Відвідуваністьзавересень[[#This Row],[ПП]:[П]])</calculatedColumnFormula>
    </tableColumn>
  </tableColumns>
  <tableStyleInfo name="Employee Absence Table" showFirstColumn="0" showLastColumn="1" showRowStripes="1" showColumnStripes="1"/>
  <extLst>
    <ext xmlns:x14="http://schemas.microsoft.com/office/spreadsheetml/2009/9/main" uri="{504A1905-F514-4f6f-8877-14C23A59335A}">
      <x14:table altText="Облік відвідування занять за серпень" altTextSummary="Відстеження відвідуваності занять студентами у грудні. Запізнення = З, поважна причина = ПП, прогул = П, на місці = Н, вихідний = В."/>
    </ext>
  </extLst>
</table>
</file>

<file path=xl/tables/table7.xml><?xml version="1.0" encoding="utf-8"?>
<table xmlns="http://schemas.openxmlformats.org/spreadsheetml/2006/main" id="7" name="Відвідуваністьзасічень" displayName="Відвідуваністьзасічень" ref="B6:AM12" totalsRowCount="1" headerRowDxfId="583" totalsRowDxfId="582">
  <tableColumns count="38">
    <tableColumn id="38" name="Код студента" dataDxfId="581" totalsRowDxfId="580"/>
    <tableColumn id="1" name="Ім’я студента" totalsRowLabel="Усього днів відсутній" dataDxfId="579" totalsRowDxfId="578">
      <calculatedColumnFormula>IFERROR(VLOOKUP(Відвідуваністьзасічень[[#This Row],[Код студента]],Перелікстудентів[],18,FALSE),"")</calculatedColumnFormula>
    </tableColumn>
    <tableColumn id="2" name="1" totalsRowFunction="custom" dataDxfId="577" totalsRowDxfId="576">
      <totalsRowFormula>COUNTIF(Відвідуваністьзасічень[1],"П")+COUNTIF(Відвідуваністьзасічень[1],"ПП")</totalsRowFormula>
    </tableColumn>
    <tableColumn id="3" name="2" totalsRowFunction="custom" dataDxfId="575" totalsRowDxfId="574">
      <totalsRowFormula>COUNTIF(Відвідуваністьзасічень[2],"П")+COUNTIF(Відвідуваністьзасічень[2],"ПП")</totalsRowFormula>
    </tableColumn>
    <tableColumn id="4" name="3" totalsRowFunction="custom" dataDxfId="573" totalsRowDxfId="572">
      <totalsRowFormula>COUNTIF(Відвідуваністьзасічень[3],"П")+COUNTIF(Відвідуваністьзасічень[3],"ПП")</totalsRowFormula>
    </tableColumn>
    <tableColumn id="5" name="4" totalsRowFunction="custom" dataDxfId="571" totalsRowDxfId="570">
      <totalsRowFormula>COUNTIF(Відвідуваністьзасічень[4],"П")+COUNTIF(Відвідуваністьзасічень[4],"ПП")</totalsRowFormula>
    </tableColumn>
    <tableColumn id="6" name="5" totalsRowFunction="custom" dataDxfId="569" totalsRowDxfId="568">
      <totalsRowFormula>COUNTIF(Відвідуваністьзасічень[5],"П")+COUNTIF(Відвідуваністьзасічень[5],"ПП")</totalsRowFormula>
    </tableColumn>
    <tableColumn id="7" name="6" totalsRowFunction="custom" dataDxfId="567" totalsRowDxfId="566">
      <totalsRowFormula>COUNTIF(Відвідуваністьзасічень[6],"П")+COUNTIF(Відвідуваністьзасічень[6],"ПП")</totalsRowFormula>
    </tableColumn>
    <tableColumn id="8" name="7" totalsRowFunction="custom" dataDxfId="565" totalsRowDxfId="564">
      <totalsRowFormula>COUNTIF(Відвідуваністьзасічень[7],"П")+COUNTIF(Відвідуваністьзасічень[7],"ПП")</totalsRowFormula>
    </tableColumn>
    <tableColumn id="9" name="8" totalsRowFunction="custom" dataDxfId="563" totalsRowDxfId="562">
      <totalsRowFormula>COUNTIF(Відвідуваністьзасічень[8],"П")+COUNTIF(Відвідуваністьзасічень[8],"ПП")</totalsRowFormula>
    </tableColumn>
    <tableColumn id="10" name="9" totalsRowFunction="custom" dataDxfId="561" totalsRowDxfId="560">
      <totalsRowFormula>COUNTIF(Відвідуваністьзасічень[9],"П")+COUNTIF(Відвідуваністьзасічень[9],"ПП")</totalsRowFormula>
    </tableColumn>
    <tableColumn id="11" name="10" totalsRowFunction="custom" dataDxfId="559" totalsRowDxfId="558">
      <totalsRowFormula>COUNTIF(Відвідуваністьзасічень[10],"П")+COUNTIF(Відвідуваністьзасічень[10],"ПП")</totalsRowFormula>
    </tableColumn>
    <tableColumn id="12" name="11" totalsRowFunction="custom" dataDxfId="557" totalsRowDxfId="556">
      <totalsRowFormula>COUNTIF(Відвідуваністьзасічень[11],"П")+COUNTIF(Відвідуваністьзасічень[11],"ПП")</totalsRowFormula>
    </tableColumn>
    <tableColumn id="13" name="12" totalsRowFunction="custom" dataDxfId="555" totalsRowDxfId="554">
      <totalsRowFormula>COUNTIF(Відвідуваністьзасічень[12],"П")+COUNTIF(Відвідуваністьзасічень[12],"ПП")</totalsRowFormula>
    </tableColumn>
    <tableColumn id="14" name="13" totalsRowFunction="custom" dataDxfId="553" totalsRowDxfId="552">
      <totalsRowFormula>COUNTIF(Відвідуваністьзасічень[13],"П")+COUNTIF(Відвідуваністьзасічень[13],"ПП")</totalsRowFormula>
    </tableColumn>
    <tableColumn id="15" name="14" totalsRowFunction="custom" dataDxfId="551" totalsRowDxfId="550">
      <totalsRowFormula>COUNTIF(Відвідуваністьзасічень[14],"П")+COUNTIF(Відвідуваністьзасічень[14],"ПП")</totalsRowFormula>
    </tableColumn>
    <tableColumn id="16" name="15" totalsRowFunction="custom" dataDxfId="549" totalsRowDxfId="548">
      <totalsRowFormula>COUNTIF(Відвідуваністьзасічень[15],"П")+COUNTIF(Відвідуваністьзасічень[15],"ПП")</totalsRowFormula>
    </tableColumn>
    <tableColumn id="17" name="16" totalsRowFunction="custom" dataDxfId="547" totalsRowDxfId="546">
      <totalsRowFormula>COUNTIF(Відвідуваністьзасічень[16],"П")+COUNTIF(Відвідуваністьзасічень[16],"ПП")</totalsRowFormula>
    </tableColumn>
    <tableColumn id="18" name="17" totalsRowFunction="custom" dataDxfId="545" totalsRowDxfId="544">
      <totalsRowFormula>COUNTIF(Відвідуваністьзасічень[17],"П")+COUNTIF(Відвідуваністьзасічень[17],"ПП")</totalsRowFormula>
    </tableColumn>
    <tableColumn id="19" name="18" totalsRowFunction="custom" dataDxfId="543" totalsRowDxfId="542">
      <totalsRowFormula>COUNTIF(Відвідуваністьзасічень[18],"П")+COUNTIF(Відвідуваністьзасічень[18],"ПП")</totalsRowFormula>
    </tableColumn>
    <tableColumn id="20" name="19" totalsRowFunction="custom" dataDxfId="541" totalsRowDxfId="540">
      <totalsRowFormula>COUNTIF(Відвідуваністьзасічень[19],"П")+COUNTIF(Відвідуваністьзасічень[19],"ПП")</totalsRowFormula>
    </tableColumn>
    <tableColumn id="21" name="20" totalsRowFunction="custom" dataDxfId="539" totalsRowDxfId="538">
      <totalsRowFormula>COUNTIF(Відвідуваністьзасічень[20],"П")+COUNTIF(Відвідуваністьзасічень[20],"ПП")</totalsRowFormula>
    </tableColumn>
    <tableColumn id="22" name="21" totalsRowFunction="custom" dataDxfId="537" totalsRowDxfId="536">
      <totalsRowFormula>COUNTIF(Відвідуваністьзасічень[21],"П")+COUNTIF(Відвідуваністьзасічень[21],"ПП")</totalsRowFormula>
    </tableColumn>
    <tableColumn id="23" name="22" totalsRowFunction="custom" dataDxfId="535" totalsRowDxfId="534">
      <totalsRowFormula>COUNTIF(Відвідуваністьзасічень[22],"П")+COUNTIF(Відвідуваністьзасічень[22],"ПП")</totalsRowFormula>
    </tableColumn>
    <tableColumn id="24" name="23" totalsRowFunction="custom" dataDxfId="533" totalsRowDxfId="532">
      <totalsRowFormula>COUNTIF(Відвідуваністьзасічень[23],"П")+COUNTIF(Відвідуваністьзасічень[23],"ПП")</totalsRowFormula>
    </tableColumn>
    <tableColumn id="25" name="24" totalsRowFunction="custom" dataDxfId="531" totalsRowDxfId="530">
      <totalsRowFormula>COUNTIF(Відвідуваністьзасічень[24],"П")+COUNTIF(Відвідуваністьзасічень[24],"ПП")</totalsRowFormula>
    </tableColumn>
    <tableColumn id="26" name="25" totalsRowFunction="custom" dataDxfId="529" totalsRowDxfId="528">
      <totalsRowFormula>COUNTIF(Відвідуваністьзасічень[25],"П")+COUNTIF(Відвідуваністьзасічень[25],"ПП")</totalsRowFormula>
    </tableColumn>
    <tableColumn id="27" name="26" totalsRowFunction="custom" dataDxfId="527" totalsRowDxfId="526">
      <totalsRowFormula>COUNTIF(Відвідуваністьзасічень[26],"П")+COUNTIF(Відвідуваністьзасічень[26],"ПП")</totalsRowFormula>
    </tableColumn>
    <tableColumn id="28" name="27" totalsRowFunction="custom" dataDxfId="525" totalsRowDxfId="524">
      <totalsRowFormula>COUNTIF(Відвідуваністьзасічень[27],"П")+COUNTIF(Відвідуваністьзасічень[27],"ПП")</totalsRowFormula>
    </tableColumn>
    <tableColumn id="29" name="28" totalsRowFunction="custom" dataDxfId="523" totalsRowDxfId="522">
      <totalsRowFormula>COUNTIF(Відвідуваністьзасічень[28],"П")+COUNTIF(Відвідуваністьзасічень[28],"ПП")</totalsRowFormula>
    </tableColumn>
    <tableColumn id="30" name="29" totalsRowFunction="custom" dataDxfId="521" totalsRowDxfId="520">
      <totalsRowFormula>COUNTIF(Відвідуваністьзасічень[29],"П")+COUNTIF(Відвідуваністьзасічень[29],"ПП")</totalsRowFormula>
    </tableColumn>
    <tableColumn id="31" name="30" totalsRowFunction="custom" dataDxfId="519" totalsRowDxfId="518">
      <totalsRowFormula>COUNTIF(Відвідуваністьзасічень[30],"П")+COUNTIF(Відвідуваністьзасічень[30],"ПП")</totalsRowFormula>
    </tableColumn>
    <tableColumn id="32" name="31" totalsRowFunction="custom" dataDxfId="517" totalsRowDxfId="516">
      <totalsRowFormula>COUNTIF(Відвідуваністьзасічень[31],"П")+COUNTIF(Відвідуваністьзасічень[31],"ПП")</totalsRowFormula>
    </tableColumn>
    <tableColumn id="35" name="З" totalsRowFunction="sum" dataDxfId="515" totalsRowDxfId="514">
      <calculatedColumnFormula>COUNTIF(Відвідуваністьзасічень[[#This Row],[1]:[31]],Код1)</calculatedColumnFormula>
    </tableColumn>
    <tableColumn id="34" name="ПП" totalsRowFunction="sum" dataDxfId="513" totalsRowDxfId="512">
      <calculatedColumnFormula>COUNTIF(Відвідуваністьзасічень[[#This Row],[1]:[31]],Код2)</calculatedColumnFormula>
    </tableColumn>
    <tableColumn id="37" name="П" totalsRowFunction="sum" dataDxfId="511" totalsRowDxfId="510">
      <calculatedColumnFormula>COUNTIF(Відвідуваністьзасічень[[#This Row],[1]:[31]],Код3)</calculatedColumnFormula>
    </tableColumn>
    <tableColumn id="36" name="Н" totalsRowFunction="sum" dataDxfId="509" totalsRowDxfId="508">
      <calculatedColumnFormula>COUNTIF(Відвідуваністьзасічень[[#This Row],[1]:[31]],Код4)</calculatedColumnFormula>
    </tableColumn>
    <tableColumn id="33" name="Відсутність, дн." totalsRowFunction="sum" dataDxfId="507" totalsRowDxfId="506">
      <calculatedColumnFormula>SUM(Відвідуваністьзавересень[[#This Row],[ПП]:[П]])</calculatedColumnFormula>
    </tableColumn>
  </tableColumns>
  <tableStyleInfo name="Employee Absence Table" showFirstColumn="0" showLastColumn="0" showRowStripes="1" showColumnStripes="1"/>
  <extLst>
    <ext xmlns:x14="http://schemas.microsoft.com/office/spreadsheetml/2009/9/main" uri="{504A1905-F514-4f6f-8877-14C23A59335A}">
      <x14:table altText="Облік відвідування занять за лютий" altTextSummary="Відстеження відвідуваності занять студентами в січні. Запізнення = З, поважна причина = ПП, прогул = П, на місці = Н, вихідний = В."/>
    </ext>
  </extLst>
</table>
</file>

<file path=xl/tables/table8.xml><?xml version="1.0" encoding="utf-8"?>
<table xmlns="http://schemas.openxmlformats.org/spreadsheetml/2006/main" id="5" name="Відвідуваністьзалютий" displayName="Відвідуваністьзалютий" ref="B6:AM12" totalsRowCount="1" headerRowDxfId="498" totalsRowDxfId="497">
  <tableColumns count="38">
    <tableColumn id="38" name="Код студента" dataDxfId="496" totalsRowDxfId="495"/>
    <tableColumn id="1" name="Ім’я студента" totalsRowLabel="Усього днів відсутній" dataDxfId="494" totalsRowDxfId="493">
      <calculatedColumnFormula>IFERROR(VLOOKUP(Відвідуваністьзалютий[[#This Row],[Код студента]],Перелікстудентів[],18,FALSE),"")</calculatedColumnFormula>
    </tableColumn>
    <tableColumn id="2" name="1" totalsRowFunction="custom" dataDxfId="492" totalsRowDxfId="491">
      <totalsRowFormula>COUNTIF(Відвідуваністьзалютий[1],"П")+COUNTIF(Відвідуваністьзалютий[1],"ПП")</totalsRowFormula>
    </tableColumn>
    <tableColumn id="3" name="2" totalsRowFunction="custom" dataDxfId="490" totalsRowDxfId="489">
      <totalsRowFormula>COUNTIF(Відвідуваністьзалютий[2],"П")+COUNTIF(Відвідуваністьзалютий[2],"ПП")</totalsRowFormula>
    </tableColumn>
    <tableColumn id="4" name="3" totalsRowFunction="custom" dataDxfId="488" totalsRowDxfId="487">
      <totalsRowFormula>COUNTIF(Відвідуваністьзалютий[3],"П")+COUNTIF(Відвідуваністьзалютий[3],"ПП")</totalsRowFormula>
    </tableColumn>
    <tableColumn id="5" name="4" totalsRowFunction="custom" dataDxfId="486" totalsRowDxfId="485">
      <totalsRowFormula>COUNTIF(Відвідуваністьзалютий[4],"П")+COUNTIF(Відвідуваністьзалютий[4],"ПП")</totalsRowFormula>
    </tableColumn>
    <tableColumn id="6" name="5" totalsRowFunction="custom" dataDxfId="484" totalsRowDxfId="483">
      <totalsRowFormula>COUNTIF(Відвідуваністьзалютий[5],"П")+COUNTIF(Відвідуваністьзалютий[5],"ПП")</totalsRowFormula>
    </tableColumn>
    <tableColumn id="7" name="6" totalsRowFunction="custom" dataDxfId="482" totalsRowDxfId="481">
      <totalsRowFormula>COUNTIF(Відвідуваністьзалютий[6],"П")+COUNTIF(Відвідуваністьзалютий[6],"ПП")</totalsRowFormula>
    </tableColumn>
    <tableColumn id="8" name="7" totalsRowFunction="custom" dataDxfId="480" totalsRowDxfId="479">
      <totalsRowFormula>COUNTIF(Відвідуваністьзалютий[7],"П")+COUNTIF(Відвідуваністьзалютий[7],"ПП")</totalsRowFormula>
    </tableColumn>
    <tableColumn id="9" name="8" totalsRowFunction="custom" dataDxfId="478" totalsRowDxfId="477">
      <totalsRowFormula>COUNTIF(Відвідуваністьзалютий[8],"П")+COUNTIF(Відвідуваністьзалютий[8],"ПП")</totalsRowFormula>
    </tableColumn>
    <tableColumn id="10" name="9" totalsRowFunction="custom" dataDxfId="476" totalsRowDxfId="475">
      <totalsRowFormula>COUNTIF(Відвідуваністьзалютий[9],"П")+COUNTIF(Відвідуваністьзалютий[9],"ПП")</totalsRowFormula>
    </tableColumn>
    <tableColumn id="11" name="10" totalsRowFunction="custom" dataDxfId="474" totalsRowDxfId="473">
      <totalsRowFormula>COUNTIF(Відвідуваністьзалютий[10],"П")+COUNTIF(Відвідуваністьзалютий[10],"ПП")</totalsRowFormula>
    </tableColumn>
    <tableColumn id="12" name="11" totalsRowFunction="custom" dataDxfId="472" totalsRowDxfId="471">
      <totalsRowFormula>COUNTIF(Відвідуваністьзалютий[11],"П")+COUNTIF(Відвідуваністьзалютий[11],"ПП")</totalsRowFormula>
    </tableColumn>
    <tableColumn id="13" name="12" totalsRowFunction="custom" dataDxfId="470" totalsRowDxfId="469">
      <totalsRowFormula>COUNTIF(Відвідуваністьзалютий[12],"П")+COUNTIF(Відвідуваністьзалютий[12],"ПП")</totalsRowFormula>
    </tableColumn>
    <tableColumn id="14" name="13" totalsRowFunction="custom" dataDxfId="468" totalsRowDxfId="467">
      <totalsRowFormula>COUNTIF(Відвідуваністьзалютий[13],"П")+COUNTIF(Відвідуваністьзалютий[13],"ПП")</totalsRowFormula>
    </tableColumn>
    <tableColumn id="15" name="14" totalsRowFunction="custom" dataDxfId="466" totalsRowDxfId="465">
      <totalsRowFormula>COUNTIF(Відвідуваністьзалютий[14],"П")+COUNTIF(Відвідуваністьзалютий[14],"ПП")</totalsRowFormula>
    </tableColumn>
    <tableColumn id="16" name="15" totalsRowFunction="custom" dataDxfId="464" totalsRowDxfId="463">
      <totalsRowFormula>COUNTIF(Відвідуваністьзалютий[15],"П")+COUNTIF(Відвідуваністьзалютий[15],"ПП")</totalsRowFormula>
    </tableColumn>
    <tableColumn id="17" name="16" totalsRowFunction="custom" dataDxfId="462" totalsRowDxfId="461">
      <totalsRowFormula>COUNTIF(Відвідуваністьзалютий[16],"П")+COUNTIF(Відвідуваністьзалютий[16],"ПП")</totalsRowFormula>
    </tableColumn>
    <tableColumn id="18" name="17" totalsRowFunction="custom" dataDxfId="460" totalsRowDxfId="459">
      <totalsRowFormula>COUNTIF(Відвідуваністьзалютий[17],"П")+COUNTIF(Відвідуваністьзалютий[17],"ПП")</totalsRowFormula>
    </tableColumn>
    <tableColumn id="19" name="18" totalsRowFunction="custom" dataDxfId="458" totalsRowDxfId="457">
      <totalsRowFormula>COUNTIF(Відвідуваністьзалютий[18],"П")+COUNTIF(Відвідуваністьзалютий[18],"ПП")</totalsRowFormula>
    </tableColumn>
    <tableColumn id="20" name="19" totalsRowFunction="custom" dataDxfId="456" totalsRowDxfId="455">
      <totalsRowFormula>COUNTIF(Відвідуваністьзалютий[19],"П")+COUNTIF(Відвідуваністьзалютий[19],"ПП")</totalsRowFormula>
    </tableColumn>
    <tableColumn id="21" name="20" totalsRowFunction="custom" dataDxfId="454" totalsRowDxfId="453">
      <totalsRowFormula>COUNTIF(Відвідуваністьзалютий[20],"П")+COUNTIF(Відвідуваністьзалютий[20],"ПП")</totalsRowFormula>
    </tableColumn>
    <tableColumn id="22" name="21" totalsRowFunction="custom" dataDxfId="452" totalsRowDxfId="451">
      <totalsRowFormula>COUNTIF(Відвідуваністьзалютий[21],"П")+COUNTIF(Відвідуваністьзалютий[21],"ПП")</totalsRowFormula>
    </tableColumn>
    <tableColumn id="23" name="22" totalsRowFunction="custom" dataDxfId="450" totalsRowDxfId="449">
      <totalsRowFormula>COUNTIF(Відвідуваністьзалютий[22],"П")+COUNTIF(Відвідуваністьзалютий[22],"ПП")</totalsRowFormula>
    </tableColumn>
    <tableColumn id="24" name="23" totalsRowFunction="custom" dataDxfId="448" totalsRowDxfId="447">
      <totalsRowFormula>COUNTIF(Відвідуваністьзалютий[23],"П")+COUNTIF(Відвідуваністьзалютий[23],"ПП")</totalsRowFormula>
    </tableColumn>
    <tableColumn id="25" name="24" totalsRowFunction="custom" dataDxfId="446" totalsRowDxfId="445">
      <totalsRowFormula>COUNTIF(Відвідуваністьзалютий[24],"П")+COUNTIF(Відвідуваністьзалютий[24],"ПП")</totalsRowFormula>
    </tableColumn>
    <tableColumn id="26" name="25" totalsRowFunction="custom" dataDxfId="444" totalsRowDxfId="443">
      <totalsRowFormula>COUNTIF(Відвідуваністьзалютий[25],"П")+COUNTIF(Відвідуваністьзалютий[25],"ПП")</totalsRowFormula>
    </tableColumn>
    <tableColumn id="27" name="26" totalsRowFunction="custom" dataDxfId="442" totalsRowDxfId="441">
      <totalsRowFormula>COUNTIF(Відвідуваністьзалютий[26],"П")+COUNTIF(Відвідуваністьзалютий[26],"ПП")</totalsRowFormula>
    </tableColumn>
    <tableColumn id="28" name="27" totalsRowFunction="custom" dataDxfId="440" totalsRowDxfId="439">
      <totalsRowFormula>COUNTIF(Відвідуваністьзалютий[27],"П")+COUNTIF(Відвідуваністьзалютий[27],"ПП")</totalsRowFormula>
    </tableColumn>
    <tableColumn id="29" name="28" totalsRowFunction="custom" dataDxfId="438" totalsRowDxfId="437">
      <totalsRowFormula>COUNTIF(Відвідуваністьзалютий[28],"П")+COUNTIF(Відвідуваністьзалютий[28],"ПП")</totalsRowFormula>
    </tableColumn>
    <tableColumn id="30" name="29" totalsRowFunction="custom" dataDxfId="436" totalsRowDxfId="435">
      <totalsRowFormula>COUNTIF(Відвідуваністьзалютий[29],"П")+COUNTIF(Відвідуваністьзалютий[29],"ПП")</totalsRowFormula>
    </tableColumn>
    <tableColumn id="31" name="30" totalsRowFunction="custom" dataDxfId="434" totalsRowDxfId="433">
      <totalsRowFormula>COUNTIF(Відвідуваністьзалютий[30],"П")+COUNTIF(Відвідуваністьзалютий[30],"ПП")</totalsRowFormula>
    </tableColumn>
    <tableColumn id="32" name="31" totalsRowFunction="custom" dataDxfId="432" totalsRowDxfId="431">
      <totalsRowFormula>COUNTIF(Відвідуваністьзалютий[31],"П")+COUNTIF(Відвідуваністьзалютий[31],"ПП")</totalsRowFormula>
    </tableColumn>
    <tableColumn id="35" name="З" totalsRowFunction="sum" dataDxfId="430" totalsRowDxfId="429">
      <calculatedColumnFormula>COUNTIF(Відвідуваністьзалютий[[#This Row],[1]:[31]],Код1)</calculatedColumnFormula>
    </tableColumn>
    <tableColumn id="34" name="ПП" totalsRowFunction="sum" dataDxfId="428" totalsRowDxfId="427">
      <calculatedColumnFormula>COUNTIF(Відвідуваністьзалютий[[#This Row],[1]:[31]],Код2)</calculatedColumnFormula>
    </tableColumn>
    <tableColumn id="37" name="П" totalsRowFunction="sum" dataDxfId="426" totalsRowDxfId="425">
      <calculatedColumnFormula>COUNTIF(Відвідуваністьзалютий[[#This Row],[1]:[31]],Код3)</calculatedColumnFormula>
    </tableColumn>
    <tableColumn id="36" name="Н" totalsRowFunction="sum" dataDxfId="424" totalsRowDxfId="423">
      <calculatedColumnFormula>COUNTIF(Відвідуваністьзалютий[[#This Row],[1]:[31]],Код4)</calculatedColumnFormula>
    </tableColumn>
    <tableColumn id="33" name="Відсутність, дн." totalsRowFunction="sum" dataDxfId="422" totalsRowDxfId="421">
      <calculatedColumnFormula>SUM(Відвідуваністьзавересень[[#This Row],[ПП]:[П]])</calculatedColumnFormula>
    </tableColumn>
  </tableColumns>
  <tableStyleInfo name="Employee Absence Table" showFirstColumn="0" showLastColumn="0" showRowStripes="1" showColumnStripes="1"/>
  <extLst>
    <ext xmlns:x14="http://schemas.microsoft.com/office/spreadsheetml/2009/9/main" uri="{504A1905-F514-4f6f-8877-14C23A59335A}">
      <x14:table altText="Облік відвідування занять за лютий" altTextSummary="Відстеження відвідуваності занять студентами в лютому. Запізнення = З, поважна причина = ПП, прогул = П, на місці = Н, вихідний = В."/>
    </ext>
  </extLst>
</table>
</file>

<file path=xl/tables/table9.xml><?xml version="1.0" encoding="utf-8"?>
<table xmlns="http://schemas.openxmlformats.org/spreadsheetml/2006/main" id="8" name="Відвідуваністьзаберезень" displayName="Відвідуваністьзаберезень" ref="B6:AM12" totalsRowCount="1" headerRowDxfId="415" totalsRowDxfId="414">
  <tableColumns count="38">
    <tableColumn id="38" name="Код студента" dataDxfId="413" totalsRowDxfId="412"/>
    <tableColumn id="1" name="Ім’я студента" totalsRowLabel="Усього днів відсутній" dataDxfId="411" totalsRowDxfId="410">
      <calculatedColumnFormula>IFERROR(VLOOKUP(Відвідуваністьзаберезень[[#This Row],[Код студента]],Перелікстудентів[],18,FALSE),"")</calculatedColumnFormula>
    </tableColumn>
    <tableColumn id="2" name="1" totalsRowFunction="custom" dataDxfId="409" totalsRowDxfId="408">
      <totalsRowFormula>COUNTIF(Відвідуваністьзаберезень[1],"П")+COUNTIF(Відвідуваністьзаберезень[1],"ПП")</totalsRowFormula>
    </tableColumn>
    <tableColumn id="3" name="2" totalsRowFunction="custom" dataDxfId="407" totalsRowDxfId="406">
      <totalsRowFormula>COUNTIF(Відвідуваністьзаберезень[2],"П")+COUNTIF(Відвідуваністьзаберезень[2],"ПП")</totalsRowFormula>
    </tableColumn>
    <tableColumn id="4" name="3" totalsRowFunction="custom" dataDxfId="405" totalsRowDxfId="404">
      <totalsRowFormula>COUNTIF(Відвідуваністьзаберезень[3],"П")+COUNTIF(Відвідуваністьзаберезень[3],"ПП")</totalsRowFormula>
    </tableColumn>
    <tableColumn id="5" name="4" totalsRowFunction="custom" dataDxfId="403" totalsRowDxfId="402">
      <totalsRowFormula>COUNTIF(Відвідуваністьзаберезень[4],"П")+COUNTIF(Відвідуваністьзаберезень[4],"ПП")</totalsRowFormula>
    </tableColumn>
    <tableColumn id="6" name="5" totalsRowFunction="custom" dataDxfId="401" totalsRowDxfId="400">
      <totalsRowFormula>COUNTIF(Відвідуваністьзаберезень[5],"П")+COUNTIF(Відвідуваністьзаберезень[5],"ПП")</totalsRowFormula>
    </tableColumn>
    <tableColumn id="7" name="6" totalsRowFunction="custom" dataDxfId="399" totalsRowDxfId="398">
      <totalsRowFormula>COUNTIF(Відвідуваністьзаберезень[6],"П")+COUNTIF(Відвідуваністьзаберезень[6],"ПП")</totalsRowFormula>
    </tableColumn>
    <tableColumn id="8" name="7" totalsRowFunction="custom" dataDxfId="397" totalsRowDxfId="396">
      <totalsRowFormula>COUNTIF(Відвідуваністьзаберезень[7],"П")+COUNTIF(Відвідуваністьзаберезень[7],"ПП")</totalsRowFormula>
    </tableColumn>
    <tableColumn id="9" name="8" totalsRowFunction="custom" dataDxfId="395" totalsRowDxfId="394">
      <totalsRowFormula>COUNTIF(Відвідуваністьзаберезень[8],"П")+COUNTIF(Відвідуваністьзаберезень[8],"ПП")</totalsRowFormula>
    </tableColumn>
    <tableColumn id="10" name="9" totalsRowFunction="custom" dataDxfId="393" totalsRowDxfId="392">
      <totalsRowFormula>COUNTIF(Відвідуваністьзаберезень[9],"П")+COUNTIF(Відвідуваністьзаберезень[9],"ПП")</totalsRowFormula>
    </tableColumn>
    <tableColumn id="11" name="10" totalsRowFunction="custom" dataDxfId="391" totalsRowDxfId="390">
      <totalsRowFormula>COUNTIF(Відвідуваністьзаберезень[10],"П")+COUNTIF(Відвідуваністьзаберезень[10],"ПП")</totalsRowFormula>
    </tableColumn>
    <tableColumn id="12" name="11" totalsRowFunction="custom" dataDxfId="389" totalsRowDxfId="388">
      <totalsRowFormula>COUNTIF(Відвідуваністьзаберезень[11],"П")+COUNTIF(Відвідуваністьзаберезень[11],"ПП")</totalsRowFormula>
    </tableColumn>
    <tableColumn id="13" name="12" totalsRowFunction="custom" dataDxfId="387" totalsRowDxfId="386">
      <totalsRowFormula>COUNTIF(Відвідуваністьзаберезень[12],"П")+COUNTIF(Відвідуваністьзаберезень[12],"ПП")</totalsRowFormula>
    </tableColumn>
    <tableColumn id="14" name="13" totalsRowFunction="custom" dataDxfId="385" totalsRowDxfId="384">
      <totalsRowFormula>COUNTIF(Відвідуваністьзаберезень[13],"П")+COUNTIF(Відвідуваністьзаберезень[13],"ПП")</totalsRowFormula>
    </tableColumn>
    <tableColumn id="15" name="14" totalsRowFunction="custom" dataDxfId="383" totalsRowDxfId="382">
      <totalsRowFormula>COUNTIF(Відвідуваністьзаберезень[14],"П")+COUNTIF(Відвідуваністьзаберезень[14],"ПП")</totalsRowFormula>
    </tableColumn>
    <tableColumn id="16" name="15" totalsRowFunction="custom" dataDxfId="381" totalsRowDxfId="380">
      <totalsRowFormula>COUNTIF(Відвідуваністьзаберезень[15],"П")+COUNTIF(Відвідуваністьзаберезень[15],"ПП")</totalsRowFormula>
    </tableColumn>
    <tableColumn id="17" name="16" totalsRowFunction="custom" dataDxfId="379" totalsRowDxfId="378">
      <totalsRowFormula>COUNTIF(Відвідуваністьзаберезень[16],"П")+COUNTIF(Відвідуваністьзаберезень[16],"ПП")</totalsRowFormula>
    </tableColumn>
    <tableColumn id="18" name="17" totalsRowFunction="custom" dataDxfId="377" totalsRowDxfId="376">
      <totalsRowFormula>COUNTIF(Відвідуваністьзаберезень[17],"П")+COUNTIF(Відвідуваністьзаберезень[17],"ПП")</totalsRowFormula>
    </tableColumn>
    <tableColumn id="19" name="18" totalsRowFunction="custom" dataDxfId="375" totalsRowDxfId="374">
      <totalsRowFormula>COUNTIF(Відвідуваністьзаберезень[18],"П")+COUNTIF(Відвідуваністьзаберезень[18],"ПП")</totalsRowFormula>
    </tableColumn>
    <tableColumn id="20" name="19" totalsRowFunction="custom" dataDxfId="373" totalsRowDxfId="372">
      <totalsRowFormula>COUNTIF(Відвідуваністьзаберезень[19],"П")+COUNTIF(Відвідуваністьзаберезень[19],"ПП")</totalsRowFormula>
    </tableColumn>
    <tableColumn id="21" name="20" totalsRowFunction="custom" dataDxfId="371" totalsRowDxfId="370">
      <totalsRowFormula>COUNTIF(Відвідуваністьзаберезень[20],"П")+COUNTIF(Відвідуваністьзаберезень[20],"ПП")</totalsRowFormula>
    </tableColumn>
    <tableColumn id="22" name="21" totalsRowFunction="custom" dataDxfId="369" totalsRowDxfId="368">
      <totalsRowFormula>COUNTIF(Відвідуваністьзаберезень[21],"П")+COUNTIF(Відвідуваністьзаберезень[21],"ПП")</totalsRowFormula>
    </tableColumn>
    <tableColumn id="23" name="22" totalsRowFunction="custom" dataDxfId="367" totalsRowDxfId="366">
      <totalsRowFormula>COUNTIF(Відвідуваністьзаберезень[22],"П")+COUNTIF(Відвідуваністьзаберезень[22],"ПП")</totalsRowFormula>
    </tableColumn>
    <tableColumn id="24" name="23" totalsRowFunction="custom" dataDxfId="365" totalsRowDxfId="364">
      <totalsRowFormula>COUNTIF(Відвідуваністьзаберезень[23],"П")+COUNTIF(Відвідуваністьзаберезень[23],"ПП")</totalsRowFormula>
    </tableColumn>
    <tableColumn id="25" name="24" totalsRowFunction="custom" dataDxfId="363" totalsRowDxfId="362">
      <totalsRowFormula>COUNTIF(Відвідуваністьзаберезень[24],"П")+COUNTIF(Відвідуваністьзаберезень[24],"ПП")</totalsRowFormula>
    </tableColumn>
    <tableColumn id="26" name="25" totalsRowFunction="custom" dataDxfId="361" totalsRowDxfId="360">
      <totalsRowFormula>COUNTIF(Відвідуваністьзаберезень[25],"П")+COUNTIF(Відвідуваністьзаберезень[25],"ПП")</totalsRowFormula>
    </tableColumn>
    <tableColumn id="27" name="26" totalsRowFunction="custom" dataDxfId="359" totalsRowDxfId="358">
      <totalsRowFormula>COUNTIF(Відвідуваністьзаберезень[26],"П")+COUNTIF(Відвідуваністьзаберезень[26],"ПП")</totalsRowFormula>
    </tableColumn>
    <tableColumn id="28" name="27" totalsRowFunction="custom" dataDxfId="357" totalsRowDxfId="356">
      <totalsRowFormula>COUNTIF(Відвідуваністьзаберезень[27],"П")+COUNTIF(Відвідуваністьзаберезень[27],"ПП")</totalsRowFormula>
    </tableColumn>
    <tableColumn id="29" name="28" totalsRowFunction="custom" dataDxfId="355" totalsRowDxfId="354">
      <totalsRowFormula>COUNTIF(Відвідуваністьзаберезень[28],"П")+COUNTIF(Відвідуваністьзаберезень[28],"ПП")</totalsRowFormula>
    </tableColumn>
    <tableColumn id="30" name="29" totalsRowFunction="custom" dataDxfId="353" totalsRowDxfId="352">
      <totalsRowFormula>COUNTIF(Відвідуваністьзаберезень[29],"П")+COUNTIF(Відвідуваністьзаберезень[29],"ПП")</totalsRowFormula>
    </tableColumn>
    <tableColumn id="31" name="30" totalsRowFunction="custom" dataDxfId="351" totalsRowDxfId="350">
      <totalsRowFormula>COUNTIF(Відвідуваністьзаберезень[30],"П")+COUNTIF(Відвідуваністьзаберезень[30],"ПП")</totalsRowFormula>
    </tableColumn>
    <tableColumn id="32" name="31" totalsRowFunction="custom" dataDxfId="349" totalsRowDxfId="348">
      <totalsRowFormula>COUNTIF(Відвідуваністьзаберезень[31],"П")+COUNTIF(Відвідуваністьзаберезень[31],"ПП")</totalsRowFormula>
    </tableColumn>
    <tableColumn id="35" name="З" totalsRowFunction="sum" dataDxfId="347" totalsRowDxfId="346">
      <calculatedColumnFormula>COUNTIF(Відвідуваністьзаберезень[[#This Row],[1]:[31]],Код1)</calculatedColumnFormula>
    </tableColumn>
    <tableColumn id="34" name="ПП" totalsRowFunction="sum" dataDxfId="345" totalsRowDxfId="344">
      <calculatedColumnFormula>COUNTIF(Відвідуваністьзаберезень[[#This Row],[1]:[31]],Код2)</calculatedColumnFormula>
    </tableColumn>
    <tableColumn id="37" name="П" totalsRowFunction="sum" dataDxfId="343" totalsRowDxfId="342">
      <calculatedColumnFormula>COUNTIF(Відвідуваністьзаберезень[[#This Row],[1]:[31]],Код3)</calculatedColumnFormula>
    </tableColumn>
    <tableColumn id="36" name="Н" totalsRowFunction="sum" dataDxfId="341" totalsRowDxfId="340">
      <calculatedColumnFormula>COUNTIF(Відвідуваністьзаберезень[[#This Row],[1]:[31]],Код4)</calculatedColumnFormula>
    </tableColumn>
    <tableColumn id="33" name="Відсутність, дн." totalsRowFunction="sum" dataDxfId="339" totalsRowDxfId="338">
      <calculatedColumnFormula>SUM(Відвідуваністьзавересень[[#This Row],[ПП]:[П]])</calculatedColumnFormula>
    </tableColumn>
  </tableColumns>
  <tableStyleInfo name="Employee Absence Table" showFirstColumn="0" showLastColumn="0" showRowStripes="1" showColumnStripes="1"/>
  <extLst>
    <ext xmlns:x14="http://schemas.microsoft.com/office/spreadsheetml/2009/9/main" uri="{504A1905-F514-4f6f-8877-14C23A59335A}">
      <x14:table altText="Облік відвідування занять за лютий" altTextSummary="Відстеження відвідуваності занять студентами в березні. Запізнення = З, поважна причина = ПП, прогул = П, на місці = Н, вихідний = В."/>
    </ext>
  </extLst>
</table>
</file>

<file path=xl/theme/theme1.xml><?xml version="1.0" encoding="utf-8"?>
<a:theme xmlns:a="http://schemas.openxmlformats.org/drawingml/2006/main" name="Office Theme">
  <a:themeElements>
    <a:clrScheme name="Student Attendance Record">
      <a:dk1>
        <a:sysClr val="windowText" lastClr="000000"/>
      </a:dk1>
      <a:lt1>
        <a:sysClr val="window" lastClr="FFFFFF"/>
      </a:lt1>
      <a:dk2>
        <a:srgbClr val="645050"/>
      </a:dk2>
      <a:lt2>
        <a:srgbClr val="FAF0DC"/>
      </a:lt2>
      <a:accent1>
        <a:srgbClr val="4BACC6"/>
      </a:accent1>
      <a:accent2>
        <a:srgbClr val="FFD264"/>
      </a:accent2>
      <a:accent3>
        <a:srgbClr val="FF9354"/>
      </a:accent3>
      <a:accent4>
        <a:srgbClr val="B4D23C"/>
      </a:accent4>
      <a:accent5>
        <a:srgbClr val="AE701E"/>
      </a:accent5>
      <a:accent6>
        <a:srgbClr val="003CC9"/>
      </a:accent6>
      <a:hlink>
        <a:srgbClr val="457CFF"/>
      </a:hlink>
      <a:folHlink>
        <a:srgbClr val="EDC796"/>
      </a:folHlink>
    </a:clrScheme>
    <a:fontScheme name="Student Attendance Record">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ffice.microsoft.com/client/helppreview14.aspx?AssetId=HA010354866&amp;lcid=1033&amp;NS=EXCEL&amp;Version=14&amp;tl=2&amp;respos=0&amp;CTT=1&amp;queryid=d38d00d08c94494fb55f055eb667c2c9"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table" Target="../tables/table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P32"/>
  <sheetViews>
    <sheetView showGridLines="0" showRowColHeaders="0" tabSelected="1" workbookViewId="0"/>
  </sheetViews>
  <sheetFormatPr defaultRowHeight="13.5" x14ac:dyDescent="0.25"/>
  <cols>
    <col min="1" max="3" width="3.28515625" customWidth="1"/>
    <col min="4" max="4" width="3.85546875" customWidth="1"/>
    <col min="14" max="14" width="2.42578125" customWidth="1"/>
  </cols>
  <sheetData>
    <row r="1" spans="1:16" ht="42" customHeight="1" x14ac:dyDescent="0.25">
      <c r="A1" s="85" t="s">
        <v>120</v>
      </c>
      <c r="B1" s="85"/>
      <c r="C1" s="85"/>
      <c r="D1" s="85"/>
      <c r="E1" s="42"/>
      <c r="F1" s="42"/>
      <c r="G1" s="42"/>
      <c r="H1" s="42"/>
      <c r="I1" s="42"/>
      <c r="J1" s="42"/>
      <c r="K1" s="42"/>
      <c r="L1" s="42"/>
      <c r="M1" s="42"/>
      <c r="N1" s="42"/>
      <c r="O1" s="93"/>
      <c r="P1" s="93"/>
    </row>
    <row r="2" spans="1:16" ht="6.75" customHeight="1" x14ac:dyDescent="0.25"/>
    <row r="3" spans="1:16" ht="17.25" x14ac:dyDescent="0.3">
      <c r="B3" s="86" t="s">
        <v>107</v>
      </c>
      <c r="C3" s="86"/>
      <c r="D3" s="86"/>
      <c r="E3" s="86"/>
      <c r="F3" s="86"/>
    </row>
    <row r="4" spans="1:16" ht="28.5" customHeight="1" x14ac:dyDescent="0.25">
      <c r="C4" s="124" t="s">
        <v>111</v>
      </c>
      <c r="D4" s="124"/>
      <c r="E4" s="124"/>
      <c r="F4" s="124"/>
      <c r="G4" s="124"/>
      <c r="H4" s="124"/>
      <c r="I4" s="124"/>
      <c r="J4" s="124"/>
      <c r="K4" s="124"/>
      <c r="L4" s="124"/>
      <c r="M4" s="124"/>
    </row>
    <row r="5" spans="1:16" ht="85.5" customHeight="1" x14ac:dyDescent="0.25">
      <c r="D5" s="92" t="s">
        <v>103</v>
      </c>
      <c r="E5" s="125" t="s">
        <v>122</v>
      </c>
      <c r="F5" s="125"/>
      <c r="G5" s="125"/>
      <c r="H5" s="125"/>
      <c r="I5" s="125"/>
      <c r="J5" s="125"/>
      <c r="K5" s="125"/>
      <c r="L5" s="125"/>
      <c r="M5" s="125"/>
      <c r="N5" s="87"/>
    </row>
    <row r="6" spans="1:16" ht="61.5" customHeight="1" x14ac:dyDescent="0.25">
      <c r="C6" s="87"/>
      <c r="D6" s="92" t="s">
        <v>104</v>
      </c>
      <c r="E6" s="125" t="s">
        <v>123</v>
      </c>
      <c r="F6" s="125"/>
      <c r="G6" s="125"/>
      <c r="H6" s="125"/>
      <c r="I6" s="125"/>
      <c r="J6" s="125"/>
      <c r="K6" s="125"/>
      <c r="L6" s="125"/>
      <c r="M6" s="125"/>
      <c r="N6" s="87"/>
    </row>
    <row r="7" spans="1:16" ht="101.25" customHeight="1" x14ac:dyDescent="0.25">
      <c r="C7" s="87"/>
      <c r="D7" s="92" t="s">
        <v>105</v>
      </c>
      <c r="E7" s="125" t="s">
        <v>126</v>
      </c>
      <c r="F7" s="125"/>
      <c r="G7" s="125"/>
      <c r="H7" s="125"/>
      <c r="I7" s="125"/>
      <c r="J7" s="125"/>
      <c r="K7" s="125"/>
      <c r="L7" s="125"/>
      <c r="M7" s="125"/>
      <c r="N7" s="87"/>
    </row>
    <row r="8" spans="1:16" ht="67.5" customHeight="1" x14ac:dyDescent="0.25">
      <c r="C8" s="87"/>
      <c r="D8" s="92"/>
      <c r="E8" s="126" t="s">
        <v>127</v>
      </c>
      <c r="F8" s="126"/>
      <c r="G8" s="126"/>
      <c r="H8" s="126"/>
      <c r="I8" s="126"/>
      <c r="J8" s="126"/>
      <c r="K8" s="126"/>
      <c r="L8" s="126"/>
      <c r="M8" s="126"/>
      <c r="N8" s="87"/>
    </row>
    <row r="9" spans="1:16" ht="16.5" customHeight="1" x14ac:dyDescent="0.25">
      <c r="E9" s="127" t="s">
        <v>121</v>
      </c>
      <c r="F9" s="127"/>
      <c r="G9" s="127"/>
      <c r="H9" s="127"/>
    </row>
    <row r="10" spans="1:16" ht="6.75" customHeight="1" x14ac:dyDescent="0.25"/>
    <row r="11" spans="1:16" ht="16.5" customHeight="1" x14ac:dyDescent="0.3">
      <c r="B11" s="86" t="s">
        <v>108</v>
      </c>
      <c r="C11" s="86"/>
      <c r="D11" s="86"/>
      <c r="E11" s="86"/>
      <c r="F11" s="86"/>
      <c r="G11" s="86"/>
      <c r="H11" s="86"/>
      <c r="I11" s="86"/>
    </row>
    <row r="12" spans="1:16" s="88" customFormat="1" ht="35.25" customHeight="1" x14ac:dyDescent="0.25">
      <c r="C12" s="124" t="s">
        <v>106</v>
      </c>
      <c r="D12" s="124"/>
      <c r="E12" s="124"/>
      <c r="F12" s="124"/>
      <c r="G12" s="124"/>
      <c r="H12" s="124"/>
      <c r="I12" s="124"/>
      <c r="J12" s="124"/>
      <c r="K12" s="124"/>
      <c r="L12" s="124"/>
      <c r="M12" s="124"/>
    </row>
    <row r="13" spans="1:16" ht="47.25" customHeight="1" x14ac:dyDescent="0.25">
      <c r="D13" s="92" t="s">
        <v>103</v>
      </c>
      <c r="E13" s="125" t="s">
        <v>124</v>
      </c>
      <c r="F13" s="125"/>
      <c r="G13" s="125"/>
      <c r="H13" s="125"/>
      <c r="I13" s="125"/>
      <c r="J13" s="125"/>
      <c r="K13" s="125"/>
      <c r="L13" s="125"/>
      <c r="M13" s="125"/>
      <c r="N13" s="87"/>
      <c r="O13" s="87"/>
    </row>
    <row r="14" spans="1:16" ht="47.25" customHeight="1" x14ac:dyDescent="0.25">
      <c r="D14" s="92"/>
      <c r="E14" s="125" t="s">
        <v>125</v>
      </c>
      <c r="F14" s="125"/>
      <c r="G14" s="125"/>
      <c r="H14" s="125"/>
      <c r="I14" s="125"/>
      <c r="J14" s="125"/>
      <c r="K14" s="125"/>
      <c r="L14" s="125"/>
      <c r="M14" s="125"/>
      <c r="N14" s="97"/>
      <c r="O14" s="97"/>
    </row>
    <row r="15" spans="1:16" s="89" customFormat="1" ht="57.75" customHeight="1" x14ac:dyDescent="0.25">
      <c r="D15" s="92" t="s">
        <v>104</v>
      </c>
      <c r="E15" s="125" t="s">
        <v>114</v>
      </c>
      <c r="F15" s="125"/>
      <c r="G15" s="125"/>
      <c r="H15" s="125"/>
      <c r="I15" s="125"/>
      <c r="J15" s="125"/>
      <c r="K15" s="125"/>
      <c r="L15" s="125"/>
      <c r="M15" s="125"/>
      <c r="N15" s="90"/>
      <c r="O15" s="90"/>
    </row>
    <row r="16" spans="1:16" ht="6.75" customHeight="1" x14ac:dyDescent="0.25"/>
    <row r="17" spans="2:13" ht="17.25" x14ac:dyDescent="0.3">
      <c r="B17" s="86" t="s">
        <v>109</v>
      </c>
      <c r="C17" s="86"/>
      <c r="D17" s="86"/>
      <c r="E17" s="86"/>
      <c r="F17" s="86"/>
      <c r="G17" s="86"/>
      <c r="H17" s="86"/>
      <c r="I17" s="86"/>
      <c r="J17" s="86"/>
    </row>
    <row r="18" spans="2:13" ht="30.75" customHeight="1" x14ac:dyDescent="0.25">
      <c r="B18" s="88"/>
      <c r="C18" s="124" t="s">
        <v>115</v>
      </c>
      <c r="D18" s="124"/>
      <c r="E18" s="124"/>
      <c r="F18" s="124"/>
      <c r="G18" s="124"/>
      <c r="H18" s="124"/>
      <c r="I18" s="124"/>
      <c r="J18" s="124"/>
      <c r="K18" s="124"/>
      <c r="L18" s="124"/>
      <c r="M18" s="124"/>
    </row>
    <row r="19" spans="2:13" ht="34.5" customHeight="1" x14ac:dyDescent="0.25">
      <c r="B19" s="88"/>
      <c r="C19" s="94"/>
      <c r="D19" s="89" t="s">
        <v>102</v>
      </c>
      <c r="E19" s="124" t="s">
        <v>128</v>
      </c>
      <c r="F19" s="124"/>
      <c r="G19" s="124"/>
      <c r="H19" s="124"/>
      <c r="I19" s="124"/>
      <c r="J19" s="124"/>
      <c r="K19" s="124"/>
      <c r="L19" s="124"/>
      <c r="M19" s="124"/>
    </row>
    <row r="20" spans="2:13" s="89" customFormat="1" ht="34.5" customHeight="1" x14ac:dyDescent="0.25">
      <c r="D20" s="89" t="s">
        <v>102</v>
      </c>
      <c r="E20" s="125" t="s">
        <v>129</v>
      </c>
      <c r="F20" s="125"/>
      <c r="G20" s="125"/>
      <c r="H20" s="125"/>
      <c r="I20" s="125"/>
      <c r="J20" s="125"/>
      <c r="K20" s="125"/>
      <c r="L20" s="125"/>
      <c r="M20" s="125"/>
    </row>
    <row r="21" spans="2:13" s="89" customFormat="1" ht="45" customHeight="1" x14ac:dyDescent="0.25">
      <c r="D21" s="89" t="s">
        <v>102</v>
      </c>
      <c r="E21" s="125" t="s">
        <v>130</v>
      </c>
      <c r="F21" s="125"/>
      <c r="G21" s="125"/>
      <c r="H21" s="125"/>
      <c r="I21" s="125"/>
      <c r="J21" s="125"/>
      <c r="K21" s="125"/>
      <c r="L21" s="125"/>
      <c r="M21" s="125"/>
    </row>
    <row r="22" spans="2:13" s="89" customFormat="1" ht="29.25" customHeight="1" x14ac:dyDescent="0.25">
      <c r="D22" s="89" t="s">
        <v>102</v>
      </c>
      <c r="E22" s="125" t="s">
        <v>113</v>
      </c>
      <c r="F22" s="125"/>
      <c r="G22" s="125"/>
      <c r="H22" s="125"/>
      <c r="I22" s="125"/>
      <c r="J22" s="125"/>
      <c r="K22" s="125"/>
      <c r="L22" s="125"/>
      <c r="M22" s="125"/>
    </row>
    <row r="23" spans="2:13" ht="6.75" customHeight="1" x14ac:dyDescent="0.25"/>
    <row r="24" spans="2:13" s="89" customFormat="1" ht="16.5" customHeight="1" x14ac:dyDescent="0.25">
      <c r="B24" s="95" t="s">
        <v>110</v>
      </c>
      <c r="C24" s="95"/>
      <c r="D24" s="95"/>
      <c r="E24" s="95"/>
      <c r="F24" s="95"/>
      <c r="G24" s="95"/>
      <c r="H24" s="95"/>
      <c r="I24" s="95"/>
      <c r="J24" s="95"/>
      <c r="K24" s="95"/>
    </row>
    <row r="25" spans="2:13" s="89" customFormat="1" ht="96" customHeight="1" x14ac:dyDescent="0.25">
      <c r="C25" s="124" t="s">
        <v>131</v>
      </c>
      <c r="D25" s="124"/>
      <c r="E25" s="124"/>
      <c r="F25" s="124"/>
      <c r="G25" s="124"/>
      <c r="H25" s="124"/>
      <c r="I25" s="124"/>
      <c r="J25" s="124"/>
      <c r="K25" s="124"/>
      <c r="L25" s="124"/>
      <c r="M25" s="124"/>
    </row>
    <row r="26" spans="2:13" s="89" customFormat="1" ht="16.5" customHeight="1" x14ac:dyDescent="0.25"/>
    <row r="27" spans="2:13" s="89" customFormat="1" ht="16.5" customHeight="1" x14ac:dyDescent="0.25"/>
    <row r="28" spans="2:13" s="89" customFormat="1" ht="16.5" customHeight="1" x14ac:dyDescent="0.25"/>
    <row r="29" spans="2:13" s="89" customFormat="1" ht="16.5" customHeight="1" x14ac:dyDescent="0.25"/>
    <row r="30" spans="2:13" s="89" customFormat="1" ht="16.5" customHeight="1" x14ac:dyDescent="0.25"/>
    <row r="31" spans="2:13" s="89" customFormat="1" ht="16.5" customHeight="1" x14ac:dyDescent="0.25"/>
    <row r="32" spans="2:13" ht="16.5" customHeight="1" x14ac:dyDescent="0.25"/>
  </sheetData>
  <mergeCells count="16">
    <mergeCell ref="E22:M22"/>
    <mergeCell ref="C25:M25"/>
    <mergeCell ref="E13:M13"/>
    <mergeCell ref="E15:M15"/>
    <mergeCell ref="C18:M18"/>
    <mergeCell ref="E19:M19"/>
    <mergeCell ref="E20:M20"/>
    <mergeCell ref="E21:M21"/>
    <mergeCell ref="E14:M14"/>
    <mergeCell ref="C12:M12"/>
    <mergeCell ref="C4:M4"/>
    <mergeCell ref="E5:M5"/>
    <mergeCell ref="E6:M6"/>
    <mergeCell ref="E7:M7"/>
    <mergeCell ref="E8:M8"/>
    <mergeCell ref="E9:H9"/>
  </mergeCells>
  <hyperlinks>
    <hyperlink ref="E9:F9" r:id="rId1" location="_Toc261352312" display="Customize a document theme."/>
  </hyperlinks>
  <printOptions horizontalCentered="1"/>
  <pageMargins left="0.25" right="0.25" top="0.75" bottom="0.75" header="0.3" footer="0.3"/>
  <pageSetup paperSize="9" scale="80" orientation="portrait" r:id="rId2"/>
  <ignoredErrors>
    <ignoredError sqref="D15 D5:D7 D1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3.42578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4.7109375" style="11" bestFit="1" customWidth="1"/>
    <col min="40" max="16384" width="9.140625" style="11"/>
  </cols>
  <sheetData>
    <row r="1" spans="1:39" s="1" customFormat="1" ht="42" customHeight="1" x14ac:dyDescent="0.25">
      <c r="A1" s="36" t="s">
        <v>89</v>
      </c>
      <c r="B1" s="37"/>
      <c r="C1" s="37"/>
      <c r="D1" s="38"/>
      <c r="E1" s="38"/>
      <c r="F1" s="38"/>
      <c r="G1" s="38"/>
      <c r="H1" s="38"/>
      <c r="I1" s="38"/>
      <c r="J1" s="38"/>
      <c r="K1" s="38"/>
      <c r="L1" s="38"/>
      <c r="M1" s="38"/>
      <c r="N1" s="38"/>
      <c r="O1" s="38"/>
      <c r="P1" s="38"/>
      <c r="Q1" s="38"/>
      <c r="R1" s="38"/>
      <c r="S1" s="38"/>
      <c r="T1" s="38"/>
      <c r="U1" s="38"/>
      <c r="V1" s="38"/>
      <c r="W1" s="38"/>
      <c r="X1" s="38"/>
      <c r="Y1" s="38"/>
      <c r="Z1" s="38"/>
      <c r="AA1" s="38"/>
      <c r="AB1" s="38"/>
      <c r="AC1" s="37"/>
      <c r="AD1" s="37"/>
      <c r="AE1" s="37"/>
      <c r="AF1" s="37"/>
      <c r="AG1" s="39"/>
      <c r="AH1" s="37"/>
      <c r="AI1" s="37"/>
      <c r="AJ1" s="40"/>
      <c r="AK1" s="37"/>
      <c r="AL1" s="56" t="s">
        <v>72</v>
      </c>
      <c r="AM1" s="57">
        <f>Календарнийрік</f>
        <v>2012</v>
      </c>
    </row>
    <row r="2" spans="1:39" customFormat="1" ht="13.5" x14ac:dyDescent="0.25"/>
    <row r="3" spans="1:39" s="28" customFormat="1" ht="12.75" customHeight="1" x14ac:dyDescent="0.25">
      <c r="C3" s="43" t="str">
        <f>Текстпоясненьдокольорів</f>
        <v>ПОЯСНЕННЯ ДО КОЛЬОРІВ</v>
      </c>
      <c r="D3" s="50" t="str">
        <f>Код1</f>
        <v>З</v>
      </c>
      <c r="E3" s="67" t="str">
        <f>Код1текст</f>
        <v>Запізнення</v>
      </c>
      <c r="F3" s="58"/>
      <c r="H3" s="51" t="str">
        <f>Код2</f>
        <v>ПП</v>
      </c>
      <c r="I3" s="55" t="str">
        <f>Код2текст</f>
        <v>Поважна причина</v>
      </c>
      <c r="M3" s="52" t="str">
        <f>Код3</f>
        <v>П</v>
      </c>
      <c r="N3" s="55" t="str">
        <f>Код3текст</f>
        <v>Прогул</v>
      </c>
      <c r="Q3" s="53" t="str">
        <f>Код4</f>
        <v>Н</v>
      </c>
      <c r="R3" s="55" t="str">
        <f>Код4текст</f>
        <v>На місці</v>
      </c>
      <c r="U3" s="54" t="str">
        <f>Код5</f>
        <v>В</v>
      </c>
      <c r="V3" s="55" t="str">
        <f>Код5текст</f>
        <v>Вихідний</v>
      </c>
      <c r="X3"/>
      <c r="Y3"/>
      <c r="AD3" s="27"/>
      <c r="AE3" s="27"/>
      <c r="AH3" s="29"/>
      <c r="AI3" s="30"/>
      <c r="AK3" s="31"/>
    </row>
    <row r="4" spans="1:39" customFormat="1" ht="16.5" customHeight="1" x14ac:dyDescent="0.25"/>
    <row r="5" spans="1:39" s="2" customFormat="1" ht="18" customHeight="1" x14ac:dyDescent="0.3">
      <c r="B5" s="60">
        <f>DATE(Календарнийрік+1,3,1)</f>
        <v>41334</v>
      </c>
      <c r="C5" s="59"/>
      <c r="D5" s="41" t="str">
        <f>TEXT(WEEKDAY(DATE(Календарнийрік+1,3,1),1),"aaa")</f>
        <v>Пт</v>
      </c>
      <c r="E5" s="41" t="str">
        <f>TEXT(WEEKDAY(DATE(Календарнийрік+1,3,2),1),"aaa")</f>
        <v>Сб</v>
      </c>
      <c r="F5" s="41" t="str">
        <f>TEXT(WEEKDAY(DATE(Календарнийрік+1,3,3),1),"aaa")</f>
        <v>Нд</v>
      </c>
      <c r="G5" s="41" t="str">
        <f>TEXT(WEEKDAY(DATE(Календарнийрік+1,3,4),1),"aaa")</f>
        <v>Пн</v>
      </c>
      <c r="H5" s="41" t="str">
        <f>TEXT(WEEKDAY(DATE(Календарнийрік+1,3,5),1),"aaa")</f>
        <v>Вт</v>
      </c>
      <c r="I5" s="41" t="str">
        <f>TEXT(WEEKDAY(DATE(Календарнийрік+1,3,6),1),"aaa")</f>
        <v>Ср</v>
      </c>
      <c r="J5" s="41" t="str">
        <f>TEXT(WEEKDAY(DATE(Календарнийрік+1,3,7),1),"aaa")</f>
        <v>Чт</v>
      </c>
      <c r="K5" s="41" t="str">
        <f>TEXT(WEEKDAY(DATE(Календарнийрік+1,3,8),1),"aaa")</f>
        <v>Пт</v>
      </c>
      <c r="L5" s="41" t="str">
        <f>TEXT(WEEKDAY(DATE(Календарнийрік+1,3,9),1),"aaa")</f>
        <v>Сб</v>
      </c>
      <c r="M5" s="41" t="str">
        <f>TEXT(WEEKDAY(DATE(Календарнийрік+1,3,10),1),"aaa")</f>
        <v>Нд</v>
      </c>
      <c r="N5" s="41" t="str">
        <f>TEXT(WEEKDAY(DATE(Календарнийрік+1,3,11),1),"aaa")</f>
        <v>Пн</v>
      </c>
      <c r="O5" s="41" t="str">
        <f>TEXT(WEEKDAY(DATE(Календарнийрік+1,3,12),1),"aaa")</f>
        <v>Вт</v>
      </c>
      <c r="P5" s="41" t="str">
        <f>TEXT(WEEKDAY(DATE(Календарнийрік+1,3,13),1),"aaa")</f>
        <v>Ср</v>
      </c>
      <c r="Q5" s="41" t="str">
        <f>TEXT(WEEKDAY(DATE(Календарнийрік+1,3,14),1),"aaa")</f>
        <v>Чт</v>
      </c>
      <c r="R5" s="41" t="str">
        <f>TEXT(WEEKDAY(DATE(Календарнийрік+1,3,15),1),"aaa")</f>
        <v>Пт</v>
      </c>
      <c r="S5" s="41" t="str">
        <f>TEXT(WEEKDAY(DATE(Календарнийрік+1,3,16),1),"aaa")</f>
        <v>Сб</v>
      </c>
      <c r="T5" s="41" t="str">
        <f>TEXT(WEEKDAY(DATE(Календарнийрік+1,3,17),1),"aaa")</f>
        <v>Нд</v>
      </c>
      <c r="U5" s="41" t="str">
        <f>TEXT(WEEKDAY(DATE(Календарнийрік+1,3,18),1),"aaa")</f>
        <v>Пн</v>
      </c>
      <c r="V5" s="41" t="str">
        <f>TEXT(WEEKDAY(DATE(Календарнийрік+1,3,19),1),"aaa")</f>
        <v>Вт</v>
      </c>
      <c r="W5" s="41" t="str">
        <f>TEXT(WEEKDAY(DATE(Календарнийрік+1,3,20),1),"aaa")</f>
        <v>Ср</v>
      </c>
      <c r="X5" s="41" t="str">
        <f>TEXT(WEEKDAY(DATE(Календарнийрік+1,3,21),1),"aaa")</f>
        <v>Чт</v>
      </c>
      <c r="Y5" s="41" t="str">
        <f>TEXT(WEEKDAY(DATE(Календарнийрік+1,3,22),1),"aaa")</f>
        <v>Пт</v>
      </c>
      <c r="Z5" s="41" t="str">
        <f>TEXT(WEEKDAY(DATE(Календарнийрік+1,3,23),1),"aaa")</f>
        <v>Сб</v>
      </c>
      <c r="AA5" s="41" t="str">
        <f>TEXT(WEEKDAY(DATE(Календарнийрік+1,3,24),1),"aaa")</f>
        <v>Нд</v>
      </c>
      <c r="AB5" s="41" t="str">
        <f>TEXT(WEEKDAY(DATE(Календарнийрік+1,3,25),1),"aaa")</f>
        <v>Пн</v>
      </c>
      <c r="AC5" s="41" t="str">
        <f>TEXT(WEEKDAY(DATE(Календарнийрік+1,3,26),1),"aaa")</f>
        <v>Вт</v>
      </c>
      <c r="AD5" s="41" t="str">
        <f>TEXT(WEEKDAY(DATE(Календарнийрік+1,3,27),1),"aaa")</f>
        <v>Ср</v>
      </c>
      <c r="AE5" s="41" t="str">
        <f>TEXT(WEEKDAY(DATE(Календарнийрік+1,3,28),1),"aaa")</f>
        <v>Чт</v>
      </c>
      <c r="AF5" s="41" t="str">
        <f>TEXT(WEEKDAY(DATE(Календарнийрік+1,3,29),1),"aaa")</f>
        <v>Пт</v>
      </c>
      <c r="AG5" s="41" t="str">
        <f>TEXT(WEEKDAY(DATE(Календарнийрік+1,3,30),1),"aaa")</f>
        <v>Сб</v>
      </c>
      <c r="AH5" s="41" t="str">
        <f>TEXT(WEEKDAY(DATE(Календарнийрік+1,3,31),1),"aaa")</f>
        <v>Нд</v>
      </c>
      <c r="AI5" s="131" t="s">
        <v>41</v>
      </c>
      <c r="AJ5" s="131"/>
      <c r="AK5" s="131"/>
      <c r="AL5" s="131"/>
      <c r="AM5" s="131"/>
    </row>
    <row r="6" spans="1:39" ht="14.25" customHeight="1" x14ac:dyDescent="0.25">
      <c r="B6" s="24" t="s">
        <v>34</v>
      </c>
      <c r="C6" s="25" t="s">
        <v>36</v>
      </c>
      <c r="D6" s="26" t="s">
        <v>0</v>
      </c>
      <c r="E6" s="26" t="s">
        <v>1</v>
      </c>
      <c r="F6" s="26" t="s">
        <v>2</v>
      </c>
      <c r="G6" s="26" t="s">
        <v>3</v>
      </c>
      <c r="H6" s="26" t="s">
        <v>4</v>
      </c>
      <c r="I6" s="26" t="s">
        <v>5</v>
      </c>
      <c r="J6" s="26" t="s">
        <v>6</v>
      </c>
      <c r="K6" s="26" t="s">
        <v>7</v>
      </c>
      <c r="L6" s="26" t="s">
        <v>8</v>
      </c>
      <c r="M6" s="26" t="s">
        <v>9</v>
      </c>
      <c r="N6" s="26" t="s">
        <v>10</v>
      </c>
      <c r="O6" s="26" t="s">
        <v>11</v>
      </c>
      <c r="P6" s="26" t="s">
        <v>12</v>
      </c>
      <c r="Q6" s="26" t="s">
        <v>13</v>
      </c>
      <c r="R6" s="26" t="s">
        <v>14</v>
      </c>
      <c r="S6" s="26" t="s">
        <v>15</v>
      </c>
      <c r="T6" s="26" t="s">
        <v>16</v>
      </c>
      <c r="U6" s="26" t="s">
        <v>17</v>
      </c>
      <c r="V6" s="26" t="s">
        <v>18</v>
      </c>
      <c r="W6" s="26" t="s">
        <v>19</v>
      </c>
      <c r="X6" s="26" t="s">
        <v>20</v>
      </c>
      <c r="Y6" s="26" t="s">
        <v>21</v>
      </c>
      <c r="Z6" s="26" t="s">
        <v>22</v>
      </c>
      <c r="AA6" s="26" t="s">
        <v>23</v>
      </c>
      <c r="AB6" s="26" t="s">
        <v>24</v>
      </c>
      <c r="AC6" s="26" t="s">
        <v>25</v>
      </c>
      <c r="AD6" s="26" t="s">
        <v>26</v>
      </c>
      <c r="AE6" s="26" t="s">
        <v>27</v>
      </c>
      <c r="AF6" s="26" t="s">
        <v>28</v>
      </c>
      <c r="AG6" s="26" t="s">
        <v>29</v>
      </c>
      <c r="AH6" s="26" t="s">
        <v>30</v>
      </c>
      <c r="AI6" s="71" t="s">
        <v>37</v>
      </c>
      <c r="AJ6" s="35" t="s">
        <v>39</v>
      </c>
      <c r="AK6" s="34" t="s">
        <v>38</v>
      </c>
      <c r="AL6" s="32" t="s">
        <v>31</v>
      </c>
      <c r="AM6" t="s">
        <v>40</v>
      </c>
    </row>
    <row r="7" spans="1:39" ht="16.5" customHeight="1" x14ac:dyDescent="0.25">
      <c r="B7" s="23"/>
      <c r="C7" s="19" t="str">
        <f>IFERROR(VLOOKUP(Відвідуваністьзаберезень[[#This Row],[Код студента]],Перелікстудентів[],18,FALSE),"")</f>
        <v/>
      </c>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2"/>
      <c r="AG7" s="3"/>
      <c r="AH7" s="3"/>
      <c r="AI7" s="33">
        <f>COUNTIF(Відвідуваністьзаберезень[[#This Row],[1]:[31]],Код1)</f>
        <v>0</v>
      </c>
      <c r="AJ7" s="33">
        <f>COUNTIF(Відвідуваністьзаберезень[[#This Row],[1]:[31]],Код2)</f>
        <v>0</v>
      </c>
      <c r="AK7" s="33">
        <f>COUNTIF(Відвідуваністьзаберезень[[#This Row],[1]:[31]],Код3)</f>
        <v>0</v>
      </c>
      <c r="AL7" s="33">
        <f>COUNTIF(Відвідуваністьзаберезень[[#This Row],[1]:[31]],Код4)</f>
        <v>0</v>
      </c>
      <c r="AM7" s="6">
        <f>SUM(Відвідуваністьзавересень[[#This Row],[ПП]:[П]])</f>
        <v>0</v>
      </c>
    </row>
    <row r="8" spans="1:39" ht="16.5" customHeight="1" x14ac:dyDescent="0.25">
      <c r="B8" s="23"/>
      <c r="C8" s="19" t="str">
        <f>IFERROR(VLOOKUP(Відвідуваністьзаберезень[[#This Row],[Код студента]],Перелікстудентів[],18,FALSE),"")</f>
        <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2"/>
      <c r="AG8" s="3"/>
      <c r="AH8" s="3"/>
      <c r="AI8" s="33">
        <f>COUNTIF(Відвідуваністьзаберезень[[#This Row],[1]:[31]],Код1)</f>
        <v>0</v>
      </c>
      <c r="AJ8" s="33">
        <f>COUNTIF(Відвідуваністьзаберезень[[#This Row],[1]:[31]],Код2)</f>
        <v>0</v>
      </c>
      <c r="AK8" s="33">
        <f>COUNTIF(Відвідуваністьзаберезень[[#This Row],[1]:[31]],Код3)</f>
        <v>0</v>
      </c>
      <c r="AL8" s="33">
        <f>COUNTIF(Відвідуваністьзаберезень[[#This Row],[1]:[31]],Код4)</f>
        <v>0</v>
      </c>
      <c r="AM8" s="6">
        <f>SUM(Відвідуваністьзавересень[[#This Row],[ПП]:[П]])</f>
        <v>0</v>
      </c>
    </row>
    <row r="9" spans="1:39" ht="16.5" customHeight="1" x14ac:dyDescent="0.25">
      <c r="B9" s="23"/>
      <c r="C9" s="19" t="str">
        <f>IFERROR(VLOOKUP(Відвідуваністьзаберезень[[#This Row],[Код студента]],Перелікстудентів[],18,FALSE),"")</f>
        <v/>
      </c>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2"/>
      <c r="AG9" s="3"/>
      <c r="AH9" s="3"/>
      <c r="AI9" s="33">
        <f>COUNTIF(Відвідуваністьзаберезень[[#This Row],[1]:[31]],Код1)</f>
        <v>0</v>
      </c>
      <c r="AJ9" s="33">
        <f>COUNTIF(Відвідуваністьзаберезень[[#This Row],[1]:[31]],Код2)</f>
        <v>0</v>
      </c>
      <c r="AK9" s="33">
        <f>COUNTIF(Відвідуваністьзаберезень[[#This Row],[1]:[31]],Код3)</f>
        <v>0</v>
      </c>
      <c r="AL9" s="33">
        <f>COUNTIF(Відвідуваністьзаберезень[[#This Row],[1]:[31]],Код4)</f>
        <v>0</v>
      </c>
      <c r="AM9" s="6">
        <f>SUM(Відвідуваністьзавересень[[#This Row],[ПП]:[П]])</f>
        <v>0</v>
      </c>
    </row>
    <row r="10" spans="1:39" ht="16.5" customHeight="1" x14ac:dyDescent="0.25">
      <c r="B10" s="23"/>
      <c r="C10" s="19" t="str">
        <f>IFERROR(VLOOKUP(Відвідуваністьзаберезень[[#This Row],[Код студента]],Перелікстудентів[],18,FALSE),"")</f>
        <v/>
      </c>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2"/>
      <c r="AG10" s="3"/>
      <c r="AH10" s="3"/>
      <c r="AI10" s="33">
        <f>COUNTIF(Відвідуваністьзаберезень[[#This Row],[1]:[31]],Код1)</f>
        <v>0</v>
      </c>
      <c r="AJ10" s="33">
        <f>COUNTIF(Відвідуваністьзаберезень[[#This Row],[1]:[31]],Код2)</f>
        <v>0</v>
      </c>
      <c r="AK10" s="33">
        <f>COUNTIF(Відвідуваністьзаберезень[[#This Row],[1]:[31]],Код3)</f>
        <v>0</v>
      </c>
      <c r="AL10" s="33">
        <f>COUNTIF(Відвідуваністьзаберезень[[#This Row],[1]:[31]],Код4)</f>
        <v>0</v>
      </c>
      <c r="AM10" s="6">
        <f>SUM(Відвідуваністьзавересень[[#This Row],[ПП]:[П]])</f>
        <v>0</v>
      </c>
    </row>
    <row r="11" spans="1:39" ht="16.5" customHeight="1" x14ac:dyDescent="0.25">
      <c r="B11" s="23"/>
      <c r="C11" s="19" t="str">
        <f>IFERROR(VLOOKUP(Відвідуваністьзаберезень[[#This Row],[Код студента]],Перелікстудентів[],18,FALSE),"")</f>
        <v/>
      </c>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2"/>
      <c r="AG11" s="3"/>
      <c r="AH11" s="3"/>
      <c r="AI11" s="33">
        <f>COUNTIF(Відвідуваністьзаберезень[[#This Row],[1]:[31]],Код1)</f>
        <v>0</v>
      </c>
      <c r="AJ11" s="33">
        <f>COUNTIF(Відвідуваністьзаберезень[[#This Row],[1]:[31]],Код2)</f>
        <v>0</v>
      </c>
      <c r="AK11" s="33">
        <f>COUNTIF(Відвідуваністьзаберезень[[#This Row],[1]:[31]],Код3)</f>
        <v>0</v>
      </c>
      <c r="AL11" s="33">
        <f>COUNTIF(Відвідуваністьзаберезень[[#This Row],[1]:[31]],Код4)</f>
        <v>0</v>
      </c>
      <c r="AM11" s="6">
        <f>SUM(Відвідуваністьзавересень[[#This Row],[ПП]:[П]])</f>
        <v>0</v>
      </c>
    </row>
    <row r="12" spans="1:39" ht="16.5" customHeight="1" x14ac:dyDescent="0.25">
      <c r="B12" s="113"/>
      <c r="C12" s="114" t="s">
        <v>118</v>
      </c>
      <c r="D12" s="115">
        <f>COUNTIF(Відвідуваністьзаберезень[1],"П")+COUNTIF(Відвідуваністьзаберезень[1],"ПП")</f>
        <v>0</v>
      </c>
      <c r="E12" s="115">
        <f>COUNTIF(Відвідуваністьзаберезень[2],"П")+COUNTIF(Відвідуваністьзаберезень[2],"ПП")</f>
        <v>0</v>
      </c>
      <c r="F12" s="115">
        <f>COUNTIF(Відвідуваністьзаберезень[3],"П")+COUNTIF(Відвідуваністьзаберезень[3],"ПП")</f>
        <v>0</v>
      </c>
      <c r="G12" s="115">
        <f>COUNTIF(Відвідуваністьзаберезень[4],"П")+COUNTIF(Відвідуваністьзаберезень[4],"ПП")</f>
        <v>0</v>
      </c>
      <c r="H12" s="115">
        <f>COUNTIF(Відвідуваністьзаберезень[5],"П")+COUNTIF(Відвідуваністьзаберезень[5],"ПП")</f>
        <v>0</v>
      </c>
      <c r="I12" s="115">
        <f>COUNTIF(Відвідуваністьзаберезень[6],"П")+COUNTIF(Відвідуваністьзаберезень[6],"ПП")</f>
        <v>0</v>
      </c>
      <c r="J12" s="115">
        <f>COUNTIF(Відвідуваністьзаберезень[7],"П")+COUNTIF(Відвідуваністьзаберезень[7],"ПП")</f>
        <v>0</v>
      </c>
      <c r="K12" s="115">
        <f>COUNTIF(Відвідуваністьзаберезень[8],"П")+COUNTIF(Відвідуваністьзаберезень[8],"ПП")</f>
        <v>0</v>
      </c>
      <c r="L12" s="115">
        <f>COUNTIF(Відвідуваністьзаберезень[9],"П")+COUNTIF(Відвідуваністьзаберезень[9],"ПП")</f>
        <v>0</v>
      </c>
      <c r="M12" s="115">
        <f>COUNTIF(Відвідуваністьзаберезень[10],"П")+COUNTIF(Відвідуваністьзаберезень[10],"ПП")</f>
        <v>0</v>
      </c>
      <c r="N12" s="115">
        <f>COUNTIF(Відвідуваністьзаберезень[11],"П")+COUNTIF(Відвідуваністьзаберезень[11],"ПП")</f>
        <v>0</v>
      </c>
      <c r="O12" s="115">
        <f>COUNTIF(Відвідуваністьзаберезень[12],"П")+COUNTIF(Відвідуваністьзаберезень[12],"ПП")</f>
        <v>0</v>
      </c>
      <c r="P12" s="115">
        <f>COUNTIF(Відвідуваністьзаберезень[13],"П")+COUNTIF(Відвідуваністьзаберезень[13],"ПП")</f>
        <v>0</v>
      </c>
      <c r="Q12" s="115">
        <f>COUNTIF(Відвідуваністьзаберезень[14],"П")+COUNTIF(Відвідуваністьзаберезень[14],"ПП")</f>
        <v>0</v>
      </c>
      <c r="R12" s="115">
        <f>COUNTIF(Відвідуваністьзаберезень[15],"П")+COUNTIF(Відвідуваністьзаберезень[15],"ПП")</f>
        <v>0</v>
      </c>
      <c r="S12" s="115">
        <f>COUNTIF(Відвідуваністьзаберезень[16],"П")+COUNTIF(Відвідуваністьзаберезень[16],"ПП")</f>
        <v>0</v>
      </c>
      <c r="T12" s="115">
        <f>COUNTIF(Відвідуваністьзаберезень[17],"П")+COUNTIF(Відвідуваністьзаберезень[17],"ПП")</f>
        <v>0</v>
      </c>
      <c r="U12" s="115">
        <f>COUNTIF(Відвідуваністьзаберезень[18],"П")+COUNTIF(Відвідуваністьзаберезень[18],"ПП")</f>
        <v>0</v>
      </c>
      <c r="V12" s="115">
        <f>COUNTIF(Відвідуваністьзаберезень[19],"П")+COUNTIF(Відвідуваністьзаберезень[19],"ПП")</f>
        <v>0</v>
      </c>
      <c r="W12" s="115">
        <f>COUNTIF(Відвідуваністьзаберезень[20],"П")+COUNTIF(Відвідуваністьзаберезень[20],"ПП")</f>
        <v>0</v>
      </c>
      <c r="X12" s="115">
        <f>COUNTIF(Відвідуваністьзаберезень[21],"П")+COUNTIF(Відвідуваністьзаберезень[21],"ПП")</f>
        <v>0</v>
      </c>
      <c r="Y12" s="115">
        <f>COUNTIF(Відвідуваністьзаберезень[22],"П")+COUNTIF(Відвідуваністьзаберезень[22],"ПП")</f>
        <v>0</v>
      </c>
      <c r="Z12" s="115">
        <f>COUNTIF(Відвідуваністьзаберезень[23],"П")+COUNTIF(Відвідуваністьзаберезень[23],"ПП")</f>
        <v>0</v>
      </c>
      <c r="AA12" s="115">
        <f>COUNTIF(Відвідуваністьзаберезень[24],"П")+COUNTIF(Відвідуваністьзаберезень[24],"ПП")</f>
        <v>0</v>
      </c>
      <c r="AB12" s="115">
        <f>COUNTIF(Відвідуваністьзаберезень[25],"П")+COUNTIF(Відвідуваністьзаберезень[25],"ПП")</f>
        <v>0</v>
      </c>
      <c r="AC12" s="115">
        <f>COUNTIF(Відвідуваністьзаберезень[26],"П")+COUNTIF(Відвідуваністьзаберезень[26],"ПП")</f>
        <v>0</v>
      </c>
      <c r="AD12" s="115">
        <f>COUNTIF(Відвідуваністьзаберезень[27],"П")+COUNTIF(Відвідуваністьзаберезень[27],"ПП")</f>
        <v>0</v>
      </c>
      <c r="AE12" s="115">
        <f>COUNTIF(Відвідуваністьзаберезень[28],"П")+COUNTIF(Відвідуваністьзаберезень[28],"ПП")</f>
        <v>0</v>
      </c>
      <c r="AF12" s="115">
        <f>COUNTIF(Відвідуваністьзаберезень[29],"П")+COUNTIF(Відвідуваністьзаберезень[29],"ПП")</f>
        <v>0</v>
      </c>
      <c r="AG12" s="115">
        <f>COUNTIF(Відвідуваністьзаберезень[30],"П")+COUNTIF(Відвідуваністьзаберезень[30],"ПП")</f>
        <v>0</v>
      </c>
      <c r="AH12" s="115">
        <f>COUNTIF(Відвідуваністьзаберезень[31],"П")+COUNTIF(Відвідуваністьзаберезень[31],"ПП")</f>
        <v>0</v>
      </c>
      <c r="AI12" s="115">
        <f>SUBTOTAL(109,Відвідуваністьзаберезень[З])</f>
        <v>0</v>
      </c>
      <c r="AJ12" s="115">
        <f>SUBTOTAL(109,Відвідуваністьзаберезень[ПП])</f>
        <v>0</v>
      </c>
      <c r="AK12" s="115">
        <f>SUBTOTAL(109,Відвідуваністьзаберезень[П])</f>
        <v>0</v>
      </c>
      <c r="AL12" s="115">
        <f>SUBTOTAL(109,Відвідуваністьзаберезень[Н])</f>
        <v>0</v>
      </c>
      <c r="AM12" s="115">
        <f>SUBTOTAL(109,Відвідуваністьзаберезень[Відсутність, дн.])</f>
        <v>0</v>
      </c>
    </row>
    <row r="14" spans="1:39" ht="16.5" customHeight="1" x14ac:dyDescent="0.25"/>
    <row r="15" spans="1:39" ht="16.5" customHeight="1" x14ac:dyDescent="0.25"/>
    <row r="16" spans="1:39"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1">
      <dataBar>
        <cfvo type="min"/>
        <cfvo type="num" val="DATEDIF(DATE(Календарнийрік,2,1),DATE(Календарнийрік,3,1),&quot;d&quot;)"/>
        <color theme="4"/>
      </dataBar>
      <extLst>
        <ext xmlns:x14="http://schemas.microsoft.com/office/spreadsheetml/2009/9/main" uri="{B025F937-C7B1-47D3-B67F-A62EFF666E3E}">
          <x14:id>{FE16E06C-E989-439D-8944-FBFC073CA68C}</x14:id>
        </ext>
      </extLst>
    </cfRule>
  </conditionalFormatting>
  <conditionalFormatting sqref="D7:AF11">
    <cfRule type="expression" dxfId="420" priority="2" stopIfTrue="1">
      <formula>D7=Код2</formula>
    </cfRule>
  </conditionalFormatting>
  <conditionalFormatting sqref="D7:AF11">
    <cfRule type="expression" dxfId="419" priority="3" stopIfTrue="1">
      <formula>D7=Код5</formula>
    </cfRule>
    <cfRule type="expression" dxfId="418" priority="4" stopIfTrue="1">
      <formula>D7=Код4</formula>
    </cfRule>
    <cfRule type="expression" dxfId="417" priority="5" stopIfTrue="1">
      <formula>D7=Код3</formula>
    </cfRule>
    <cfRule type="expression" dxfId="416" priority="6" stopIfTrue="1">
      <formula>D7=Код1</formula>
    </cfRule>
  </conditionalFormatting>
  <dataValidations count="1">
    <dataValidation type="list" errorStyle="warning" allowBlank="1" showInputMessage="1" showErrorMessage="1" errorTitle="Отакої!" error="У списку студентів немає введеного коду. Ви можете натиснути кнопку ''Так'' і залишити введений код, але у звіті про відвідуваність він буде недоступний." sqref="B7:B11">
      <formula1>Ідентифікаторстудента</formula1>
    </dataValidation>
  </dataValidations>
  <printOptions horizontalCentered="1"/>
  <pageMargins left="0.5" right="0.5" top="0.75" bottom="0.75" header="0.3" footer="0.3"/>
  <pageSetup paperSize="9" scale="59"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E16E06C-E989-439D-8944-FBFC073CA68C}">
            <x14:dataBar minLength="0" maxLength="100" border="1" negativeBarBorderColorSameAsPositive="0">
              <x14:cfvo type="autoMin"/>
              <x14:cfvo type="num">
                <xm:f>DATEDIF(DATE(Календарнийрік,2,1),DATE(Календарнийрік,3,1),"d")</xm:f>
              </x14:cfvo>
              <x14:borderColor theme="4"/>
              <x14:negativeFillColor rgb="FFFF0000"/>
              <x14:negativeBorderColor rgb="FFFF0000"/>
              <x14:axisColor rgb="FF000000"/>
            </x14:dataBar>
          </x14:cfRule>
          <xm:sqref>AM7:AM11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3.42578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4.7109375" style="11" bestFit="1" customWidth="1"/>
    <col min="40" max="16384" width="9.140625" style="11"/>
  </cols>
  <sheetData>
    <row r="1" spans="1:39" s="1" customFormat="1" ht="42" customHeight="1" x14ac:dyDescent="0.25">
      <c r="A1" s="36" t="s">
        <v>89</v>
      </c>
      <c r="B1" s="37"/>
      <c r="C1" s="37"/>
      <c r="D1" s="38"/>
      <c r="E1" s="38"/>
      <c r="F1" s="38"/>
      <c r="G1" s="38"/>
      <c r="H1" s="38"/>
      <c r="I1" s="38"/>
      <c r="J1" s="38"/>
      <c r="K1" s="38"/>
      <c r="L1" s="38"/>
      <c r="M1" s="38"/>
      <c r="N1" s="38"/>
      <c r="O1" s="38"/>
      <c r="P1" s="38"/>
      <c r="Q1" s="38"/>
      <c r="R1" s="38"/>
      <c r="S1" s="38"/>
      <c r="T1" s="38"/>
      <c r="U1" s="38"/>
      <c r="V1" s="38"/>
      <c r="W1" s="38"/>
      <c r="X1" s="38"/>
      <c r="Y1" s="38"/>
      <c r="Z1" s="38"/>
      <c r="AA1" s="38"/>
      <c r="AB1" s="38"/>
      <c r="AC1" s="37"/>
      <c r="AD1" s="37"/>
      <c r="AE1" s="37"/>
      <c r="AF1" s="37"/>
      <c r="AG1" s="39"/>
      <c r="AH1" s="37"/>
      <c r="AI1" s="37"/>
      <c r="AJ1" s="40"/>
      <c r="AK1" s="37"/>
      <c r="AL1" s="56" t="s">
        <v>72</v>
      </c>
      <c r="AM1" s="57">
        <f>Календарнийрік</f>
        <v>2012</v>
      </c>
    </row>
    <row r="2" spans="1:39" customFormat="1" ht="13.5" x14ac:dyDescent="0.25"/>
    <row r="3" spans="1:39" s="28" customFormat="1" ht="12.75" customHeight="1" x14ac:dyDescent="0.25">
      <c r="C3" s="43" t="str">
        <f>Текстпоясненьдокольорів</f>
        <v>ПОЯСНЕННЯ ДО КОЛЬОРІВ</v>
      </c>
      <c r="D3" s="50" t="str">
        <f>Код1</f>
        <v>З</v>
      </c>
      <c r="E3" s="67" t="str">
        <f>Код1текст</f>
        <v>Запізнення</v>
      </c>
      <c r="F3" s="58"/>
      <c r="H3" s="51" t="str">
        <f>Код2</f>
        <v>ПП</v>
      </c>
      <c r="I3" s="55" t="str">
        <f>Код2текст</f>
        <v>Поважна причина</v>
      </c>
      <c r="M3" s="52" t="str">
        <f>Код3</f>
        <v>П</v>
      </c>
      <c r="N3" s="55" t="str">
        <f>Код3текст</f>
        <v>Прогул</v>
      </c>
      <c r="Q3" s="53" t="str">
        <f>Код4</f>
        <v>Н</v>
      </c>
      <c r="R3" s="55" t="str">
        <f>Код4текст</f>
        <v>На місці</v>
      </c>
      <c r="U3" s="54" t="str">
        <f>Код5</f>
        <v>В</v>
      </c>
      <c r="V3" s="55" t="str">
        <f>Код5текст</f>
        <v>Вихідний</v>
      </c>
      <c r="W3"/>
      <c r="X3"/>
      <c r="Y3"/>
      <c r="AD3" s="27"/>
      <c r="AE3" s="27"/>
      <c r="AH3" s="29"/>
      <c r="AI3" s="30"/>
      <c r="AK3" s="31"/>
    </row>
    <row r="4" spans="1:39" customFormat="1" ht="16.5" customHeight="1" x14ac:dyDescent="0.25"/>
    <row r="5" spans="1:39" s="2" customFormat="1" ht="18" customHeight="1" x14ac:dyDescent="0.3">
      <c r="B5" s="60">
        <f>DATE(Календарнийрік+1,4,1)</f>
        <v>41365</v>
      </c>
      <c r="C5" s="59"/>
      <c r="D5" s="41" t="str">
        <f>TEXT(WEEKDAY(DATE(Календарнийрік+1,4,1),1),"aaa")</f>
        <v>Пн</v>
      </c>
      <c r="E5" s="41" t="str">
        <f>TEXT(WEEKDAY(DATE(Календарнийрік+1,4,2),1),"aaa")</f>
        <v>Вт</v>
      </c>
      <c r="F5" s="41" t="str">
        <f>TEXT(WEEKDAY(DATE(Календарнийрік+1,4,3),1),"aaa")</f>
        <v>Ср</v>
      </c>
      <c r="G5" s="41" t="str">
        <f>TEXT(WEEKDAY(DATE(Календарнийрік+1,4,4),1),"aaa")</f>
        <v>Чт</v>
      </c>
      <c r="H5" s="41" t="str">
        <f>TEXT(WEEKDAY(DATE(Календарнийрік+1,4,5),1),"aaa")</f>
        <v>Пт</v>
      </c>
      <c r="I5" s="41" t="str">
        <f>TEXT(WEEKDAY(DATE(Календарнийрік+1,4,6),1),"aaa")</f>
        <v>Сб</v>
      </c>
      <c r="J5" s="41" t="str">
        <f>TEXT(WEEKDAY(DATE(Календарнийрік+1,4,7),1),"aaa")</f>
        <v>Нд</v>
      </c>
      <c r="K5" s="41" t="str">
        <f>TEXT(WEEKDAY(DATE(Календарнийрік+1,4,8),1),"aaa")</f>
        <v>Пн</v>
      </c>
      <c r="L5" s="41" t="str">
        <f>TEXT(WEEKDAY(DATE(Календарнийрік+1,4,9),1),"aaa")</f>
        <v>Вт</v>
      </c>
      <c r="M5" s="41" t="str">
        <f>TEXT(WEEKDAY(DATE(Календарнийрік+1,4,10),1),"aaa")</f>
        <v>Ср</v>
      </c>
      <c r="N5" s="41" t="str">
        <f>TEXT(WEEKDAY(DATE(Календарнийрік+1,4,11),1),"aaa")</f>
        <v>Чт</v>
      </c>
      <c r="O5" s="41" t="str">
        <f>TEXT(WEEKDAY(DATE(Календарнийрік+1,4,12),1),"aaa")</f>
        <v>Пт</v>
      </c>
      <c r="P5" s="41" t="str">
        <f>TEXT(WEEKDAY(DATE(Календарнийрік+1,4,13),1),"aaa")</f>
        <v>Сб</v>
      </c>
      <c r="Q5" s="41" t="str">
        <f>TEXT(WEEKDAY(DATE(Календарнийрік+1,4,14),1),"aaa")</f>
        <v>Нд</v>
      </c>
      <c r="R5" s="41" t="str">
        <f>TEXT(WEEKDAY(DATE(Календарнийрік+1,4,15),1),"aaa")</f>
        <v>Пн</v>
      </c>
      <c r="S5" s="41" t="str">
        <f>TEXT(WEEKDAY(DATE(Календарнийрік+1,4,16),1),"aaa")</f>
        <v>Вт</v>
      </c>
      <c r="T5" s="41" t="str">
        <f>TEXT(WEEKDAY(DATE(Календарнийрік+1,4,17),1),"aaa")</f>
        <v>Ср</v>
      </c>
      <c r="U5" s="41" t="str">
        <f>TEXT(WEEKDAY(DATE(Календарнийрік+1,4,18),1),"aaa")</f>
        <v>Чт</v>
      </c>
      <c r="V5" s="41" t="str">
        <f>TEXT(WEEKDAY(DATE(Календарнийрік+1,4,19),1),"aaa")</f>
        <v>Пт</v>
      </c>
      <c r="W5" s="41" t="str">
        <f>TEXT(WEEKDAY(DATE(Календарнийрік+1,4,20),1),"aaa")</f>
        <v>Сб</v>
      </c>
      <c r="X5" s="41" t="str">
        <f>TEXT(WEEKDAY(DATE(Календарнийрік+1,4,21),1),"aaa")</f>
        <v>Нд</v>
      </c>
      <c r="Y5" s="41" t="str">
        <f>TEXT(WEEKDAY(DATE(Календарнийрік+1,4,22),1),"aaa")</f>
        <v>Пн</v>
      </c>
      <c r="Z5" s="41" t="str">
        <f>TEXT(WEEKDAY(DATE(Календарнийрік+1,4,23),1),"aaa")</f>
        <v>Вт</v>
      </c>
      <c r="AA5" s="41" t="str">
        <f>TEXT(WEEKDAY(DATE(Календарнийрік+1,4,24),1),"aaa")</f>
        <v>Ср</v>
      </c>
      <c r="AB5" s="41" t="str">
        <f>TEXT(WEEKDAY(DATE(Календарнийрік+1,4,25),1),"aaa")</f>
        <v>Чт</v>
      </c>
      <c r="AC5" s="41" t="str">
        <f>TEXT(WEEKDAY(DATE(Календарнийрік+1,4,26),1),"aaa")</f>
        <v>Пт</v>
      </c>
      <c r="AD5" s="41" t="str">
        <f>TEXT(WEEKDAY(DATE(Календарнийрік+1,4,27),1),"aaa")</f>
        <v>Сб</v>
      </c>
      <c r="AE5" s="41" t="str">
        <f>TEXT(WEEKDAY(DATE(Календарнийрік+1,4,28),1),"aaa")</f>
        <v>Нд</v>
      </c>
      <c r="AF5" s="41" t="str">
        <f>TEXT(WEEKDAY(DATE(Календарнийрік+1,4,29),1),"aaa")</f>
        <v>Пн</v>
      </c>
      <c r="AG5" s="41" t="str">
        <f>TEXT(WEEKDAY(DATE(Календарнийрік+1,4,30),1),"aaa")</f>
        <v>Вт</v>
      </c>
      <c r="AH5" s="41"/>
      <c r="AI5" s="131" t="s">
        <v>41</v>
      </c>
      <c r="AJ5" s="131"/>
      <c r="AK5" s="131"/>
      <c r="AL5" s="131"/>
      <c r="AM5" s="131"/>
    </row>
    <row r="6" spans="1:39" ht="14.25" customHeight="1" x14ac:dyDescent="0.25">
      <c r="B6" s="24" t="s">
        <v>34</v>
      </c>
      <c r="C6" s="25" t="s">
        <v>36</v>
      </c>
      <c r="D6" s="26" t="s">
        <v>0</v>
      </c>
      <c r="E6" s="26" t="s">
        <v>1</v>
      </c>
      <c r="F6" s="26" t="s">
        <v>2</v>
      </c>
      <c r="G6" s="26" t="s">
        <v>3</v>
      </c>
      <c r="H6" s="26" t="s">
        <v>4</v>
      </c>
      <c r="I6" s="26" t="s">
        <v>5</v>
      </c>
      <c r="J6" s="26" t="s">
        <v>6</v>
      </c>
      <c r="K6" s="26" t="s">
        <v>7</v>
      </c>
      <c r="L6" s="26" t="s">
        <v>8</v>
      </c>
      <c r="M6" s="26" t="s">
        <v>9</v>
      </c>
      <c r="N6" s="26" t="s">
        <v>10</v>
      </c>
      <c r="O6" s="26" t="s">
        <v>11</v>
      </c>
      <c r="P6" s="26" t="s">
        <v>12</v>
      </c>
      <c r="Q6" s="26" t="s">
        <v>13</v>
      </c>
      <c r="R6" s="26" t="s">
        <v>14</v>
      </c>
      <c r="S6" s="26" t="s">
        <v>15</v>
      </c>
      <c r="T6" s="26" t="s">
        <v>16</v>
      </c>
      <c r="U6" s="26" t="s">
        <v>17</v>
      </c>
      <c r="V6" s="26" t="s">
        <v>18</v>
      </c>
      <c r="W6" s="26" t="s">
        <v>19</v>
      </c>
      <c r="X6" s="26" t="s">
        <v>20</v>
      </c>
      <c r="Y6" s="26" t="s">
        <v>21</v>
      </c>
      <c r="Z6" s="26" t="s">
        <v>22</v>
      </c>
      <c r="AA6" s="26" t="s">
        <v>23</v>
      </c>
      <c r="AB6" s="26" t="s">
        <v>24</v>
      </c>
      <c r="AC6" s="26" t="s">
        <v>25</v>
      </c>
      <c r="AD6" s="26" t="s">
        <v>26</v>
      </c>
      <c r="AE6" s="26" t="s">
        <v>27</v>
      </c>
      <c r="AF6" s="26" t="s">
        <v>28</v>
      </c>
      <c r="AG6" s="26" t="s">
        <v>29</v>
      </c>
      <c r="AH6" s="26" t="s">
        <v>117</v>
      </c>
      <c r="AI6" s="71" t="s">
        <v>37</v>
      </c>
      <c r="AJ6" s="35" t="s">
        <v>39</v>
      </c>
      <c r="AK6" s="34" t="s">
        <v>38</v>
      </c>
      <c r="AL6" s="32" t="s">
        <v>31</v>
      </c>
      <c r="AM6" t="s">
        <v>40</v>
      </c>
    </row>
    <row r="7" spans="1:39" ht="16.5" customHeight="1" x14ac:dyDescent="0.25">
      <c r="B7" s="23"/>
      <c r="C7" s="19" t="str">
        <f>IFERROR(VLOOKUP(Відвідуваністьзаквітень[[#This Row],[Код студента]],Перелікстудентів[],18,FALSE),"")</f>
        <v/>
      </c>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2"/>
      <c r="AG7" s="3"/>
      <c r="AH7" s="3"/>
      <c r="AI7" s="33">
        <f>COUNTIF(Відвідуваністьзаквітень[[#This Row],[1]:[ ]],Код1)</f>
        <v>0</v>
      </c>
      <c r="AJ7" s="33">
        <f>COUNTIF(Відвідуваністьзаквітень[[#This Row],[1]:[ ]],Код2)</f>
        <v>0</v>
      </c>
      <c r="AK7" s="33">
        <f>COUNTIF(Відвідуваністьзаквітень[[#This Row],[1]:[ ]],Код3)</f>
        <v>0</v>
      </c>
      <c r="AL7" s="33">
        <f>COUNTIF(Відвідуваністьзаквітень[[#This Row],[1]:[ ]],Код4)</f>
        <v>0</v>
      </c>
      <c r="AM7" s="6">
        <f>SUM(Відвідуваністьзавересень[[#This Row],[ПП]:[П]])</f>
        <v>0</v>
      </c>
    </row>
    <row r="8" spans="1:39" ht="16.5" customHeight="1" x14ac:dyDescent="0.25">
      <c r="B8" s="23"/>
      <c r="C8" s="19" t="str">
        <f>IFERROR(VLOOKUP(Відвідуваністьзаквітень[[#This Row],[Код студента]],Перелікстудентів[],18,FALSE),"")</f>
        <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2"/>
      <c r="AG8" s="3"/>
      <c r="AH8" s="3"/>
      <c r="AI8" s="33">
        <f>COUNTIF(Відвідуваністьзаквітень[[#This Row],[1]:[ ]],Код1)</f>
        <v>0</v>
      </c>
      <c r="AJ8" s="33">
        <f>COUNTIF(Відвідуваністьзаквітень[[#This Row],[1]:[ ]],Код2)</f>
        <v>0</v>
      </c>
      <c r="AK8" s="33">
        <f>COUNTIF(Відвідуваністьзаквітень[[#This Row],[1]:[ ]],Код3)</f>
        <v>0</v>
      </c>
      <c r="AL8" s="33">
        <f>COUNTIF(Відвідуваністьзаквітень[[#This Row],[1]:[ ]],Код4)</f>
        <v>0</v>
      </c>
      <c r="AM8" s="6">
        <f>SUM(Відвідуваністьзавересень[[#This Row],[ПП]:[П]])</f>
        <v>0</v>
      </c>
    </row>
    <row r="9" spans="1:39" ht="16.5" customHeight="1" x14ac:dyDescent="0.25">
      <c r="B9" s="23"/>
      <c r="C9" s="19" t="str">
        <f>IFERROR(VLOOKUP(Відвідуваністьзаквітень[[#This Row],[Код студента]],Перелікстудентів[],18,FALSE),"")</f>
        <v/>
      </c>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2"/>
      <c r="AG9" s="3"/>
      <c r="AH9" s="3"/>
      <c r="AI9" s="33">
        <f>COUNTIF(Відвідуваністьзаквітень[[#This Row],[1]:[ ]],Код1)</f>
        <v>0</v>
      </c>
      <c r="AJ9" s="33">
        <f>COUNTIF(Відвідуваністьзаквітень[[#This Row],[1]:[ ]],Код2)</f>
        <v>0</v>
      </c>
      <c r="AK9" s="33">
        <f>COUNTIF(Відвідуваністьзаквітень[[#This Row],[1]:[ ]],Код3)</f>
        <v>0</v>
      </c>
      <c r="AL9" s="33">
        <f>COUNTIF(Відвідуваністьзаквітень[[#This Row],[1]:[ ]],Код4)</f>
        <v>0</v>
      </c>
      <c r="AM9" s="6">
        <f>SUM(Відвідуваністьзавересень[[#This Row],[ПП]:[П]])</f>
        <v>0</v>
      </c>
    </row>
    <row r="10" spans="1:39" ht="16.5" customHeight="1" x14ac:dyDescent="0.25">
      <c r="B10" s="23"/>
      <c r="C10" s="19" t="str">
        <f>IFERROR(VLOOKUP(Відвідуваністьзаквітень[[#This Row],[Код студента]],Перелікстудентів[],18,FALSE),"")</f>
        <v/>
      </c>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2"/>
      <c r="AG10" s="3"/>
      <c r="AH10" s="3"/>
      <c r="AI10" s="33">
        <f>COUNTIF(Відвідуваністьзаквітень[[#This Row],[1]:[ ]],Код1)</f>
        <v>0</v>
      </c>
      <c r="AJ10" s="33">
        <f>COUNTIF(Відвідуваністьзаквітень[[#This Row],[1]:[ ]],Код2)</f>
        <v>0</v>
      </c>
      <c r="AK10" s="33">
        <f>COUNTIF(Відвідуваністьзаквітень[[#This Row],[1]:[ ]],Код3)</f>
        <v>0</v>
      </c>
      <c r="AL10" s="33">
        <f>COUNTIF(Відвідуваністьзаквітень[[#This Row],[1]:[ ]],Код4)</f>
        <v>0</v>
      </c>
      <c r="AM10" s="6">
        <f>SUM(Відвідуваністьзавересень[[#This Row],[ПП]:[П]])</f>
        <v>0</v>
      </c>
    </row>
    <row r="11" spans="1:39" ht="16.5" customHeight="1" x14ac:dyDescent="0.25">
      <c r="B11" s="23"/>
      <c r="C11" s="19" t="str">
        <f>IFERROR(VLOOKUP(Відвідуваністьзаквітень[[#This Row],[Код студента]],Перелікстудентів[],18,FALSE),"")</f>
        <v/>
      </c>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2"/>
      <c r="AG11" s="3"/>
      <c r="AH11" s="3"/>
      <c r="AI11" s="33">
        <f>COUNTIF(Відвідуваністьзаквітень[[#This Row],[1]:[ ]],Код1)</f>
        <v>0</v>
      </c>
      <c r="AJ11" s="33">
        <f>COUNTIF(Відвідуваністьзаквітень[[#This Row],[1]:[ ]],Код2)</f>
        <v>0</v>
      </c>
      <c r="AK11" s="33">
        <f>COUNTIF(Відвідуваністьзаквітень[[#This Row],[1]:[ ]],Код3)</f>
        <v>0</v>
      </c>
      <c r="AL11" s="33">
        <f>COUNTIF(Відвідуваністьзаквітень[[#This Row],[1]:[ ]],Код4)</f>
        <v>0</v>
      </c>
      <c r="AM11" s="6">
        <f>SUM(Відвідуваністьзавересень[[#This Row],[ПП]:[П]])</f>
        <v>0</v>
      </c>
    </row>
    <row r="12" spans="1:39" ht="16.5" customHeight="1" x14ac:dyDescent="0.25">
      <c r="B12" s="113"/>
      <c r="C12" s="114" t="s">
        <v>118</v>
      </c>
      <c r="D12" s="115">
        <f>COUNTIF(Відвідуваністьзаквітень[1],"П")+COUNTIF(Відвідуваністьзаквітень[1],"ПП")</f>
        <v>0</v>
      </c>
      <c r="E12" s="115">
        <f>COUNTIF(Відвідуваністьзаквітень[2],"П")+COUNTIF(Відвідуваністьзаквітень[2],"ПП")</f>
        <v>0</v>
      </c>
      <c r="F12" s="115">
        <f>COUNTIF(Відвідуваністьзаквітень[3],"П")+COUNTIF(Відвідуваністьзаквітень[3],"ПП")</f>
        <v>0</v>
      </c>
      <c r="G12" s="115">
        <f>COUNTIF(Відвідуваністьзаквітень[4],"П")+COUNTIF(Відвідуваністьзаквітень[4],"ПП")</f>
        <v>0</v>
      </c>
      <c r="H12" s="115">
        <f>COUNTIF(Відвідуваністьзаквітень[5],"П")+COUNTIF(Відвідуваністьзаквітень[5],"ПП")</f>
        <v>0</v>
      </c>
      <c r="I12" s="115">
        <f>COUNTIF(Відвідуваністьзаквітень[6],"П")+COUNTIF(Відвідуваністьзаквітень[6],"ПП")</f>
        <v>0</v>
      </c>
      <c r="J12" s="115">
        <f>COUNTIF(Відвідуваністьзаквітень[7],"П")+COUNTIF(Відвідуваністьзаквітень[7],"ПП")</f>
        <v>0</v>
      </c>
      <c r="K12" s="115">
        <f>COUNTIF(Відвідуваністьзаквітень[8],"П")+COUNTIF(Відвідуваністьзаквітень[8],"ПП")</f>
        <v>0</v>
      </c>
      <c r="L12" s="115">
        <f>COUNTIF(Відвідуваністьзаквітень[9],"П")+COUNTIF(Відвідуваністьзаквітень[9],"ПП")</f>
        <v>0</v>
      </c>
      <c r="M12" s="115">
        <f>COUNTIF(Відвідуваністьзаквітень[10],"П")+COUNTIF(Відвідуваністьзаквітень[10],"ПП")</f>
        <v>0</v>
      </c>
      <c r="N12" s="115">
        <f>COUNTIF(Відвідуваністьзаквітень[11],"П")+COUNTIF(Відвідуваністьзаквітень[11],"ПП")</f>
        <v>0</v>
      </c>
      <c r="O12" s="115">
        <f>COUNTIF(Відвідуваністьзаквітень[12],"П")+COUNTIF(Відвідуваністьзаквітень[12],"ПП")</f>
        <v>0</v>
      </c>
      <c r="P12" s="115">
        <f>COUNTIF(Відвідуваністьзаквітень[13],"П")+COUNTIF(Відвідуваністьзаквітень[13],"ПП")</f>
        <v>0</v>
      </c>
      <c r="Q12" s="115">
        <f>COUNTIF(Відвідуваністьзаквітень[14],"П")+COUNTIF(Відвідуваністьзаквітень[14],"ПП")</f>
        <v>0</v>
      </c>
      <c r="R12" s="115">
        <f>COUNTIF(Відвідуваністьзаквітень[15],"П")+COUNTIF(Відвідуваністьзаквітень[15],"ПП")</f>
        <v>0</v>
      </c>
      <c r="S12" s="115">
        <f>COUNTIF(Відвідуваністьзаквітень[16],"П")+COUNTIF(Відвідуваністьзаквітень[16],"ПП")</f>
        <v>0</v>
      </c>
      <c r="T12" s="115">
        <f>COUNTIF(Відвідуваністьзаквітень[17],"П")+COUNTIF(Відвідуваністьзаквітень[17],"ПП")</f>
        <v>0</v>
      </c>
      <c r="U12" s="115">
        <f>COUNTIF(Відвідуваністьзаквітень[18],"П")+COUNTIF(Відвідуваністьзаквітень[18],"ПП")</f>
        <v>0</v>
      </c>
      <c r="V12" s="115">
        <f>COUNTIF(Відвідуваністьзаквітень[19],"П")+COUNTIF(Відвідуваністьзаквітень[19],"ПП")</f>
        <v>0</v>
      </c>
      <c r="W12" s="115">
        <f>COUNTIF(Відвідуваністьзаквітень[20],"П")+COUNTIF(Відвідуваністьзаквітень[20],"ПП")</f>
        <v>0</v>
      </c>
      <c r="X12" s="115">
        <f>COUNTIF(Відвідуваністьзаквітень[21],"П")+COUNTIF(Відвідуваністьзаквітень[21],"ПП")</f>
        <v>0</v>
      </c>
      <c r="Y12" s="115">
        <f>COUNTIF(Відвідуваністьзаквітень[22],"П")+COUNTIF(Відвідуваністьзаквітень[22],"ПП")</f>
        <v>0</v>
      </c>
      <c r="Z12" s="115">
        <f>COUNTIF(Відвідуваністьзаквітень[23],"П")+COUNTIF(Відвідуваністьзаквітень[23],"ПП")</f>
        <v>0</v>
      </c>
      <c r="AA12" s="115">
        <f>COUNTIF(Відвідуваністьзаквітень[24],"П")+COUNTIF(Відвідуваністьзаквітень[24],"ПП")</f>
        <v>0</v>
      </c>
      <c r="AB12" s="115">
        <f>COUNTIF(Відвідуваністьзаквітень[25],"П")+COUNTIF(Відвідуваністьзаквітень[25],"ПП")</f>
        <v>0</v>
      </c>
      <c r="AC12" s="115">
        <f>COUNTIF(Відвідуваністьзаквітень[26],"П")+COUNTIF(Відвідуваністьзаквітень[26],"ПП")</f>
        <v>0</v>
      </c>
      <c r="AD12" s="115">
        <f>COUNTIF(Відвідуваністьзаквітень[27],"П")+COUNTIF(Відвідуваністьзаквітень[27],"ПП")</f>
        <v>0</v>
      </c>
      <c r="AE12" s="115">
        <f>COUNTIF(Відвідуваністьзаквітень[28],"П")+COUNTIF(Відвідуваністьзаквітень[28],"ПП")</f>
        <v>0</v>
      </c>
      <c r="AF12" s="115">
        <f>COUNTIF(Відвідуваністьзаквітень[29],"П")+COUNTIF(Відвідуваністьзаквітень[29],"ПП")</f>
        <v>0</v>
      </c>
      <c r="AG12" s="115">
        <f>COUNTIF(Відвідуваністьзаквітень[30],"П")+COUNTIF(Відвідуваністьзаквітень[30],"ПП")</f>
        <v>0</v>
      </c>
      <c r="AH12" s="115">
        <f>COUNTIF(Відвідуваністьзаквітень[[ ]],"П")+COUNTIF(Відвідуваністьзаквітень[[ ]],"ПП")</f>
        <v>0</v>
      </c>
      <c r="AI12" s="115">
        <f>SUBTOTAL(109,Відвідуваністьзаквітень[З])</f>
        <v>0</v>
      </c>
      <c r="AJ12" s="115">
        <f>SUBTOTAL(109,Відвідуваністьзаквітень[ПП])</f>
        <v>0</v>
      </c>
      <c r="AK12" s="115">
        <f>SUBTOTAL(109,Відвідуваністьзаквітень[П])</f>
        <v>0</v>
      </c>
      <c r="AL12" s="115">
        <f>SUBTOTAL(109,Відвідуваністьзаквітень[Н])</f>
        <v>0</v>
      </c>
      <c r="AM12" s="115">
        <f>SUBTOTAL(109,Відвідуваністьзаквітень[Відсутність, дн.])</f>
        <v>0</v>
      </c>
    </row>
    <row r="14" spans="1:39" ht="16.5" customHeight="1" x14ac:dyDescent="0.25"/>
    <row r="15" spans="1:39" ht="16.5" customHeight="1" x14ac:dyDescent="0.25"/>
    <row r="16" spans="1:39"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1">
      <dataBar>
        <cfvo type="min"/>
        <cfvo type="num" val="DATEDIF(DATE(Календарнийрік,2,1),DATE(Календарнийрік,3,1),&quot;d&quot;)"/>
        <color theme="4"/>
      </dataBar>
      <extLst>
        <ext xmlns:x14="http://schemas.microsoft.com/office/spreadsheetml/2009/9/main" uri="{B025F937-C7B1-47D3-B67F-A62EFF666E3E}">
          <x14:id>{9FD523D2-45CA-45DA-93F8-59B772F50C00}</x14:id>
        </ext>
      </extLst>
    </cfRule>
  </conditionalFormatting>
  <conditionalFormatting sqref="D7:AF11">
    <cfRule type="expression" dxfId="337" priority="2" stopIfTrue="1">
      <formula>D7=Код2</formula>
    </cfRule>
  </conditionalFormatting>
  <conditionalFormatting sqref="D7:AF11">
    <cfRule type="expression" dxfId="336" priority="3" stopIfTrue="1">
      <formula>D7=Код5</formula>
    </cfRule>
    <cfRule type="expression" dxfId="335" priority="4" stopIfTrue="1">
      <formula>D7=Код4</formula>
    </cfRule>
    <cfRule type="expression" dxfId="334" priority="5" stopIfTrue="1">
      <formula>D7=Код3</formula>
    </cfRule>
    <cfRule type="expression" dxfId="333" priority="6" stopIfTrue="1">
      <formula>D7=Код1</formula>
    </cfRule>
  </conditionalFormatting>
  <dataValidations count="1">
    <dataValidation type="list" errorStyle="warning" allowBlank="1" showInputMessage="1" showErrorMessage="1" errorTitle="Отакої!" error="У списку студентів немає введеного коду. Ви можете натиснути кнопку ''Так'' і залишити введений код, але у звіті про відвідуваність він буде недоступний." sqref="B7:B11">
      <formula1>Ідентифікаторстудента</formula1>
    </dataValidation>
  </dataValidations>
  <printOptions horizontalCentered="1"/>
  <pageMargins left="0.5" right="0.5" top="0.75" bottom="0.75" header="0.3" footer="0.3"/>
  <pageSetup paperSize="9" scale="59"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FD523D2-45CA-45DA-93F8-59B772F50C00}">
            <x14:dataBar minLength="0" maxLength="100" border="1" negativeBarBorderColorSameAsPositive="0">
              <x14:cfvo type="autoMin"/>
              <x14:cfvo type="num">
                <xm:f>DATEDIF(DATE(Календарнийрік,2,1),DATE(Календарнийрік,3,1),"d")</xm:f>
              </x14:cfvo>
              <x14:borderColor theme="4"/>
              <x14:negativeFillColor rgb="FFFF0000"/>
              <x14:negativeBorderColor rgb="FFFF0000"/>
              <x14:axisColor rgb="FF000000"/>
            </x14:dataBar>
          </x14:cfRule>
          <xm:sqref>AM7:AM11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3.42578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4.7109375" style="11" bestFit="1" customWidth="1"/>
    <col min="40" max="16384" width="9.140625" style="11"/>
  </cols>
  <sheetData>
    <row r="1" spans="1:39" s="1" customFormat="1" ht="42" customHeight="1" x14ac:dyDescent="0.25">
      <c r="A1" s="36" t="s">
        <v>89</v>
      </c>
      <c r="B1" s="37"/>
      <c r="C1" s="37"/>
      <c r="D1" s="38"/>
      <c r="E1" s="38"/>
      <c r="F1" s="38"/>
      <c r="G1" s="38"/>
      <c r="H1" s="38"/>
      <c r="I1" s="38"/>
      <c r="J1" s="38"/>
      <c r="K1" s="38"/>
      <c r="L1" s="38"/>
      <c r="M1" s="38"/>
      <c r="N1" s="38"/>
      <c r="O1" s="38"/>
      <c r="P1" s="38"/>
      <c r="Q1" s="38"/>
      <c r="R1" s="38"/>
      <c r="S1" s="38"/>
      <c r="T1" s="38"/>
      <c r="U1" s="38"/>
      <c r="V1" s="38"/>
      <c r="W1" s="38"/>
      <c r="X1" s="38"/>
      <c r="Y1" s="38"/>
      <c r="Z1" s="38"/>
      <c r="AA1" s="38"/>
      <c r="AB1" s="38"/>
      <c r="AC1" s="37"/>
      <c r="AD1" s="37"/>
      <c r="AE1" s="37"/>
      <c r="AF1" s="37"/>
      <c r="AG1" s="39"/>
      <c r="AH1" s="37"/>
      <c r="AI1" s="37"/>
      <c r="AJ1" s="40"/>
      <c r="AK1" s="37"/>
      <c r="AL1" s="56" t="s">
        <v>72</v>
      </c>
      <c r="AM1" s="57">
        <f>Календарнийрік</f>
        <v>2012</v>
      </c>
    </row>
    <row r="2" spans="1:39" customFormat="1" ht="13.5" x14ac:dyDescent="0.25"/>
    <row r="3" spans="1:39" s="28" customFormat="1" ht="12.75" customHeight="1" x14ac:dyDescent="0.25">
      <c r="C3" s="43" t="str">
        <f>Текстпоясненьдокольорів</f>
        <v>ПОЯСНЕННЯ ДО КОЛЬОРІВ</v>
      </c>
      <c r="D3" s="50" t="str">
        <f>Код1</f>
        <v>З</v>
      </c>
      <c r="E3" s="67" t="str">
        <f>Код1текст</f>
        <v>Запізнення</v>
      </c>
      <c r="F3" s="58"/>
      <c r="H3" s="51" t="str">
        <f>Код2</f>
        <v>ПП</v>
      </c>
      <c r="I3" s="55" t="str">
        <f>Код2текст</f>
        <v>Поважна причина</v>
      </c>
      <c r="M3" s="52" t="str">
        <f>Код3</f>
        <v>П</v>
      </c>
      <c r="N3" s="55" t="str">
        <f>Код3текст</f>
        <v>Прогул</v>
      </c>
      <c r="Q3" s="53" t="str">
        <f>Код4</f>
        <v>Н</v>
      </c>
      <c r="R3" s="55" t="str">
        <f>Код4текст</f>
        <v>На місці</v>
      </c>
      <c r="U3" s="54" t="str">
        <f>Код5</f>
        <v>В</v>
      </c>
      <c r="V3" s="55" t="str">
        <f>Код5текст</f>
        <v>Вихідний</v>
      </c>
      <c r="W3"/>
      <c r="X3"/>
      <c r="Y3"/>
      <c r="AD3" s="27"/>
      <c r="AE3" s="27"/>
      <c r="AH3" s="29"/>
      <c r="AI3" s="30"/>
      <c r="AK3" s="31"/>
    </row>
    <row r="4" spans="1:39" customFormat="1" ht="16.5" customHeight="1" x14ac:dyDescent="0.25"/>
    <row r="5" spans="1:39" s="2" customFormat="1" ht="18" customHeight="1" x14ac:dyDescent="0.3">
      <c r="B5" s="60">
        <f>DATE(Календарнийрік+1,5,1)</f>
        <v>41395</v>
      </c>
      <c r="C5" s="59"/>
      <c r="D5" s="41" t="str">
        <f>TEXT(WEEKDAY(DATE(Календарнийрік+1,5,1),1),"aaa")</f>
        <v>Ср</v>
      </c>
      <c r="E5" s="41" t="str">
        <f>TEXT(WEEKDAY(DATE(Календарнийрік+1,5,2),1),"aaa")</f>
        <v>Чт</v>
      </c>
      <c r="F5" s="41" t="str">
        <f>TEXT(WEEKDAY(DATE(Календарнийрік+1,5,3),1),"aaa")</f>
        <v>Пт</v>
      </c>
      <c r="G5" s="41" t="str">
        <f>TEXT(WEEKDAY(DATE(Календарнийрік+1,5,4),1),"aaa")</f>
        <v>Сб</v>
      </c>
      <c r="H5" s="41" t="str">
        <f>TEXT(WEEKDAY(DATE(Календарнийрік+1,5,5),1),"aaa")</f>
        <v>Нд</v>
      </c>
      <c r="I5" s="41" t="str">
        <f>TEXT(WEEKDAY(DATE(Календарнийрік+1,5,6),1),"aaa")</f>
        <v>Пн</v>
      </c>
      <c r="J5" s="41" t="str">
        <f>TEXT(WEEKDAY(DATE(Календарнийрік+1,5,7),1),"aaa")</f>
        <v>Вт</v>
      </c>
      <c r="K5" s="41" t="str">
        <f>TEXT(WEEKDAY(DATE(Календарнийрік+1,5,8),1),"aaa")</f>
        <v>Ср</v>
      </c>
      <c r="L5" s="41" t="str">
        <f>TEXT(WEEKDAY(DATE(Календарнийрік+1,5,9),1),"aaa")</f>
        <v>Чт</v>
      </c>
      <c r="M5" s="41" t="str">
        <f>TEXT(WEEKDAY(DATE(Календарнийрік+1,5,10),1),"aaa")</f>
        <v>Пт</v>
      </c>
      <c r="N5" s="41" t="str">
        <f>TEXT(WEEKDAY(DATE(Календарнийрік+1,5,11),1),"aaa")</f>
        <v>Сб</v>
      </c>
      <c r="O5" s="41" t="str">
        <f>TEXT(WEEKDAY(DATE(Календарнийрік+1,5,12),1),"aaa")</f>
        <v>Нд</v>
      </c>
      <c r="P5" s="41" t="str">
        <f>TEXT(WEEKDAY(DATE(Календарнийрік+1,5,13),1),"aaa")</f>
        <v>Пн</v>
      </c>
      <c r="Q5" s="41" t="str">
        <f>TEXT(WEEKDAY(DATE(Календарнийрік+1,5,14),1),"aaa")</f>
        <v>Вт</v>
      </c>
      <c r="R5" s="41" t="str">
        <f>TEXT(WEEKDAY(DATE(Календарнийрік+1,5,15),1),"aaa")</f>
        <v>Ср</v>
      </c>
      <c r="S5" s="41" t="str">
        <f>TEXT(WEEKDAY(DATE(Календарнийрік+1,5,16),1),"aaa")</f>
        <v>Чт</v>
      </c>
      <c r="T5" s="41" t="str">
        <f>TEXT(WEEKDAY(DATE(Календарнийрік+1,5,17),1),"aaa")</f>
        <v>Пт</v>
      </c>
      <c r="U5" s="41" t="str">
        <f>TEXT(WEEKDAY(DATE(Календарнийрік+1,5,18),1),"aaa")</f>
        <v>Сб</v>
      </c>
      <c r="V5" s="41" t="str">
        <f>TEXT(WEEKDAY(DATE(Календарнийрік+1,5,19),1),"aaa")</f>
        <v>Нд</v>
      </c>
      <c r="W5" s="41" t="str">
        <f>TEXT(WEEKDAY(DATE(Календарнийрік+1,5,20),1),"aaa")</f>
        <v>Пн</v>
      </c>
      <c r="X5" s="41" t="str">
        <f>TEXT(WEEKDAY(DATE(Календарнийрік+1,5,21),1),"aaa")</f>
        <v>Вт</v>
      </c>
      <c r="Y5" s="41" t="str">
        <f>TEXT(WEEKDAY(DATE(Календарнийрік+1,5,22),1),"aaa")</f>
        <v>Ср</v>
      </c>
      <c r="Z5" s="41" t="str">
        <f>TEXT(WEEKDAY(DATE(Календарнийрік+1,5,23),1),"aaa")</f>
        <v>Чт</v>
      </c>
      <c r="AA5" s="41" t="str">
        <f>TEXT(WEEKDAY(DATE(Календарнийрік+1,5,24),1),"aaa")</f>
        <v>Пт</v>
      </c>
      <c r="AB5" s="41" t="str">
        <f>TEXT(WEEKDAY(DATE(Календарнийрік+1,5,25),1),"aaa")</f>
        <v>Сб</v>
      </c>
      <c r="AC5" s="41" t="str">
        <f>TEXT(WEEKDAY(DATE(Календарнийрік+1,5,26),1),"aaa")</f>
        <v>Нд</v>
      </c>
      <c r="AD5" s="41" t="str">
        <f>TEXT(WEEKDAY(DATE(Календарнийрік+1,5,27),1),"aaa")</f>
        <v>Пн</v>
      </c>
      <c r="AE5" s="41" t="str">
        <f>TEXT(WEEKDAY(DATE(Календарнийрік+1,5,28),1),"aaa")</f>
        <v>Вт</v>
      </c>
      <c r="AF5" s="41" t="str">
        <f>TEXT(WEEKDAY(DATE(Календарнийрік+1,5,29),1),"aaa")</f>
        <v>Ср</v>
      </c>
      <c r="AG5" s="41" t="str">
        <f>TEXT(WEEKDAY(DATE(Календарнийрік+1,5,30),1),"aaa")</f>
        <v>Чт</v>
      </c>
      <c r="AH5" s="41" t="str">
        <f>TEXT(WEEKDAY(DATE(Календарнийрік+1,5,31),1),"aaa")</f>
        <v>Пт</v>
      </c>
      <c r="AI5" s="131" t="s">
        <v>41</v>
      </c>
      <c r="AJ5" s="131"/>
      <c r="AK5" s="131"/>
      <c r="AL5" s="131"/>
      <c r="AM5" s="131"/>
    </row>
    <row r="6" spans="1:39" ht="14.25" customHeight="1" x14ac:dyDescent="0.25">
      <c r="B6" s="24" t="s">
        <v>34</v>
      </c>
      <c r="C6" s="25" t="s">
        <v>36</v>
      </c>
      <c r="D6" s="26" t="s">
        <v>0</v>
      </c>
      <c r="E6" s="26" t="s">
        <v>1</v>
      </c>
      <c r="F6" s="26" t="s">
        <v>2</v>
      </c>
      <c r="G6" s="26" t="s">
        <v>3</v>
      </c>
      <c r="H6" s="26" t="s">
        <v>4</v>
      </c>
      <c r="I6" s="26" t="s">
        <v>5</v>
      </c>
      <c r="J6" s="26" t="s">
        <v>6</v>
      </c>
      <c r="K6" s="26" t="s">
        <v>7</v>
      </c>
      <c r="L6" s="26" t="s">
        <v>8</v>
      </c>
      <c r="M6" s="26" t="s">
        <v>9</v>
      </c>
      <c r="N6" s="26" t="s">
        <v>10</v>
      </c>
      <c r="O6" s="26" t="s">
        <v>11</v>
      </c>
      <c r="P6" s="26" t="s">
        <v>12</v>
      </c>
      <c r="Q6" s="26" t="s">
        <v>13</v>
      </c>
      <c r="R6" s="26" t="s">
        <v>14</v>
      </c>
      <c r="S6" s="26" t="s">
        <v>15</v>
      </c>
      <c r="T6" s="26" t="s">
        <v>16</v>
      </c>
      <c r="U6" s="26" t="s">
        <v>17</v>
      </c>
      <c r="V6" s="26" t="s">
        <v>18</v>
      </c>
      <c r="W6" s="26" t="s">
        <v>19</v>
      </c>
      <c r="X6" s="26" t="s">
        <v>20</v>
      </c>
      <c r="Y6" s="26" t="s">
        <v>21</v>
      </c>
      <c r="Z6" s="26" t="s">
        <v>22</v>
      </c>
      <c r="AA6" s="26" t="s">
        <v>23</v>
      </c>
      <c r="AB6" s="26" t="s">
        <v>24</v>
      </c>
      <c r="AC6" s="26" t="s">
        <v>25</v>
      </c>
      <c r="AD6" s="26" t="s">
        <v>26</v>
      </c>
      <c r="AE6" s="26" t="s">
        <v>27</v>
      </c>
      <c r="AF6" s="26" t="s">
        <v>28</v>
      </c>
      <c r="AG6" s="26" t="s">
        <v>29</v>
      </c>
      <c r="AH6" s="26" t="s">
        <v>30</v>
      </c>
      <c r="AI6" s="71" t="s">
        <v>37</v>
      </c>
      <c r="AJ6" s="35" t="s">
        <v>39</v>
      </c>
      <c r="AK6" s="34" t="s">
        <v>38</v>
      </c>
      <c r="AL6" s="32" t="s">
        <v>31</v>
      </c>
      <c r="AM6" t="s">
        <v>40</v>
      </c>
    </row>
    <row r="7" spans="1:39" ht="16.5" customHeight="1" x14ac:dyDescent="0.25">
      <c r="B7" s="23"/>
      <c r="C7" s="19" t="str">
        <f>IFERROR(VLOOKUP(Відвідуваністьзатравень[[#This Row],[Код студента]],Перелікстудентів[],18,FALSE),"")</f>
        <v/>
      </c>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2"/>
      <c r="AG7" s="3"/>
      <c r="AH7" s="3"/>
      <c r="AI7" s="33">
        <f>COUNTIF(Відвідуваністьзатравень[[#This Row],[1]:[31]],Код1)</f>
        <v>0</v>
      </c>
      <c r="AJ7" s="33">
        <f>COUNTIF(Відвідуваністьзатравень[[#This Row],[1]:[31]],Код2)</f>
        <v>0</v>
      </c>
      <c r="AK7" s="33">
        <f>COUNTIF(Відвідуваністьзатравень[[#This Row],[1]:[31]],Код3)</f>
        <v>0</v>
      </c>
      <c r="AL7" s="33">
        <f>COUNTIF(Відвідуваністьзатравень[[#This Row],[1]:[31]],Код4)</f>
        <v>0</v>
      </c>
      <c r="AM7" s="6">
        <f>SUM(Відвідуваністьзавересень[[#This Row],[ПП]:[П]])</f>
        <v>0</v>
      </c>
    </row>
    <row r="8" spans="1:39" ht="16.5" customHeight="1" x14ac:dyDescent="0.25">
      <c r="B8" s="23"/>
      <c r="C8" s="19" t="str">
        <f>IFERROR(VLOOKUP(Відвідуваністьзатравень[[#This Row],[Код студента]],Перелікстудентів[],18,FALSE),"")</f>
        <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2"/>
      <c r="AG8" s="3"/>
      <c r="AH8" s="3"/>
      <c r="AI8" s="33">
        <f>COUNTIF(Відвідуваністьзатравень[[#This Row],[1]:[31]],Код1)</f>
        <v>0</v>
      </c>
      <c r="AJ8" s="33">
        <f>COUNTIF(Відвідуваністьзатравень[[#This Row],[1]:[31]],Код2)</f>
        <v>0</v>
      </c>
      <c r="AK8" s="33">
        <f>COUNTIF(Відвідуваністьзатравень[[#This Row],[1]:[31]],Код3)</f>
        <v>0</v>
      </c>
      <c r="AL8" s="33">
        <f>COUNTIF(Відвідуваністьзатравень[[#This Row],[1]:[31]],Код4)</f>
        <v>0</v>
      </c>
      <c r="AM8" s="6">
        <f>SUM(Відвідуваністьзавересень[[#This Row],[ПП]:[П]])</f>
        <v>0</v>
      </c>
    </row>
    <row r="9" spans="1:39" ht="16.5" customHeight="1" x14ac:dyDescent="0.25">
      <c r="B9" s="23"/>
      <c r="C9" s="19" t="str">
        <f>IFERROR(VLOOKUP(Відвідуваністьзатравень[[#This Row],[Код студента]],Перелікстудентів[],18,FALSE),"")</f>
        <v/>
      </c>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2"/>
      <c r="AG9" s="3"/>
      <c r="AH9" s="3"/>
      <c r="AI9" s="33">
        <f>COUNTIF(Відвідуваністьзатравень[[#This Row],[1]:[31]],Код1)</f>
        <v>0</v>
      </c>
      <c r="AJ9" s="33">
        <f>COUNTIF(Відвідуваністьзатравень[[#This Row],[1]:[31]],Код2)</f>
        <v>0</v>
      </c>
      <c r="AK9" s="33">
        <f>COUNTIF(Відвідуваністьзатравень[[#This Row],[1]:[31]],Код3)</f>
        <v>0</v>
      </c>
      <c r="AL9" s="33">
        <f>COUNTIF(Відвідуваністьзатравень[[#This Row],[1]:[31]],Код4)</f>
        <v>0</v>
      </c>
      <c r="AM9" s="6">
        <f>SUM(Відвідуваністьзавересень[[#This Row],[ПП]:[П]])</f>
        <v>0</v>
      </c>
    </row>
    <row r="10" spans="1:39" ht="16.5" customHeight="1" x14ac:dyDescent="0.25">
      <c r="B10" s="23"/>
      <c r="C10" s="19" t="str">
        <f>IFERROR(VLOOKUP(Відвідуваністьзатравень[[#This Row],[Код студента]],Перелікстудентів[],18,FALSE),"")</f>
        <v/>
      </c>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2"/>
      <c r="AG10" s="3"/>
      <c r="AH10" s="3"/>
      <c r="AI10" s="33">
        <f>COUNTIF(Відвідуваністьзатравень[[#This Row],[1]:[31]],Код1)</f>
        <v>0</v>
      </c>
      <c r="AJ10" s="33">
        <f>COUNTIF(Відвідуваністьзатравень[[#This Row],[1]:[31]],Код2)</f>
        <v>0</v>
      </c>
      <c r="AK10" s="33">
        <f>COUNTIF(Відвідуваністьзатравень[[#This Row],[1]:[31]],Код3)</f>
        <v>0</v>
      </c>
      <c r="AL10" s="33">
        <f>COUNTIF(Відвідуваністьзатравень[[#This Row],[1]:[31]],Код4)</f>
        <v>0</v>
      </c>
      <c r="AM10" s="6">
        <f>SUM(Відвідуваністьзавересень[[#This Row],[ПП]:[П]])</f>
        <v>0</v>
      </c>
    </row>
    <row r="11" spans="1:39" ht="16.5" customHeight="1" x14ac:dyDescent="0.25">
      <c r="B11" s="23"/>
      <c r="C11" s="19" t="str">
        <f>IFERROR(VLOOKUP(Відвідуваністьзатравень[[#This Row],[Код студента]],Перелікстудентів[],18,FALSE),"")</f>
        <v/>
      </c>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2"/>
      <c r="AG11" s="3"/>
      <c r="AH11" s="3"/>
      <c r="AI11" s="33">
        <f>COUNTIF(Відвідуваністьзатравень[[#This Row],[1]:[31]],Код1)</f>
        <v>0</v>
      </c>
      <c r="AJ11" s="33">
        <f>COUNTIF(Відвідуваністьзатравень[[#This Row],[1]:[31]],Код2)</f>
        <v>0</v>
      </c>
      <c r="AK11" s="33">
        <f>COUNTIF(Відвідуваністьзатравень[[#This Row],[1]:[31]],Код3)</f>
        <v>0</v>
      </c>
      <c r="AL11" s="33">
        <f>COUNTIF(Відвідуваністьзатравень[[#This Row],[1]:[31]],Код4)</f>
        <v>0</v>
      </c>
      <c r="AM11" s="6">
        <f>SUM(Відвідуваністьзавересень[[#This Row],[ПП]:[П]])</f>
        <v>0</v>
      </c>
    </row>
    <row r="12" spans="1:39" ht="16.5" customHeight="1" x14ac:dyDescent="0.25">
      <c r="B12" s="113"/>
      <c r="C12" s="114" t="s">
        <v>118</v>
      </c>
      <c r="D12" s="115">
        <f>COUNTIF(Відвідуваністьзатравень[1],"П")+COUNTIF(Відвідуваністьзатравень[1],"ПП")</f>
        <v>0</v>
      </c>
      <c r="E12" s="115">
        <f>COUNTIF(Відвідуваністьзатравень[2],"П")+COUNTIF(Відвідуваністьзатравень[2],"ПП")</f>
        <v>0</v>
      </c>
      <c r="F12" s="115">
        <f>COUNTIF(Відвідуваністьзатравень[3],"П")+COUNTIF(Відвідуваністьзатравень[3],"ПП")</f>
        <v>0</v>
      </c>
      <c r="G12" s="115">
        <f>COUNTIF(Відвідуваністьзатравень[4],"П")+COUNTIF(Відвідуваністьзатравень[4],"ПП")</f>
        <v>0</v>
      </c>
      <c r="H12" s="115">
        <f>COUNTIF(Відвідуваністьзатравень[5],"П")+COUNTIF(Відвідуваністьзатравень[5],"ПП")</f>
        <v>0</v>
      </c>
      <c r="I12" s="115">
        <f>COUNTIF(Відвідуваністьзатравень[6],"П")+COUNTIF(Відвідуваністьзатравень[6],"ПП")</f>
        <v>0</v>
      </c>
      <c r="J12" s="115">
        <f>COUNTIF(Відвідуваністьзатравень[7],"П")+COUNTIF(Відвідуваністьзатравень[7],"ПП")</f>
        <v>0</v>
      </c>
      <c r="K12" s="115">
        <f>COUNTIF(Відвідуваністьзатравень[8],"П")+COUNTIF(Відвідуваністьзатравень[8],"ПП")</f>
        <v>0</v>
      </c>
      <c r="L12" s="115">
        <f>COUNTIF(Відвідуваністьзатравень[9],"П")+COUNTIF(Відвідуваністьзатравень[9],"ПП")</f>
        <v>0</v>
      </c>
      <c r="M12" s="115">
        <f>COUNTIF(Відвідуваністьзатравень[10],"П")+COUNTIF(Відвідуваністьзатравень[10],"ПП")</f>
        <v>0</v>
      </c>
      <c r="N12" s="115">
        <f>COUNTIF(Відвідуваністьзатравень[11],"П")+COUNTIF(Відвідуваністьзатравень[11],"ПП")</f>
        <v>0</v>
      </c>
      <c r="O12" s="115">
        <f>COUNTIF(Відвідуваністьзатравень[12],"П")+COUNTIF(Відвідуваністьзатравень[12],"ПП")</f>
        <v>0</v>
      </c>
      <c r="P12" s="115">
        <f>COUNTIF(Відвідуваністьзатравень[13],"П")+COUNTIF(Відвідуваністьзатравень[13],"ПП")</f>
        <v>0</v>
      </c>
      <c r="Q12" s="115">
        <f>COUNTIF(Відвідуваністьзатравень[14],"П")+COUNTIF(Відвідуваністьзатравень[14],"ПП")</f>
        <v>0</v>
      </c>
      <c r="R12" s="115">
        <f>COUNTIF(Відвідуваністьзатравень[15],"П")+COUNTIF(Відвідуваністьзатравень[15],"ПП")</f>
        <v>0</v>
      </c>
      <c r="S12" s="115">
        <f>COUNTIF(Відвідуваністьзатравень[16],"П")+COUNTIF(Відвідуваністьзатравень[16],"ПП")</f>
        <v>0</v>
      </c>
      <c r="T12" s="115">
        <f>COUNTIF(Відвідуваністьзатравень[17],"П")+COUNTIF(Відвідуваністьзатравень[17],"ПП")</f>
        <v>0</v>
      </c>
      <c r="U12" s="115">
        <f>COUNTIF(Відвідуваністьзатравень[18],"П")+COUNTIF(Відвідуваністьзатравень[18],"ПП")</f>
        <v>0</v>
      </c>
      <c r="V12" s="115">
        <f>COUNTIF(Відвідуваністьзатравень[19],"П")+COUNTIF(Відвідуваністьзатравень[19],"ПП")</f>
        <v>0</v>
      </c>
      <c r="W12" s="115">
        <f>COUNTIF(Відвідуваністьзатравень[20],"П")+COUNTIF(Відвідуваністьзатравень[20],"ПП")</f>
        <v>0</v>
      </c>
      <c r="X12" s="115">
        <f>COUNTIF(Відвідуваністьзатравень[21],"П")+COUNTIF(Відвідуваністьзатравень[21],"ПП")</f>
        <v>0</v>
      </c>
      <c r="Y12" s="115">
        <f>COUNTIF(Відвідуваністьзатравень[22],"П")+COUNTIF(Відвідуваністьзатравень[22],"ПП")</f>
        <v>0</v>
      </c>
      <c r="Z12" s="115">
        <f>COUNTIF(Відвідуваністьзатравень[23],"П")+COUNTIF(Відвідуваністьзатравень[23],"ПП")</f>
        <v>0</v>
      </c>
      <c r="AA12" s="115">
        <f>COUNTIF(Відвідуваністьзатравень[24],"П")+COUNTIF(Відвідуваністьзатравень[24],"ПП")</f>
        <v>0</v>
      </c>
      <c r="AB12" s="115">
        <f>COUNTIF(Відвідуваністьзатравень[25],"П")+COUNTIF(Відвідуваністьзатравень[25],"ПП")</f>
        <v>0</v>
      </c>
      <c r="AC12" s="115">
        <f>COUNTIF(Відвідуваністьзатравень[26],"П")+COUNTIF(Відвідуваністьзатравень[26],"ПП")</f>
        <v>0</v>
      </c>
      <c r="AD12" s="115">
        <f>COUNTIF(Відвідуваністьзатравень[27],"П")+COUNTIF(Відвідуваністьзатравень[27],"ПП")</f>
        <v>0</v>
      </c>
      <c r="AE12" s="115">
        <f>COUNTIF(Відвідуваністьзатравень[28],"П")+COUNTIF(Відвідуваністьзатравень[28],"ПП")</f>
        <v>0</v>
      </c>
      <c r="AF12" s="115">
        <f>COUNTIF(Відвідуваністьзатравень[29],"П")+COUNTIF(Відвідуваністьзатравень[29],"ПП")</f>
        <v>0</v>
      </c>
      <c r="AG12" s="115">
        <f>COUNTIF(Відвідуваністьзатравень[30],"П")+COUNTIF(Відвідуваністьзатравень[30],"ПП")</f>
        <v>0</v>
      </c>
      <c r="AH12" s="115">
        <f>COUNTIF(Відвідуваністьзатравень[31],"П")+COUNTIF(Відвідуваністьзатравень[31],"ПП")</f>
        <v>0</v>
      </c>
      <c r="AI12" s="115">
        <f>SUBTOTAL(109,Відвідуваністьзатравень[З])</f>
        <v>0</v>
      </c>
      <c r="AJ12" s="115">
        <f>SUBTOTAL(109,Відвідуваністьзатравень[ПП])</f>
        <v>0</v>
      </c>
      <c r="AK12" s="115">
        <f>SUBTOTAL(109,Відвідуваністьзатравень[П])</f>
        <v>0</v>
      </c>
      <c r="AL12" s="115">
        <f>SUBTOTAL(109,Відвідуваністьзатравень[Н])</f>
        <v>0</v>
      </c>
      <c r="AM12" s="115">
        <f>SUBTOTAL(109,Відвідуваністьзатравень[Відсутність, дн.])</f>
        <v>0</v>
      </c>
    </row>
    <row r="14" spans="1:39" ht="16.5" customHeight="1" x14ac:dyDescent="0.25"/>
    <row r="15" spans="1:39" ht="16.5" customHeight="1" x14ac:dyDescent="0.25"/>
    <row r="16" spans="1:39"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1">
      <dataBar>
        <cfvo type="min"/>
        <cfvo type="num" val="DATEDIF(DATE(Календарнийрік,2,1),DATE(Календарнийрік,3,1),&quot;d&quot;)"/>
        <color theme="4"/>
      </dataBar>
      <extLst>
        <ext xmlns:x14="http://schemas.microsoft.com/office/spreadsheetml/2009/9/main" uri="{B025F937-C7B1-47D3-B67F-A62EFF666E3E}">
          <x14:id>{075C44B9-B707-434A-A9F0-95252D34B3EF}</x14:id>
        </ext>
      </extLst>
    </cfRule>
  </conditionalFormatting>
  <conditionalFormatting sqref="D7:AF11">
    <cfRule type="expression" dxfId="254" priority="2" stopIfTrue="1">
      <formula>D7=Код2</formula>
    </cfRule>
  </conditionalFormatting>
  <conditionalFormatting sqref="D7:AF11">
    <cfRule type="expression" dxfId="253" priority="3" stopIfTrue="1">
      <formula>D7=Код5</formula>
    </cfRule>
    <cfRule type="expression" dxfId="252" priority="4" stopIfTrue="1">
      <formula>D7=Код4</formula>
    </cfRule>
    <cfRule type="expression" dxfId="251" priority="5" stopIfTrue="1">
      <formula>D7=Код3</formula>
    </cfRule>
    <cfRule type="expression" dxfId="250" priority="6" stopIfTrue="1">
      <formula>D7=Код1</formula>
    </cfRule>
  </conditionalFormatting>
  <dataValidations count="1">
    <dataValidation type="list" errorStyle="warning" allowBlank="1" showInputMessage="1" showErrorMessage="1" errorTitle="Отакої!" error="У списку студентів немає введеного коду. Ви можете натиснути кнопку ''Так'' і залишити введений код, але у звіті про відвідуваність він буде недоступний." sqref="B7:B11">
      <formula1>Ідентифікаторстудента</formula1>
    </dataValidation>
  </dataValidations>
  <printOptions horizontalCentered="1"/>
  <pageMargins left="0.5" right="0.5" top="0.75" bottom="0.75" header="0.3" footer="0.3"/>
  <pageSetup paperSize="9" scale="59"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75C44B9-B707-434A-A9F0-95252D34B3EF}">
            <x14:dataBar minLength="0" maxLength="100" border="1" negativeBarBorderColorSameAsPositive="0">
              <x14:cfvo type="autoMin"/>
              <x14:cfvo type="num">
                <xm:f>DATEDIF(DATE(Календарнийрік,2,1),DATE(Календарнийрік,3,1),"d")</xm:f>
              </x14:cfvo>
              <x14:borderColor theme="4"/>
              <x14:negativeFillColor rgb="FFFF0000"/>
              <x14:negativeBorderColor rgb="FFFF0000"/>
              <x14:axisColor rgb="FF000000"/>
            </x14:dataBar>
          </x14:cfRule>
          <xm:sqref>AM7:AM11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3.42578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4.7109375" style="11" bestFit="1" customWidth="1"/>
    <col min="40" max="16384" width="9.140625" style="11"/>
  </cols>
  <sheetData>
    <row r="1" spans="1:39" s="1" customFormat="1" ht="42" customHeight="1" x14ac:dyDescent="0.25">
      <c r="A1" s="36" t="s">
        <v>89</v>
      </c>
      <c r="B1" s="37"/>
      <c r="C1" s="37"/>
      <c r="D1" s="38"/>
      <c r="E1" s="38"/>
      <c r="F1" s="38"/>
      <c r="G1" s="38"/>
      <c r="H1" s="38"/>
      <c r="I1" s="38"/>
      <c r="J1" s="38"/>
      <c r="K1" s="38"/>
      <c r="L1" s="38"/>
      <c r="M1" s="38"/>
      <c r="N1" s="38"/>
      <c r="O1" s="38"/>
      <c r="P1" s="38"/>
      <c r="Q1" s="38"/>
      <c r="R1" s="38"/>
      <c r="S1" s="38"/>
      <c r="T1" s="38"/>
      <c r="U1" s="38"/>
      <c r="V1" s="38"/>
      <c r="W1" s="38"/>
      <c r="X1" s="38"/>
      <c r="Y1" s="38"/>
      <c r="Z1" s="38"/>
      <c r="AA1" s="38"/>
      <c r="AB1" s="38"/>
      <c r="AC1" s="37"/>
      <c r="AD1" s="37"/>
      <c r="AE1" s="37"/>
      <c r="AF1" s="37"/>
      <c r="AG1" s="39"/>
      <c r="AH1" s="37"/>
      <c r="AI1" s="37"/>
      <c r="AJ1" s="40"/>
      <c r="AK1" s="37"/>
      <c r="AL1" s="56" t="s">
        <v>72</v>
      </c>
      <c r="AM1" s="57">
        <f>Календарнийрік</f>
        <v>2012</v>
      </c>
    </row>
    <row r="2" spans="1:39" customFormat="1" ht="13.5" x14ac:dyDescent="0.25"/>
    <row r="3" spans="1:39" s="28" customFormat="1" ht="12.75" customHeight="1" x14ac:dyDescent="0.25">
      <c r="C3" s="43" t="str">
        <f>Текстпоясненьдокольорів</f>
        <v>ПОЯСНЕННЯ ДО КОЛЬОРІВ</v>
      </c>
      <c r="D3" s="50" t="str">
        <f>Код1</f>
        <v>З</v>
      </c>
      <c r="E3" s="67" t="str">
        <f>Код1текст</f>
        <v>Запізнення</v>
      </c>
      <c r="F3" s="58"/>
      <c r="H3" s="51" t="str">
        <f>Код2</f>
        <v>ПП</v>
      </c>
      <c r="I3" s="55" t="str">
        <f>Код2текст</f>
        <v>Поважна причина</v>
      </c>
      <c r="M3" s="52" t="str">
        <f>Код3</f>
        <v>П</v>
      </c>
      <c r="N3" s="55" t="str">
        <f>Код3текст</f>
        <v>Прогул</v>
      </c>
      <c r="Q3" s="53" t="str">
        <f>Код4</f>
        <v>Н</v>
      </c>
      <c r="R3" s="55" t="str">
        <f>Код4текст</f>
        <v>На місці</v>
      </c>
      <c r="U3" s="54" t="str">
        <f>Код5</f>
        <v>В</v>
      </c>
      <c r="V3" s="55" t="str">
        <f>Код5текст</f>
        <v>Вихідний</v>
      </c>
      <c r="X3"/>
      <c r="Y3"/>
      <c r="AD3" s="27"/>
      <c r="AE3" s="27"/>
      <c r="AH3" s="29"/>
      <c r="AI3" s="30"/>
      <c r="AK3" s="31"/>
    </row>
    <row r="4" spans="1:39" customFormat="1" ht="16.5" customHeight="1" x14ac:dyDescent="0.25"/>
    <row r="5" spans="1:39" s="2" customFormat="1" ht="18" customHeight="1" x14ac:dyDescent="0.3">
      <c r="B5" s="60">
        <f>DATE(Календарнийрік+1,6,1)</f>
        <v>41426</v>
      </c>
      <c r="C5" s="59"/>
      <c r="D5" s="41" t="str">
        <f>TEXT(WEEKDAY(DATE(Календарнийрік+1,6,1),1),"aaa")</f>
        <v>Сб</v>
      </c>
      <c r="E5" s="41" t="str">
        <f>TEXT(WEEKDAY(DATE(Календарнийрік+1,6,2),1),"aaa")</f>
        <v>Нд</v>
      </c>
      <c r="F5" s="41" t="str">
        <f>TEXT(WEEKDAY(DATE(Календарнийрік+1,6,3),1),"aaa")</f>
        <v>Пн</v>
      </c>
      <c r="G5" s="41" t="str">
        <f>TEXT(WEEKDAY(DATE(Календарнийрік+1,6,4),1),"aaa")</f>
        <v>Вт</v>
      </c>
      <c r="H5" s="41" t="str">
        <f>TEXT(WEEKDAY(DATE(Календарнийрік+1,6,5),1),"aaa")</f>
        <v>Ср</v>
      </c>
      <c r="I5" s="41" t="str">
        <f>TEXT(WEEKDAY(DATE(Календарнийрік+1,6,6),1),"aaa")</f>
        <v>Чт</v>
      </c>
      <c r="J5" s="41" t="str">
        <f>TEXT(WEEKDAY(DATE(Календарнийрік+1,6,7),1),"aaa")</f>
        <v>Пт</v>
      </c>
      <c r="K5" s="41" t="str">
        <f>TEXT(WEEKDAY(DATE(Календарнийрік+1,6,8),1),"aaa")</f>
        <v>Сб</v>
      </c>
      <c r="L5" s="41" t="str">
        <f>TEXT(WEEKDAY(DATE(Календарнийрік+1,6,9),1),"aaa")</f>
        <v>Нд</v>
      </c>
      <c r="M5" s="41" t="str">
        <f>TEXT(WEEKDAY(DATE(Календарнийрік+1,6,10),1),"aaa")</f>
        <v>Пн</v>
      </c>
      <c r="N5" s="41" t="str">
        <f>TEXT(WEEKDAY(DATE(Календарнийрік+1,6,11),1),"aaa")</f>
        <v>Вт</v>
      </c>
      <c r="O5" s="41" t="str">
        <f>TEXT(WEEKDAY(DATE(Календарнийрік+1,6,12),1),"aaa")</f>
        <v>Ср</v>
      </c>
      <c r="P5" s="41" t="str">
        <f>TEXT(WEEKDAY(DATE(Календарнийрік+1,6,13),1),"aaa")</f>
        <v>Чт</v>
      </c>
      <c r="Q5" s="41" t="str">
        <f>TEXT(WEEKDAY(DATE(Календарнийрік+1,6,14),1),"aaa")</f>
        <v>Пт</v>
      </c>
      <c r="R5" s="41" t="str">
        <f>TEXT(WEEKDAY(DATE(Календарнийрік+1,6,15),1),"aaa")</f>
        <v>Сб</v>
      </c>
      <c r="S5" s="41" t="str">
        <f>TEXT(WEEKDAY(DATE(Календарнийрік+1,6,16),1),"aaa")</f>
        <v>Нд</v>
      </c>
      <c r="T5" s="41" t="str">
        <f>TEXT(WEEKDAY(DATE(Календарнийрік+1,6,17),1),"aaa")</f>
        <v>Пн</v>
      </c>
      <c r="U5" s="41" t="str">
        <f>TEXT(WEEKDAY(DATE(Календарнийрік+1,6,18),1),"aaa")</f>
        <v>Вт</v>
      </c>
      <c r="V5" s="41" t="str">
        <f>TEXT(WEEKDAY(DATE(Календарнийрік+1,6,19),1),"aaa")</f>
        <v>Ср</v>
      </c>
      <c r="W5" s="41" t="str">
        <f>TEXT(WEEKDAY(DATE(Календарнийрік+1,6,20),1),"aaa")</f>
        <v>Чт</v>
      </c>
      <c r="X5" s="41" t="str">
        <f>TEXT(WEEKDAY(DATE(Календарнийрік+1,6,21),1),"aaa")</f>
        <v>Пт</v>
      </c>
      <c r="Y5" s="41" t="str">
        <f>TEXT(WEEKDAY(DATE(Календарнийрік+1,6,22),1),"aaa")</f>
        <v>Сб</v>
      </c>
      <c r="Z5" s="41" t="str">
        <f>TEXT(WEEKDAY(DATE(Календарнийрік+1,6,23),1),"aaa")</f>
        <v>Нд</v>
      </c>
      <c r="AA5" s="41" t="str">
        <f>TEXT(WEEKDAY(DATE(Календарнийрік+1,6,24),1),"aaa")</f>
        <v>Пн</v>
      </c>
      <c r="AB5" s="41" t="str">
        <f>TEXT(WEEKDAY(DATE(Календарнийрік+1,6,25),1),"aaa")</f>
        <v>Вт</v>
      </c>
      <c r="AC5" s="41" t="str">
        <f>TEXT(WEEKDAY(DATE(Календарнийрік+1,6,26),1),"aaa")</f>
        <v>Ср</v>
      </c>
      <c r="AD5" s="41" t="str">
        <f>TEXT(WEEKDAY(DATE(Календарнийрік+1,6,27),1),"aaa")</f>
        <v>Чт</v>
      </c>
      <c r="AE5" s="41" t="str">
        <f>TEXT(WEEKDAY(DATE(Календарнийрік+1,6,28),1),"aaa")</f>
        <v>Пт</v>
      </c>
      <c r="AF5" s="41" t="str">
        <f>TEXT(WEEKDAY(DATE(Календарнийрік+1,6,29),1),"aaa")</f>
        <v>Сб</v>
      </c>
      <c r="AG5" s="41" t="str">
        <f>TEXT(WEEKDAY(DATE(Календарнийрік+1,6,30),1),"aaa")</f>
        <v>Нд</v>
      </c>
      <c r="AH5" s="41"/>
      <c r="AI5" s="131" t="s">
        <v>41</v>
      </c>
      <c r="AJ5" s="131"/>
      <c r="AK5" s="131"/>
      <c r="AL5" s="131"/>
      <c r="AM5" s="131"/>
    </row>
    <row r="6" spans="1:39" ht="14.25" customHeight="1" x14ac:dyDescent="0.25">
      <c r="B6" s="24" t="s">
        <v>34</v>
      </c>
      <c r="C6" s="25" t="s">
        <v>36</v>
      </c>
      <c r="D6" s="26" t="s">
        <v>0</v>
      </c>
      <c r="E6" s="26" t="s">
        <v>1</v>
      </c>
      <c r="F6" s="26" t="s">
        <v>2</v>
      </c>
      <c r="G6" s="26" t="s">
        <v>3</v>
      </c>
      <c r="H6" s="26" t="s">
        <v>4</v>
      </c>
      <c r="I6" s="26" t="s">
        <v>5</v>
      </c>
      <c r="J6" s="26" t="s">
        <v>6</v>
      </c>
      <c r="K6" s="26" t="s">
        <v>7</v>
      </c>
      <c r="L6" s="26" t="s">
        <v>8</v>
      </c>
      <c r="M6" s="26" t="s">
        <v>9</v>
      </c>
      <c r="N6" s="26" t="s">
        <v>10</v>
      </c>
      <c r="O6" s="26" t="s">
        <v>11</v>
      </c>
      <c r="P6" s="26" t="s">
        <v>12</v>
      </c>
      <c r="Q6" s="26" t="s">
        <v>13</v>
      </c>
      <c r="R6" s="26" t="s">
        <v>14</v>
      </c>
      <c r="S6" s="26" t="s">
        <v>15</v>
      </c>
      <c r="T6" s="26" t="s">
        <v>16</v>
      </c>
      <c r="U6" s="26" t="s">
        <v>17</v>
      </c>
      <c r="V6" s="26" t="s">
        <v>18</v>
      </c>
      <c r="W6" s="26" t="s">
        <v>19</v>
      </c>
      <c r="X6" s="26" t="s">
        <v>20</v>
      </c>
      <c r="Y6" s="26" t="s">
        <v>21</v>
      </c>
      <c r="Z6" s="26" t="s">
        <v>22</v>
      </c>
      <c r="AA6" s="26" t="s">
        <v>23</v>
      </c>
      <c r="AB6" s="26" t="s">
        <v>24</v>
      </c>
      <c r="AC6" s="26" t="s">
        <v>25</v>
      </c>
      <c r="AD6" s="26" t="s">
        <v>26</v>
      </c>
      <c r="AE6" s="26" t="s">
        <v>27</v>
      </c>
      <c r="AF6" s="26" t="s">
        <v>28</v>
      </c>
      <c r="AG6" s="26" t="s">
        <v>29</v>
      </c>
      <c r="AH6" s="26" t="s">
        <v>117</v>
      </c>
      <c r="AI6" s="71" t="s">
        <v>37</v>
      </c>
      <c r="AJ6" s="35" t="s">
        <v>39</v>
      </c>
      <c r="AK6" s="34" t="s">
        <v>38</v>
      </c>
      <c r="AL6" s="32" t="s">
        <v>31</v>
      </c>
      <c r="AM6" t="s">
        <v>40</v>
      </c>
    </row>
    <row r="7" spans="1:39" ht="16.5" customHeight="1" x14ac:dyDescent="0.25">
      <c r="B7" s="23"/>
      <c r="C7" s="19" t="str">
        <f>IFERROR(VLOOKUP(Відвідуваністьзачервень[[#This Row],[Код студента]],Перелікстудентів[],18,FALSE),"")</f>
        <v/>
      </c>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2"/>
      <c r="AG7" s="3"/>
      <c r="AH7" s="3"/>
      <c r="AI7" s="33">
        <f>COUNTIF(Відвідуваністьзачервень[[#This Row],[1]:[ ]],Код1)</f>
        <v>0</v>
      </c>
      <c r="AJ7" s="33">
        <f>COUNTIF(Відвідуваністьзачервень[[#This Row],[1]:[ ]],Код2)</f>
        <v>0</v>
      </c>
      <c r="AK7" s="33">
        <f>COUNTIF(Відвідуваністьзачервень[[#This Row],[1]:[ ]],Код3)</f>
        <v>0</v>
      </c>
      <c r="AL7" s="33">
        <f>COUNTIF(Відвідуваністьзачервень[[#This Row],[1]:[ ]],Код4)</f>
        <v>0</v>
      </c>
      <c r="AM7" s="6">
        <f>SUM(Відвідуваністьзавересень[[#This Row],[ПП]:[П]])</f>
        <v>0</v>
      </c>
    </row>
    <row r="8" spans="1:39" ht="16.5" customHeight="1" x14ac:dyDescent="0.25">
      <c r="B8" s="23"/>
      <c r="C8" s="19" t="str">
        <f>IFERROR(VLOOKUP(Відвідуваністьзачервень[[#This Row],[Код студента]],Перелікстудентів[],18,FALSE),"")</f>
        <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2"/>
      <c r="AG8" s="3"/>
      <c r="AH8" s="3"/>
      <c r="AI8" s="33">
        <f>COUNTIF(Відвідуваністьзачервень[[#This Row],[1]:[ ]],Код1)</f>
        <v>0</v>
      </c>
      <c r="AJ8" s="33">
        <f>COUNTIF(Відвідуваністьзачервень[[#This Row],[1]:[ ]],Код2)</f>
        <v>0</v>
      </c>
      <c r="AK8" s="33">
        <f>COUNTIF(Відвідуваністьзачервень[[#This Row],[1]:[ ]],Код3)</f>
        <v>0</v>
      </c>
      <c r="AL8" s="33">
        <f>COUNTIF(Відвідуваністьзачервень[[#This Row],[1]:[ ]],Код4)</f>
        <v>0</v>
      </c>
      <c r="AM8" s="6">
        <f>SUM(Відвідуваністьзавересень[[#This Row],[ПП]:[П]])</f>
        <v>0</v>
      </c>
    </row>
    <row r="9" spans="1:39" ht="16.5" customHeight="1" x14ac:dyDescent="0.25">
      <c r="B9" s="23"/>
      <c r="C9" s="19" t="str">
        <f>IFERROR(VLOOKUP(Відвідуваністьзачервень[[#This Row],[Код студента]],Перелікстудентів[],18,FALSE),"")</f>
        <v/>
      </c>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2"/>
      <c r="AG9" s="3"/>
      <c r="AH9" s="3"/>
      <c r="AI9" s="33">
        <f>COUNTIF(Відвідуваністьзачервень[[#This Row],[1]:[ ]],Код1)</f>
        <v>0</v>
      </c>
      <c r="AJ9" s="33">
        <f>COUNTIF(Відвідуваністьзачервень[[#This Row],[1]:[ ]],Код2)</f>
        <v>0</v>
      </c>
      <c r="AK9" s="33">
        <f>COUNTIF(Відвідуваністьзачервень[[#This Row],[1]:[ ]],Код3)</f>
        <v>0</v>
      </c>
      <c r="AL9" s="33">
        <f>COUNTIF(Відвідуваністьзачервень[[#This Row],[1]:[ ]],Код4)</f>
        <v>0</v>
      </c>
      <c r="AM9" s="6">
        <f>SUM(Відвідуваністьзавересень[[#This Row],[ПП]:[П]])</f>
        <v>0</v>
      </c>
    </row>
    <row r="10" spans="1:39" ht="16.5" customHeight="1" x14ac:dyDescent="0.25">
      <c r="B10" s="23"/>
      <c r="C10" s="19" t="str">
        <f>IFERROR(VLOOKUP(Відвідуваністьзачервень[[#This Row],[Код студента]],Перелікстудентів[],18,FALSE),"")</f>
        <v/>
      </c>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2"/>
      <c r="AG10" s="3"/>
      <c r="AH10" s="3"/>
      <c r="AI10" s="33">
        <f>COUNTIF(Відвідуваністьзачервень[[#This Row],[1]:[ ]],Код1)</f>
        <v>0</v>
      </c>
      <c r="AJ10" s="33">
        <f>COUNTIF(Відвідуваністьзачервень[[#This Row],[1]:[ ]],Код2)</f>
        <v>0</v>
      </c>
      <c r="AK10" s="33">
        <f>COUNTIF(Відвідуваністьзачервень[[#This Row],[1]:[ ]],Код3)</f>
        <v>0</v>
      </c>
      <c r="AL10" s="33">
        <f>COUNTIF(Відвідуваністьзачервень[[#This Row],[1]:[ ]],Код4)</f>
        <v>0</v>
      </c>
      <c r="AM10" s="6">
        <f>SUM(Відвідуваністьзавересень[[#This Row],[ПП]:[П]])</f>
        <v>0</v>
      </c>
    </row>
    <row r="11" spans="1:39" ht="16.5" customHeight="1" x14ac:dyDescent="0.25">
      <c r="B11" s="23"/>
      <c r="C11" s="19" t="str">
        <f>IFERROR(VLOOKUP(Відвідуваністьзачервень[[#This Row],[Код студента]],Перелікстудентів[],18,FALSE),"")</f>
        <v/>
      </c>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2"/>
      <c r="AG11" s="3"/>
      <c r="AH11" s="3"/>
      <c r="AI11" s="33">
        <f>COUNTIF(Відвідуваністьзачервень[[#This Row],[1]:[ ]],Код1)</f>
        <v>0</v>
      </c>
      <c r="AJ11" s="33">
        <f>COUNTIF(Відвідуваністьзачервень[[#This Row],[1]:[ ]],Код2)</f>
        <v>0</v>
      </c>
      <c r="AK11" s="33">
        <f>COUNTIF(Відвідуваністьзачервень[[#This Row],[1]:[ ]],Код3)</f>
        <v>0</v>
      </c>
      <c r="AL11" s="33">
        <f>COUNTIF(Відвідуваністьзачервень[[#This Row],[1]:[ ]],Код4)</f>
        <v>0</v>
      </c>
      <c r="AM11" s="6">
        <f>SUM(Відвідуваністьзавересень[[#This Row],[ПП]:[П]])</f>
        <v>0</v>
      </c>
    </row>
    <row r="12" spans="1:39" ht="16.5" customHeight="1" x14ac:dyDescent="0.25">
      <c r="B12" s="113"/>
      <c r="C12" s="114" t="s">
        <v>118</v>
      </c>
      <c r="D12" s="115">
        <f>COUNTIF(Відвідуваністьзачервень[1],"П")+COUNTIF(Відвідуваністьзачервень[1],"ПП")</f>
        <v>0</v>
      </c>
      <c r="E12" s="115">
        <f>COUNTIF(Відвідуваністьзачервень[2],"П")+COUNTIF(Відвідуваністьзачервень[2],"ПП")</f>
        <v>0</v>
      </c>
      <c r="F12" s="115">
        <f>COUNTIF(Відвідуваністьзачервень[3],"П")+COUNTIF(Відвідуваністьзачервень[3],"ПП")</f>
        <v>0</v>
      </c>
      <c r="G12" s="115">
        <f>COUNTIF(Відвідуваністьзачервень[4],"П")+COUNTIF(Відвідуваністьзачервень[4],"ПП")</f>
        <v>0</v>
      </c>
      <c r="H12" s="115">
        <f>COUNTIF(Відвідуваністьзачервень[5],"П")+COUNTIF(Відвідуваністьзачервень[5],"ПП")</f>
        <v>0</v>
      </c>
      <c r="I12" s="115">
        <f>COUNTIF(Відвідуваністьзачервень[6],"П")+COUNTIF(Відвідуваністьзачервень[6],"ПП")</f>
        <v>0</v>
      </c>
      <c r="J12" s="115">
        <f>COUNTIF(Відвідуваністьзачервень[7],"П")+COUNTIF(Відвідуваністьзачервень[7],"ПП")</f>
        <v>0</v>
      </c>
      <c r="K12" s="115">
        <f>COUNTIF(Відвідуваністьзачервень[8],"П")+COUNTIF(Відвідуваністьзачервень[8],"ПП")</f>
        <v>0</v>
      </c>
      <c r="L12" s="115">
        <f>COUNTIF(Відвідуваністьзачервень[9],"П")+COUNTIF(Відвідуваністьзачервень[9],"ПП")</f>
        <v>0</v>
      </c>
      <c r="M12" s="115">
        <f>COUNTIF(Відвідуваністьзачервень[10],"П")+COUNTIF(Відвідуваністьзачервень[10],"ПП")</f>
        <v>0</v>
      </c>
      <c r="N12" s="115">
        <f>COUNTIF(Відвідуваністьзачервень[11],"П")+COUNTIF(Відвідуваністьзачервень[11],"ПП")</f>
        <v>0</v>
      </c>
      <c r="O12" s="115">
        <f>COUNTIF(Відвідуваністьзачервень[12],"П")+COUNTIF(Відвідуваністьзачервень[12],"ПП")</f>
        <v>0</v>
      </c>
      <c r="P12" s="115">
        <f>COUNTIF(Відвідуваністьзачервень[13],"П")+COUNTIF(Відвідуваністьзачервень[13],"ПП")</f>
        <v>0</v>
      </c>
      <c r="Q12" s="115">
        <f>COUNTIF(Відвідуваністьзачервень[14],"П")+COUNTIF(Відвідуваністьзачервень[14],"ПП")</f>
        <v>0</v>
      </c>
      <c r="R12" s="115">
        <f>COUNTIF(Відвідуваністьзачервень[15],"П")+COUNTIF(Відвідуваністьзачервень[15],"ПП")</f>
        <v>0</v>
      </c>
      <c r="S12" s="115">
        <f>COUNTIF(Відвідуваністьзачервень[16],"П")+COUNTIF(Відвідуваністьзачервень[16],"ПП")</f>
        <v>0</v>
      </c>
      <c r="T12" s="115">
        <f>COUNTIF(Відвідуваністьзачервень[17],"П")+COUNTIF(Відвідуваністьзачервень[17],"ПП")</f>
        <v>0</v>
      </c>
      <c r="U12" s="115">
        <f>COUNTIF(Відвідуваністьзачервень[18],"П")+COUNTIF(Відвідуваністьзачервень[18],"ПП")</f>
        <v>0</v>
      </c>
      <c r="V12" s="115">
        <f>COUNTIF(Відвідуваністьзачервень[19],"П")+COUNTIF(Відвідуваністьзачервень[19],"ПП")</f>
        <v>0</v>
      </c>
      <c r="W12" s="115">
        <f>COUNTIF(Відвідуваністьзачервень[20],"П")+COUNTIF(Відвідуваністьзачервень[20],"ПП")</f>
        <v>0</v>
      </c>
      <c r="X12" s="115">
        <f>COUNTIF(Відвідуваністьзачервень[21],"П")+COUNTIF(Відвідуваністьзачервень[21],"ПП")</f>
        <v>0</v>
      </c>
      <c r="Y12" s="115">
        <f>COUNTIF(Відвідуваністьзачервень[22],"П")+COUNTIF(Відвідуваністьзачервень[22],"ПП")</f>
        <v>0</v>
      </c>
      <c r="Z12" s="115">
        <f>COUNTIF(Відвідуваністьзачервень[23],"П")+COUNTIF(Відвідуваністьзачервень[23],"ПП")</f>
        <v>0</v>
      </c>
      <c r="AA12" s="115">
        <f>COUNTIF(Відвідуваністьзачервень[24],"П")+COUNTIF(Відвідуваністьзачервень[24],"ПП")</f>
        <v>0</v>
      </c>
      <c r="AB12" s="115">
        <f>COUNTIF(Відвідуваністьзачервень[25],"П")+COUNTIF(Відвідуваністьзачервень[25],"ПП")</f>
        <v>0</v>
      </c>
      <c r="AC12" s="115">
        <f>COUNTIF(Відвідуваністьзачервень[26],"П")+COUNTIF(Відвідуваністьзачервень[26],"ПП")</f>
        <v>0</v>
      </c>
      <c r="AD12" s="115">
        <f>COUNTIF(Відвідуваністьзачервень[27],"П")+COUNTIF(Відвідуваністьзачервень[27],"ПП")</f>
        <v>0</v>
      </c>
      <c r="AE12" s="115">
        <f>COUNTIF(Відвідуваністьзачервень[28],"П")+COUNTIF(Відвідуваністьзачервень[28],"ПП")</f>
        <v>0</v>
      </c>
      <c r="AF12" s="115">
        <f>COUNTIF(Відвідуваністьзачервень[29],"П")+COUNTIF(Відвідуваністьзачервень[29],"ПП")</f>
        <v>0</v>
      </c>
      <c r="AG12" s="115">
        <f>COUNTIF(Відвідуваністьзачервень[30],"П")+COUNTIF(Відвідуваністьзачервень[30],"ПП")</f>
        <v>0</v>
      </c>
      <c r="AH12" s="115">
        <f>COUNTIF(Відвідуваністьзачервень[[ ]],"П")+COUNTIF(Відвідуваністьзачервень[[ ]],"ПП")</f>
        <v>0</v>
      </c>
      <c r="AI12" s="115">
        <f>SUBTOTAL(109,Відвідуваністьзачервень[З])</f>
        <v>0</v>
      </c>
      <c r="AJ12" s="115">
        <f>SUBTOTAL(109,Відвідуваністьзачервень[ПП])</f>
        <v>0</v>
      </c>
      <c r="AK12" s="115">
        <f>SUBTOTAL(109,Відвідуваністьзачервень[П])</f>
        <v>0</v>
      </c>
      <c r="AL12" s="115">
        <f>SUBTOTAL(109,Відвідуваністьзачервень[Н])</f>
        <v>0</v>
      </c>
      <c r="AM12" s="115">
        <f>SUBTOTAL(109,Відвідуваністьзачервень[Відсутність, дн.])</f>
        <v>0</v>
      </c>
    </row>
    <row r="14" spans="1:39" ht="16.5" customHeight="1" x14ac:dyDescent="0.25"/>
    <row r="15" spans="1:39" ht="16.5" customHeight="1" x14ac:dyDescent="0.25"/>
    <row r="16" spans="1:39"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1">
      <dataBar>
        <cfvo type="min"/>
        <cfvo type="num" val="DATEDIF(DATE(Календарнийрік,2,1),DATE(Календарнийрік,3,1),&quot;d&quot;)"/>
        <color theme="4"/>
      </dataBar>
      <extLst>
        <ext xmlns:x14="http://schemas.microsoft.com/office/spreadsheetml/2009/9/main" uri="{B025F937-C7B1-47D3-B67F-A62EFF666E3E}">
          <x14:id>{22C67C28-76AD-46BA-A7A2-13A61F3247FE}</x14:id>
        </ext>
      </extLst>
    </cfRule>
  </conditionalFormatting>
  <conditionalFormatting sqref="D7:AF11">
    <cfRule type="expression" dxfId="171" priority="2" stopIfTrue="1">
      <formula>D7=Код2</formula>
    </cfRule>
  </conditionalFormatting>
  <conditionalFormatting sqref="D7:AF11">
    <cfRule type="expression" dxfId="170" priority="3" stopIfTrue="1">
      <formula>D7=Код5</formula>
    </cfRule>
    <cfRule type="expression" dxfId="169" priority="4" stopIfTrue="1">
      <formula>D7=Код4</formula>
    </cfRule>
    <cfRule type="expression" dxfId="168" priority="5" stopIfTrue="1">
      <formula>D7=Код3</formula>
    </cfRule>
    <cfRule type="expression" dxfId="167" priority="6" stopIfTrue="1">
      <formula>D7=Код1</formula>
    </cfRule>
  </conditionalFormatting>
  <dataValidations count="1">
    <dataValidation type="list" errorStyle="warning" allowBlank="1" showInputMessage="1" showErrorMessage="1" errorTitle="Отакої!" error="У списку студентів немає введеного коду. Ви можете натиснути кнопку ''Так'' і залишити введений код, але у звіті про відвідуваність він буде недоступний." sqref="B7:B11">
      <formula1>Ідентифікаторстудента</formula1>
    </dataValidation>
  </dataValidations>
  <printOptions horizontalCentered="1"/>
  <pageMargins left="0.5" right="0.5" top="0.75" bottom="0.75" header="0.3" footer="0.3"/>
  <pageSetup paperSize="9" scale="59"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2C67C28-76AD-46BA-A7A2-13A61F3247FE}">
            <x14:dataBar minLength="0" maxLength="100" border="1" negativeBarBorderColorSameAsPositive="0">
              <x14:cfvo type="autoMin"/>
              <x14:cfvo type="num">
                <xm:f>DATEDIF(DATE(Календарнийрік,2,1),DATE(Календарнийрік,3,1),"d")</xm:f>
              </x14:cfvo>
              <x14:borderColor theme="4"/>
              <x14:negativeFillColor rgb="FFFF0000"/>
              <x14:negativeBorderColor rgb="FFFF0000"/>
              <x14:axisColor rgb="FF000000"/>
            </x14:dataBar>
          </x14:cfRule>
          <xm:sqref>AM7:AM11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3.42578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4.7109375" style="11" bestFit="1" customWidth="1"/>
    <col min="40" max="16384" width="9.140625" style="11"/>
  </cols>
  <sheetData>
    <row r="1" spans="1:39" s="1" customFormat="1" ht="42" customHeight="1" x14ac:dyDescent="0.25">
      <c r="A1" s="36" t="s">
        <v>89</v>
      </c>
      <c r="B1" s="37"/>
      <c r="C1" s="37"/>
      <c r="D1" s="38"/>
      <c r="E1" s="38"/>
      <c r="F1" s="38"/>
      <c r="G1" s="38"/>
      <c r="H1" s="38"/>
      <c r="I1" s="38"/>
      <c r="J1" s="38"/>
      <c r="K1" s="38"/>
      <c r="L1" s="38"/>
      <c r="M1" s="38"/>
      <c r="N1" s="38"/>
      <c r="O1" s="38"/>
      <c r="P1" s="38"/>
      <c r="Q1" s="38"/>
      <c r="R1" s="38"/>
      <c r="S1" s="38"/>
      <c r="T1" s="38"/>
      <c r="U1" s="38"/>
      <c r="V1" s="38"/>
      <c r="W1" s="38"/>
      <c r="X1" s="38"/>
      <c r="Y1" s="38"/>
      <c r="Z1" s="38"/>
      <c r="AA1" s="38"/>
      <c r="AB1" s="38"/>
      <c r="AC1" s="37"/>
      <c r="AD1" s="37"/>
      <c r="AE1" s="37"/>
      <c r="AF1" s="37"/>
      <c r="AG1" s="39"/>
      <c r="AH1" s="37"/>
      <c r="AI1" s="37"/>
      <c r="AJ1" s="40"/>
      <c r="AK1" s="37"/>
      <c r="AL1" s="56" t="s">
        <v>72</v>
      </c>
      <c r="AM1" s="57">
        <f>Календарнийрік</f>
        <v>2012</v>
      </c>
    </row>
    <row r="2" spans="1:39" customFormat="1" ht="13.5" x14ac:dyDescent="0.25"/>
    <row r="3" spans="1:39" s="28" customFormat="1" ht="12.75" customHeight="1" x14ac:dyDescent="0.25">
      <c r="C3" s="43" t="str">
        <f>Текстпоясненьдокольорів</f>
        <v>ПОЯСНЕННЯ ДО КОЛЬОРІВ</v>
      </c>
      <c r="D3" s="50" t="str">
        <f>Код1</f>
        <v>З</v>
      </c>
      <c r="E3" s="67" t="str">
        <f>Код1текст</f>
        <v>Запізнення</v>
      </c>
      <c r="F3" s="58"/>
      <c r="H3" s="51" t="str">
        <f>Код2</f>
        <v>ПП</v>
      </c>
      <c r="I3" s="55" t="str">
        <f>Код2текст</f>
        <v>Поважна причина</v>
      </c>
      <c r="M3" s="52" t="str">
        <f>Код3</f>
        <v>П</v>
      </c>
      <c r="N3" s="55" t="str">
        <f>Код3текст</f>
        <v>Прогул</v>
      </c>
      <c r="Q3" s="53" t="str">
        <f>Код4</f>
        <v>Н</v>
      </c>
      <c r="R3" s="55" t="str">
        <f>Код4текст</f>
        <v>На місці</v>
      </c>
      <c r="U3" s="54" t="str">
        <f>Код5</f>
        <v>В</v>
      </c>
      <c r="V3" s="55" t="str">
        <f>Код5текст</f>
        <v>Вихідний</v>
      </c>
      <c r="W3"/>
      <c r="X3"/>
      <c r="Y3"/>
      <c r="AD3" s="27"/>
      <c r="AE3" s="27"/>
      <c r="AH3" s="29"/>
      <c r="AI3" s="30"/>
      <c r="AK3" s="31"/>
    </row>
    <row r="4" spans="1:39" customFormat="1" ht="16.5" customHeight="1" x14ac:dyDescent="0.25"/>
    <row r="5" spans="1:39" s="2" customFormat="1" ht="18" customHeight="1" x14ac:dyDescent="0.3">
      <c r="B5" s="60">
        <f>DATE(Календарнийрік+1,7,1)</f>
        <v>41456</v>
      </c>
      <c r="C5" s="59"/>
      <c r="D5" s="41" t="str">
        <f>TEXT(WEEKDAY(DATE(Календарнийрік+1,7,1),1),"aaa")</f>
        <v>Пн</v>
      </c>
      <c r="E5" s="41" t="str">
        <f>TEXT(WEEKDAY(DATE(Календарнийрік+1,7,2),1),"aaa")</f>
        <v>Вт</v>
      </c>
      <c r="F5" s="41" t="str">
        <f>TEXT(WEEKDAY(DATE(Календарнийрік+1,7,3),1),"aaa")</f>
        <v>Ср</v>
      </c>
      <c r="G5" s="41" t="str">
        <f>TEXT(WEEKDAY(DATE(Календарнийрік+1,7,4),1),"aaa")</f>
        <v>Чт</v>
      </c>
      <c r="H5" s="41" t="str">
        <f>TEXT(WEEKDAY(DATE(Календарнийрік+1,7,5),1),"aaa")</f>
        <v>Пт</v>
      </c>
      <c r="I5" s="41" t="str">
        <f>TEXT(WEEKDAY(DATE(Календарнийрік+1,7,6),1),"aaa")</f>
        <v>Сб</v>
      </c>
      <c r="J5" s="41" t="str">
        <f>TEXT(WEEKDAY(DATE(Календарнийрік+1,7,7),1),"aaa")</f>
        <v>Нд</v>
      </c>
      <c r="K5" s="41" t="str">
        <f>TEXT(WEEKDAY(DATE(Календарнийрік+1,7,8),1),"aaa")</f>
        <v>Пн</v>
      </c>
      <c r="L5" s="41" t="str">
        <f>TEXT(WEEKDAY(DATE(Календарнийрік+1,7,9),1),"aaa")</f>
        <v>Вт</v>
      </c>
      <c r="M5" s="41" t="str">
        <f>TEXT(WEEKDAY(DATE(Календарнийрік+1,7,10),1),"aaa")</f>
        <v>Ср</v>
      </c>
      <c r="N5" s="41" t="str">
        <f>TEXT(WEEKDAY(DATE(Календарнийрік+1,7,11),1),"aaa")</f>
        <v>Чт</v>
      </c>
      <c r="O5" s="41" t="str">
        <f>TEXT(WEEKDAY(DATE(Календарнийрік+1,7,12),1),"aaa")</f>
        <v>Пт</v>
      </c>
      <c r="P5" s="41" t="str">
        <f>TEXT(WEEKDAY(DATE(Календарнийрік+1,7,13),1),"aaa")</f>
        <v>Сб</v>
      </c>
      <c r="Q5" s="41" t="str">
        <f>TEXT(WEEKDAY(DATE(Календарнийрік+1,7,14),1),"aaa")</f>
        <v>Нд</v>
      </c>
      <c r="R5" s="41" t="str">
        <f>TEXT(WEEKDAY(DATE(Календарнийрік+1,7,15),1),"aaa")</f>
        <v>Пн</v>
      </c>
      <c r="S5" s="41" t="str">
        <f>TEXT(WEEKDAY(DATE(Календарнийрік+1,7,16),1),"aaa")</f>
        <v>Вт</v>
      </c>
      <c r="T5" s="41" t="str">
        <f>TEXT(WEEKDAY(DATE(Календарнийрік+1,7,17),1),"aaa")</f>
        <v>Ср</v>
      </c>
      <c r="U5" s="41" t="str">
        <f>TEXT(WEEKDAY(DATE(Календарнийрік+1,7,18),1),"aaa")</f>
        <v>Чт</v>
      </c>
      <c r="V5" s="41" t="str">
        <f>TEXT(WEEKDAY(DATE(Календарнийрік+1,7,19),1),"aaa")</f>
        <v>Пт</v>
      </c>
      <c r="W5" s="41" t="str">
        <f>TEXT(WEEKDAY(DATE(Календарнийрік+1,7,20),1),"aaa")</f>
        <v>Сб</v>
      </c>
      <c r="X5" s="41" t="str">
        <f>TEXT(WEEKDAY(DATE(Календарнийрік+1,7,21),1),"aaa")</f>
        <v>Нд</v>
      </c>
      <c r="Y5" s="41" t="str">
        <f>TEXT(WEEKDAY(DATE(Календарнийрік+1,7,22),1),"aaa")</f>
        <v>Пн</v>
      </c>
      <c r="Z5" s="41" t="str">
        <f>TEXT(WEEKDAY(DATE(Календарнийрік+1,7,23),1),"aaa")</f>
        <v>Вт</v>
      </c>
      <c r="AA5" s="41" t="str">
        <f>TEXT(WEEKDAY(DATE(Календарнийрік+1,7,24),1),"aaa")</f>
        <v>Ср</v>
      </c>
      <c r="AB5" s="41" t="str">
        <f>TEXT(WEEKDAY(DATE(Календарнийрік+1,7,25),1),"aaa")</f>
        <v>Чт</v>
      </c>
      <c r="AC5" s="41" t="str">
        <f>TEXT(WEEKDAY(DATE(Календарнийрік+1,7,26),1),"aaa")</f>
        <v>Пт</v>
      </c>
      <c r="AD5" s="41" t="str">
        <f>TEXT(WEEKDAY(DATE(Календарнийрік+1,7,27),1),"aaa")</f>
        <v>Сб</v>
      </c>
      <c r="AE5" s="41" t="str">
        <f>TEXT(WEEKDAY(DATE(Календарнийрік+1,7,28),1),"aaa")</f>
        <v>Нд</v>
      </c>
      <c r="AF5" s="41" t="str">
        <f>TEXT(WEEKDAY(DATE(Календарнийрік+1,7,29),1),"aaa")</f>
        <v>Пн</v>
      </c>
      <c r="AG5" s="41" t="str">
        <f>TEXT(WEEKDAY(DATE(Календарнийрік+1,7,30),1),"aaa")</f>
        <v>Вт</v>
      </c>
      <c r="AH5" s="41" t="str">
        <f>TEXT(WEEKDAY(DATE(Календарнийрік+1,7,31),1),"aaa")</f>
        <v>Ср</v>
      </c>
      <c r="AI5" s="131" t="s">
        <v>41</v>
      </c>
      <c r="AJ5" s="131"/>
      <c r="AK5" s="131"/>
      <c r="AL5" s="131"/>
      <c r="AM5" s="131"/>
    </row>
    <row r="6" spans="1:39" ht="14.25" customHeight="1" x14ac:dyDescent="0.25">
      <c r="B6" s="24" t="s">
        <v>34</v>
      </c>
      <c r="C6" s="25" t="s">
        <v>36</v>
      </c>
      <c r="D6" s="26" t="s">
        <v>0</v>
      </c>
      <c r="E6" s="26" t="s">
        <v>1</v>
      </c>
      <c r="F6" s="26" t="s">
        <v>2</v>
      </c>
      <c r="G6" s="26" t="s">
        <v>3</v>
      </c>
      <c r="H6" s="26" t="s">
        <v>4</v>
      </c>
      <c r="I6" s="26" t="s">
        <v>5</v>
      </c>
      <c r="J6" s="26" t="s">
        <v>6</v>
      </c>
      <c r="K6" s="26" t="s">
        <v>7</v>
      </c>
      <c r="L6" s="26" t="s">
        <v>8</v>
      </c>
      <c r="M6" s="26" t="s">
        <v>9</v>
      </c>
      <c r="N6" s="26" t="s">
        <v>10</v>
      </c>
      <c r="O6" s="26" t="s">
        <v>11</v>
      </c>
      <c r="P6" s="26" t="s">
        <v>12</v>
      </c>
      <c r="Q6" s="26" t="s">
        <v>13</v>
      </c>
      <c r="R6" s="26" t="s">
        <v>14</v>
      </c>
      <c r="S6" s="26" t="s">
        <v>15</v>
      </c>
      <c r="T6" s="26" t="s">
        <v>16</v>
      </c>
      <c r="U6" s="26" t="s">
        <v>17</v>
      </c>
      <c r="V6" s="26" t="s">
        <v>18</v>
      </c>
      <c r="W6" s="26" t="s">
        <v>19</v>
      </c>
      <c r="X6" s="26" t="s">
        <v>20</v>
      </c>
      <c r="Y6" s="26" t="s">
        <v>21</v>
      </c>
      <c r="Z6" s="26" t="s">
        <v>22</v>
      </c>
      <c r="AA6" s="26" t="s">
        <v>23</v>
      </c>
      <c r="AB6" s="26" t="s">
        <v>24</v>
      </c>
      <c r="AC6" s="26" t="s">
        <v>25</v>
      </c>
      <c r="AD6" s="26" t="s">
        <v>26</v>
      </c>
      <c r="AE6" s="26" t="s">
        <v>27</v>
      </c>
      <c r="AF6" s="26" t="s">
        <v>28</v>
      </c>
      <c r="AG6" s="26" t="s">
        <v>29</v>
      </c>
      <c r="AH6" s="26" t="s">
        <v>30</v>
      </c>
      <c r="AI6" s="71" t="s">
        <v>37</v>
      </c>
      <c r="AJ6" s="35" t="s">
        <v>39</v>
      </c>
      <c r="AK6" s="34" t="s">
        <v>38</v>
      </c>
      <c r="AL6" s="32" t="s">
        <v>31</v>
      </c>
      <c r="AM6" t="s">
        <v>40</v>
      </c>
    </row>
    <row r="7" spans="1:39" ht="16.5" customHeight="1" x14ac:dyDescent="0.25">
      <c r="B7" s="23"/>
      <c r="C7" s="19" t="str">
        <f>IFERROR(VLOOKUP(Відвідуваністьзалипень[[#This Row],[Код студента]],Перелікстудентів[],18,FALSE),"")</f>
        <v/>
      </c>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2"/>
      <c r="AG7" s="3"/>
      <c r="AH7" s="3"/>
      <c r="AI7" s="33">
        <f>COUNTIF(Відвідуваністьзалипень[[#This Row],[1]:[31]],Код1)</f>
        <v>0</v>
      </c>
      <c r="AJ7" s="33">
        <f>COUNTIF(Відвідуваністьзалипень[[#This Row],[1]:[31]],Код2)</f>
        <v>0</v>
      </c>
      <c r="AK7" s="33">
        <f>COUNTIF(Відвідуваністьзалипень[[#This Row],[1]:[31]],Код3)</f>
        <v>0</v>
      </c>
      <c r="AL7" s="33">
        <f>COUNTIF(Відвідуваністьзалипень[[#This Row],[1]:[31]],Код4)</f>
        <v>0</v>
      </c>
      <c r="AM7" s="6">
        <f>SUM(Відвідуваністьзавересень[[#This Row],[ПП]:[П]])</f>
        <v>0</v>
      </c>
    </row>
    <row r="8" spans="1:39" ht="16.5" customHeight="1" x14ac:dyDescent="0.25">
      <c r="B8" s="23"/>
      <c r="C8" s="19" t="str">
        <f>IFERROR(VLOOKUP(Відвідуваністьзалипень[[#This Row],[Код студента]],Перелікстудентів[],18,FALSE),"")</f>
        <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2"/>
      <c r="AG8" s="3"/>
      <c r="AH8" s="3"/>
      <c r="AI8" s="33">
        <f>COUNTIF(Відвідуваністьзалипень[[#This Row],[1]:[31]],Код1)</f>
        <v>0</v>
      </c>
      <c r="AJ8" s="33">
        <f>COUNTIF(Відвідуваністьзалипень[[#This Row],[1]:[31]],Код2)</f>
        <v>0</v>
      </c>
      <c r="AK8" s="33">
        <f>COUNTIF(Відвідуваністьзалипень[[#This Row],[1]:[31]],Код3)</f>
        <v>0</v>
      </c>
      <c r="AL8" s="33">
        <f>COUNTIF(Відвідуваністьзалипень[[#This Row],[1]:[31]],Код4)</f>
        <v>0</v>
      </c>
      <c r="AM8" s="6">
        <f>SUM(Відвідуваністьзавересень[[#This Row],[ПП]:[П]])</f>
        <v>0</v>
      </c>
    </row>
    <row r="9" spans="1:39" ht="16.5" customHeight="1" x14ac:dyDescent="0.25">
      <c r="B9" s="23"/>
      <c r="C9" s="19" t="str">
        <f>IFERROR(VLOOKUP(Відвідуваністьзалипень[[#This Row],[Код студента]],Перелікстудентів[],18,FALSE),"")</f>
        <v/>
      </c>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2"/>
      <c r="AG9" s="3"/>
      <c r="AH9" s="3"/>
      <c r="AI9" s="33">
        <f>COUNTIF(Відвідуваністьзалипень[[#This Row],[1]:[31]],Код1)</f>
        <v>0</v>
      </c>
      <c r="AJ9" s="33">
        <f>COUNTIF(Відвідуваністьзалипень[[#This Row],[1]:[31]],Код2)</f>
        <v>0</v>
      </c>
      <c r="AK9" s="33">
        <f>COUNTIF(Відвідуваністьзалипень[[#This Row],[1]:[31]],Код3)</f>
        <v>0</v>
      </c>
      <c r="AL9" s="33">
        <f>COUNTIF(Відвідуваністьзалипень[[#This Row],[1]:[31]],Код4)</f>
        <v>0</v>
      </c>
      <c r="AM9" s="6">
        <f>SUM(Відвідуваністьзавересень[[#This Row],[ПП]:[П]])</f>
        <v>0</v>
      </c>
    </row>
    <row r="10" spans="1:39" ht="16.5" customHeight="1" x14ac:dyDescent="0.25">
      <c r="B10" s="23"/>
      <c r="C10" s="19" t="str">
        <f>IFERROR(VLOOKUP(Відвідуваністьзалипень[[#This Row],[Код студента]],Перелікстудентів[],18,FALSE),"")</f>
        <v/>
      </c>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2"/>
      <c r="AG10" s="3"/>
      <c r="AH10" s="3"/>
      <c r="AI10" s="33">
        <f>COUNTIF(Відвідуваністьзалипень[[#This Row],[1]:[31]],Код1)</f>
        <v>0</v>
      </c>
      <c r="AJ10" s="33">
        <f>COUNTIF(Відвідуваністьзалипень[[#This Row],[1]:[31]],Код2)</f>
        <v>0</v>
      </c>
      <c r="AK10" s="33">
        <f>COUNTIF(Відвідуваністьзалипень[[#This Row],[1]:[31]],Код3)</f>
        <v>0</v>
      </c>
      <c r="AL10" s="33">
        <f>COUNTIF(Відвідуваністьзалипень[[#This Row],[1]:[31]],Код4)</f>
        <v>0</v>
      </c>
      <c r="AM10" s="6">
        <f>SUM(Відвідуваністьзавересень[[#This Row],[ПП]:[П]])</f>
        <v>0</v>
      </c>
    </row>
    <row r="11" spans="1:39" ht="16.5" customHeight="1" x14ac:dyDescent="0.25">
      <c r="B11" s="23"/>
      <c r="C11" s="19" t="str">
        <f>IFERROR(VLOOKUP(Відвідуваністьзалипень[[#This Row],[Код студента]],Перелікстудентів[],18,FALSE),"")</f>
        <v/>
      </c>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2"/>
      <c r="AG11" s="3"/>
      <c r="AH11" s="3"/>
      <c r="AI11" s="33">
        <f>COUNTIF(Відвідуваністьзалипень[[#This Row],[1]:[31]],Код1)</f>
        <v>0</v>
      </c>
      <c r="AJ11" s="33">
        <f>COUNTIF(Відвідуваністьзалипень[[#This Row],[1]:[31]],Код2)</f>
        <v>0</v>
      </c>
      <c r="AK11" s="33">
        <f>COUNTIF(Відвідуваністьзалипень[[#This Row],[1]:[31]],Код3)</f>
        <v>0</v>
      </c>
      <c r="AL11" s="33">
        <f>COUNTIF(Відвідуваністьзалипень[[#This Row],[1]:[31]],Код4)</f>
        <v>0</v>
      </c>
      <c r="AM11" s="6">
        <f>SUM(Відвідуваністьзавересень[[#This Row],[ПП]:[П]])</f>
        <v>0</v>
      </c>
    </row>
    <row r="12" spans="1:39" ht="16.5" customHeight="1" x14ac:dyDescent="0.25">
      <c r="B12" s="113"/>
      <c r="C12" s="114" t="s">
        <v>118</v>
      </c>
      <c r="D12" s="115">
        <f>COUNTIF(Відвідуваністьзалипень[1],"П")+COUNTIF(Відвідуваністьзалипень[1],"ПП")</f>
        <v>0</v>
      </c>
      <c r="E12" s="115">
        <f>COUNTIF(Відвідуваністьзалипень[2],"П")+COUNTIF(Відвідуваністьзалипень[2],"ПП")</f>
        <v>0</v>
      </c>
      <c r="F12" s="115">
        <f>COUNTIF(Відвідуваністьзалипень[3],"П")+COUNTIF(Відвідуваністьзалипень[3],"ПП")</f>
        <v>0</v>
      </c>
      <c r="G12" s="115">
        <f>COUNTIF(Відвідуваністьзалипень[4],"П")+COUNTIF(Відвідуваністьзалипень[4],"ПП")</f>
        <v>0</v>
      </c>
      <c r="H12" s="115">
        <f>COUNTIF(Відвідуваністьзалипень[5],"П")+COUNTIF(Відвідуваністьзалипень[5],"ПП")</f>
        <v>0</v>
      </c>
      <c r="I12" s="115">
        <f>COUNTIF(Відвідуваністьзалипень[6],"П")+COUNTIF(Відвідуваністьзалипень[6],"ПП")</f>
        <v>0</v>
      </c>
      <c r="J12" s="115">
        <f>COUNTIF(Відвідуваністьзалипень[7],"П")+COUNTIF(Відвідуваністьзалипень[7],"ПП")</f>
        <v>0</v>
      </c>
      <c r="K12" s="115">
        <f>COUNTIF(Відвідуваністьзалипень[8],"П")+COUNTIF(Відвідуваністьзалипень[8],"ПП")</f>
        <v>0</v>
      </c>
      <c r="L12" s="115">
        <f>COUNTIF(Відвідуваністьзалипень[9],"П")+COUNTIF(Відвідуваністьзалипень[9],"ПП")</f>
        <v>0</v>
      </c>
      <c r="M12" s="115">
        <f>COUNTIF(Відвідуваністьзалипень[10],"П")+COUNTIF(Відвідуваністьзалипень[10],"ПП")</f>
        <v>0</v>
      </c>
      <c r="N12" s="115">
        <f>COUNTIF(Відвідуваністьзалипень[11],"П")+COUNTIF(Відвідуваністьзалипень[11],"ПП")</f>
        <v>0</v>
      </c>
      <c r="O12" s="115">
        <f>COUNTIF(Відвідуваністьзалипень[12],"П")+COUNTIF(Відвідуваністьзалипень[12],"ПП")</f>
        <v>0</v>
      </c>
      <c r="P12" s="115">
        <f>COUNTIF(Відвідуваністьзалипень[13],"П")+COUNTIF(Відвідуваністьзалипень[13],"ПП")</f>
        <v>0</v>
      </c>
      <c r="Q12" s="115">
        <f>COUNTIF(Відвідуваністьзалипень[14],"П")+COUNTIF(Відвідуваністьзалипень[14],"ПП")</f>
        <v>0</v>
      </c>
      <c r="R12" s="115">
        <f>COUNTIF(Відвідуваністьзалипень[15],"П")+COUNTIF(Відвідуваністьзалипень[15],"ПП")</f>
        <v>0</v>
      </c>
      <c r="S12" s="115">
        <f>COUNTIF(Відвідуваністьзалипень[16],"П")+COUNTIF(Відвідуваністьзалипень[16],"ПП")</f>
        <v>0</v>
      </c>
      <c r="T12" s="115">
        <f>COUNTIF(Відвідуваністьзалипень[17],"П")+COUNTIF(Відвідуваністьзалипень[17],"ПП")</f>
        <v>0</v>
      </c>
      <c r="U12" s="115">
        <f>COUNTIF(Відвідуваністьзалипень[18],"П")+COUNTIF(Відвідуваністьзалипень[18],"ПП")</f>
        <v>0</v>
      </c>
      <c r="V12" s="115">
        <f>COUNTIF(Відвідуваністьзалипень[19],"П")+COUNTIF(Відвідуваністьзалипень[19],"ПП")</f>
        <v>0</v>
      </c>
      <c r="W12" s="115">
        <f>COUNTIF(Відвідуваністьзалипень[20],"П")+COUNTIF(Відвідуваністьзалипень[20],"ПП")</f>
        <v>0</v>
      </c>
      <c r="X12" s="115">
        <f>COUNTIF(Відвідуваністьзалипень[21],"П")+COUNTIF(Відвідуваністьзалипень[21],"ПП")</f>
        <v>0</v>
      </c>
      <c r="Y12" s="115">
        <f>COUNTIF(Відвідуваністьзалипень[22],"П")+COUNTIF(Відвідуваністьзалипень[22],"ПП")</f>
        <v>0</v>
      </c>
      <c r="Z12" s="115">
        <f>COUNTIF(Відвідуваністьзалипень[23],"П")+COUNTIF(Відвідуваністьзалипень[23],"ПП")</f>
        <v>0</v>
      </c>
      <c r="AA12" s="115">
        <f>COUNTIF(Відвідуваністьзалипень[24],"П")+COUNTIF(Відвідуваністьзалипень[24],"ПП")</f>
        <v>0</v>
      </c>
      <c r="AB12" s="115">
        <f>COUNTIF(Відвідуваністьзалипень[25],"П")+COUNTIF(Відвідуваністьзалипень[25],"ПП")</f>
        <v>0</v>
      </c>
      <c r="AC12" s="115">
        <f>COUNTIF(Відвідуваністьзалипень[26],"П")+COUNTIF(Відвідуваністьзалипень[26],"ПП")</f>
        <v>0</v>
      </c>
      <c r="AD12" s="115">
        <f>COUNTIF(Відвідуваністьзалипень[27],"П")+COUNTIF(Відвідуваністьзалипень[27],"ПП")</f>
        <v>0</v>
      </c>
      <c r="AE12" s="115">
        <f>COUNTIF(Відвідуваністьзалипень[28],"П")+COUNTIF(Відвідуваністьзалипень[28],"ПП")</f>
        <v>0</v>
      </c>
      <c r="AF12" s="115">
        <f>COUNTIF(Відвідуваністьзалипень[29],"П")+COUNTIF(Відвідуваністьзалипень[29],"ПП")</f>
        <v>0</v>
      </c>
      <c r="AG12" s="115">
        <f>COUNTIF(Відвідуваністьзалипень[30],"П")+COUNTIF(Відвідуваністьзалипень[30],"ПП")</f>
        <v>0</v>
      </c>
      <c r="AH12" s="115">
        <f>COUNTIF(Відвідуваністьзалипень[31],"П")+COUNTIF(Відвідуваністьзалипень[31],"ПП")</f>
        <v>0</v>
      </c>
      <c r="AI12" s="115">
        <f>SUBTOTAL(109,Відвідуваністьзалипень[З])</f>
        <v>0</v>
      </c>
      <c r="AJ12" s="115">
        <f>SUBTOTAL(109,Відвідуваністьзалипень[ПП])</f>
        <v>0</v>
      </c>
      <c r="AK12" s="115">
        <f>SUBTOTAL(109,Відвідуваністьзалипень[П])</f>
        <v>0</v>
      </c>
      <c r="AL12" s="115">
        <f>SUBTOTAL(109,Відвідуваністьзалипень[Н])</f>
        <v>0</v>
      </c>
      <c r="AM12" s="115">
        <f>SUBTOTAL(109,Відвідуваністьзалипень[Відсутність, дн.])</f>
        <v>0</v>
      </c>
    </row>
    <row r="14" spans="1:39" ht="16.5" customHeight="1" x14ac:dyDescent="0.25"/>
    <row r="15" spans="1:39" ht="16.5" customHeight="1" x14ac:dyDescent="0.25"/>
    <row r="16" spans="1:39"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1">
      <dataBar>
        <cfvo type="min"/>
        <cfvo type="num" val="DATEDIF(DATE(Календарнийрік,2,1),DATE(Календарнийрік,3,1),&quot;d&quot;)"/>
        <color theme="4"/>
      </dataBar>
      <extLst>
        <ext xmlns:x14="http://schemas.microsoft.com/office/spreadsheetml/2009/9/main" uri="{B025F937-C7B1-47D3-B67F-A62EFF666E3E}">
          <x14:id>{9F36FAEC-C62D-409B-BB81-2770CD5BFB3E}</x14:id>
        </ext>
      </extLst>
    </cfRule>
  </conditionalFormatting>
  <conditionalFormatting sqref="D7:AF11">
    <cfRule type="expression" dxfId="88" priority="2" stopIfTrue="1">
      <formula>D7=Код2</formula>
    </cfRule>
  </conditionalFormatting>
  <conditionalFormatting sqref="D7:AF11">
    <cfRule type="expression" dxfId="87" priority="3" stopIfTrue="1">
      <formula>D7=Код5</formula>
    </cfRule>
    <cfRule type="expression" dxfId="86" priority="4" stopIfTrue="1">
      <formula>D7=Код4</formula>
    </cfRule>
    <cfRule type="expression" dxfId="85" priority="5" stopIfTrue="1">
      <formula>D7=Код3</formula>
    </cfRule>
    <cfRule type="expression" dxfId="84" priority="6" stopIfTrue="1">
      <formula>D7=Код1</formula>
    </cfRule>
  </conditionalFormatting>
  <dataValidations count="1">
    <dataValidation type="list" errorStyle="warning" allowBlank="1" showInputMessage="1" showErrorMessage="1" errorTitle="Отакої!" error="У списку студентів немає введеного коду. Ви можете натиснути кнопку ''Так'' і залишити введений код, але у звіті про відвідуваність він буде недоступний." sqref="B7:B11">
      <formula1>Ідентифікаторстудента</formula1>
    </dataValidation>
  </dataValidations>
  <printOptions horizontalCentered="1"/>
  <pageMargins left="0.5" right="0.5" top="0.75" bottom="0.75" header="0.3" footer="0.3"/>
  <pageSetup paperSize="9" scale="59"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F36FAEC-C62D-409B-BB81-2770CD5BFB3E}">
            <x14:dataBar minLength="0" maxLength="100" border="1" negativeBarBorderColorSameAsPositive="0">
              <x14:cfvo type="autoMin"/>
              <x14:cfvo type="num">
                <xm:f>DATEDIF(DATE(Календарнийрік,2,1),DATE(Календарнийрік,3,1),"d")</xm:f>
              </x14:cfvo>
              <x14:borderColor theme="4"/>
              <x14:negativeFillColor rgb="FFFF0000"/>
              <x14:negativeBorderColor rgb="FFFF0000"/>
              <x14:axisColor rgb="FF000000"/>
            </x14:dataBar>
          </x14:cfRule>
          <xm:sqref>AM7:AM11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AK40"/>
  <sheetViews>
    <sheetView showGridLines="0" zoomScaleNormal="100" workbookViewId="0">
      <selection activeCell="B4" sqref="B4:C4"/>
    </sheetView>
  </sheetViews>
  <sheetFormatPr defaultRowHeight="13.5" x14ac:dyDescent="0.25"/>
  <cols>
    <col min="1" max="1" width="3.42578125" style="17" customWidth="1"/>
    <col min="2" max="2" width="10.85546875" style="17" customWidth="1"/>
    <col min="3" max="22" width="3.28515625" style="17" customWidth="1"/>
    <col min="23" max="30" width="4.140625" style="17" customWidth="1"/>
    <col min="31" max="33" width="3.28515625" style="17" customWidth="1"/>
    <col min="34" max="36" width="6.140625" style="17" customWidth="1"/>
    <col min="37" max="37" width="11.5703125" style="17" bestFit="1" customWidth="1"/>
    <col min="38" max="16384" width="9.140625" style="17"/>
  </cols>
  <sheetData>
    <row r="1" spans="1:37" ht="33" customHeight="1" x14ac:dyDescent="0.25">
      <c r="A1" s="81" t="str">
        <f>"Звіт про відвідуваність занять: "</f>
        <v xml:space="preserve">Звіт про відвідуваність занять: </v>
      </c>
      <c r="B1" s="63"/>
      <c r="C1" s="64"/>
      <c r="D1" s="64"/>
      <c r="E1" s="64"/>
      <c r="F1" s="64"/>
      <c r="G1" s="64"/>
      <c r="H1" s="64"/>
      <c r="I1" s="61"/>
      <c r="J1" s="63"/>
      <c r="K1" s="63"/>
      <c r="L1" s="63"/>
      <c r="M1" s="80" t="str">
        <f>D4</f>
        <v>Ігор Олександров</v>
      </c>
      <c r="N1" s="61"/>
      <c r="O1" s="61"/>
      <c r="P1" s="61"/>
      <c r="Q1" s="61"/>
      <c r="R1" s="61"/>
      <c r="S1" s="61"/>
      <c r="T1" s="61"/>
      <c r="U1" s="61"/>
      <c r="V1" s="61"/>
      <c r="W1" s="61"/>
      <c r="X1" s="61"/>
      <c r="Y1" s="61"/>
      <c r="Z1" s="61"/>
      <c r="AA1" s="61"/>
      <c r="AB1" s="61"/>
      <c r="AC1" s="61"/>
      <c r="AD1" s="61"/>
      <c r="AE1" s="61"/>
      <c r="AF1" s="61"/>
      <c r="AG1" s="61"/>
      <c r="AH1" s="61"/>
      <c r="AI1" s="61"/>
      <c r="AJ1" s="61"/>
      <c r="AK1" s="62"/>
    </row>
    <row r="2" spans="1:37" customFormat="1" ht="15" customHeight="1" x14ac:dyDescent="0.25"/>
    <row r="3" spans="1:37" ht="17.25" customHeight="1" x14ac:dyDescent="0.25">
      <c r="B3" s="98" t="s">
        <v>34</v>
      </c>
      <c r="C3" s="99"/>
      <c r="D3" s="142" t="s">
        <v>36</v>
      </c>
      <c r="E3" s="142"/>
      <c r="F3" s="142"/>
      <c r="G3" s="142"/>
      <c r="H3" s="142"/>
      <c r="I3" s="142"/>
      <c r="J3" s="142"/>
      <c r="K3" s="142"/>
      <c r="L3" s="142"/>
      <c r="M3" s="142"/>
      <c r="N3" s="142"/>
      <c r="O3" s="142"/>
      <c r="P3" s="147" t="s">
        <v>42</v>
      </c>
      <c r="Q3" s="147"/>
      <c r="R3" s="147"/>
      <c r="S3" s="147" t="s">
        <v>43</v>
      </c>
      <c r="T3" s="147"/>
      <c r="U3" s="147"/>
      <c r="V3" s="147"/>
      <c r="W3" s="147" t="s">
        <v>44</v>
      </c>
      <c r="X3" s="147"/>
      <c r="Y3" s="147"/>
      <c r="Z3" s="147"/>
      <c r="AA3" s="147"/>
      <c r="AB3" s="147"/>
      <c r="AC3" s="147"/>
      <c r="AD3" s="147"/>
      <c r="AE3" s="145" t="s">
        <v>45</v>
      </c>
      <c r="AF3" s="145"/>
      <c r="AG3" s="147" t="s">
        <v>46</v>
      </c>
      <c r="AH3" s="147"/>
      <c r="AI3" s="147"/>
      <c r="AJ3" s="147"/>
      <c r="AK3" s="107" t="s">
        <v>47</v>
      </c>
    </row>
    <row r="4" spans="1:37" ht="17.25" customHeight="1" x14ac:dyDescent="0.25">
      <c r="B4" s="140" t="s">
        <v>92</v>
      </c>
      <c r="C4" s="140"/>
      <c r="D4" s="141" t="str">
        <f>IFERROR(VLOOKUP(Пошукстудента,Перелікстудентів[],18,FALSE),"")</f>
        <v>Ігор Олександров</v>
      </c>
      <c r="E4" s="141"/>
      <c r="F4" s="141"/>
      <c r="G4" s="141"/>
      <c r="H4" s="141"/>
      <c r="I4" s="141"/>
      <c r="J4" s="141"/>
      <c r="K4" s="141"/>
      <c r="L4" s="141"/>
      <c r="M4" s="141"/>
      <c r="N4" s="141"/>
      <c r="O4" s="141"/>
      <c r="P4" s="149" t="str">
        <f>IFERROR(VLOOKUP(Пошукстудента,Перелікстудентів[],4,FALSE),"")</f>
        <v>Ч</v>
      </c>
      <c r="Q4" s="149"/>
      <c r="R4" s="149"/>
      <c r="S4" s="150">
        <f>IFERROR(VLOOKUP(Пошукстудента,Перелікстудентів[],5,FALSE),"")</f>
        <v>35517</v>
      </c>
      <c r="T4" s="150"/>
      <c r="U4" s="150"/>
      <c r="V4" s="150"/>
      <c r="W4" s="140" t="s">
        <v>99</v>
      </c>
      <c r="X4" s="140"/>
      <c r="Y4" s="140"/>
      <c r="Z4" s="140"/>
      <c r="AA4" s="140"/>
      <c r="AB4" s="140"/>
      <c r="AC4" s="140"/>
      <c r="AD4" s="140"/>
      <c r="AE4" s="146">
        <v>7</v>
      </c>
      <c r="AF4" s="146"/>
      <c r="AG4" s="140" t="s">
        <v>100</v>
      </c>
      <c r="AH4" s="140"/>
      <c r="AI4" s="140"/>
      <c r="AJ4" s="140"/>
      <c r="AK4" s="100">
        <v>123</v>
      </c>
    </row>
    <row r="5" spans="1:37" ht="17.25" customHeight="1" x14ac:dyDescent="0.25">
      <c r="B5" s="147" t="s">
        <v>81</v>
      </c>
      <c r="C5" s="147"/>
      <c r="D5" s="147"/>
      <c r="E5" s="147"/>
      <c r="F5" s="147"/>
      <c r="G5" s="147"/>
      <c r="H5" s="147"/>
      <c r="I5" s="147"/>
      <c r="J5" s="147"/>
      <c r="K5" s="147" t="s">
        <v>48</v>
      </c>
      <c r="L5" s="147"/>
      <c r="M5" s="147"/>
      <c r="N5" s="147"/>
      <c r="O5" s="147"/>
      <c r="P5" s="147"/>
      <c r="Q5" s="147"/>
      <c r="R5" s="147"/>
      <c r="S5" s="147"/>
      <c r="T5" s="147"/>
      <c r="U5" s="147"/>
      <c r="V5" s="147"/>
      <c r="W5" s="147" t="s">
        <v>49</v>
      </c>
      <c r="X5" s="147"/>
      <c r="Y5" s="147"/>
      <c r="Z5" s="147"/>
      <c r="AA5" s="147"/>
      <c r="AB5" s="147"/>
      <c r="AC5" s="147"/>
      <c r="AD5" s="147"/>
      <c r="AE5" s="147" t="s">
        <v>50</v>
      </c>
      <c r="AF5" s="147"/>
      <c r="AG5" s="147"/>
      <c r="AH5" s="147"/>
      <c r="AI5" s="147"/>
      <c r="AJ5" s="147"/>
      <c r="AK5" s="147"/>
    </row>
    <row r="6" spans="1:37" ht="17.25" customHeight="1" x14ac:dyDescent="0.25">
      <c r="B6" s="141" t="str">
        <f>IFERROR(VLOOKUP(Пошукстудента,Перелікстудентів[],6,FALSE),"")</f>
        <v>Василина</v>
      </c>
      <c r="C6" s="141"/>
      <c r="D6" s="141"/>
      <c r="E6" s="141"/>
      <c r="F6" s="141"/>
      <c r="G6" s="141"/>
      <c r="H6" s="141"/>
      <c r="I6" s="141"/>
      <c r="J6" s="141"/>
      <c r="K6" s="141" t="str">
        <f>IFERROR(VLOOKUP(Пошукстудента,Перелікстудентів[],7,FALSE),"")</f>
        <v>Олександров</v>
      </c>
      <c r="L6" s="141"/>
      <c r="M6" s="141"/>
      <c r="N6" s="141"/>
      <c r="O6" s="141"/>
      <c r="P6" s="141"/>
      <c r="Q6" s="141"/>
      <c r="R6" s="141"/>
      <c r="S6" s="141"/>
      <c r="T6" s="141"/>
      <c r="U6" s="141"/>
      <c r="V6" s="141"/>
      <c r="W6" s="148">
        <f>IFERROR(VLOOKUP(Пошукстудента,Перелікстудентів[],8,FALSE),"")</f>
        <v>1235550134</v>
      </c>
      <c r="X6" s="148"/>
      <c r="Y6" s="148"/>
      <c r="Z6" s="148"/>
      <c r="AA6" s="148"/>
      <c r="AB6" s="148"/>
      <c r="AC6" s="148"/>
      <c r="AD6" s="148"/>
      <c r="AE6" s="148">
        <f>IFERROR(VLOOKUP(Пошукстудента,Перелікстудентів[],9,FALSE),"")</f>
        <v>2345550134</v>
      </c>
      <c r="AF6" s="148"/>
      <c r="AG6" s="148"/>
      <c r="AH6" s="148"/>
      <c r="AI6" s="148"/>
      <c r="AJ6" s="148"/>
      <c r="AK6" s="148"/>
    </row>
    <row r="7" spans="1:37" ht="17.25" customHeight="1" x14ac:dyDescent="0.25">
      <c r="B7" s="147" t="s">
        <v>82</v>
      </c>
      <c r="C7" s="147"/>
      <c r="D7" s="147"/>
      <c r="E7" s="147"/>
      <c r="F7" s="147"/>
      <c r="G7" s="147"/>
      <c r="H7" s="147"/>
      <c r="I7" s="147"/>
      <c r="J7" s="147"/>
      <c r="K7" s="147" t="s">
        <v>48</v>
      </c>
      <c r="L7" s="147"/>
      <c r="M7" s="147"/>
      <c r="N7" s="147"/>
      <c r="O7" s="147"/>
      <c r="P7" s="147"/>
      <c r="Q7" s="147"/>
      <c r="R7" s="147"/>
      <c r="S7" s="147"/>
      <c r="T7" s="147"/>
      <c r="U7" s="147"/>
      <c r="V7" s="147"/>
      <c r="W7" s="147" t="s">
        <v>49</v>
      </c>
      <c r="X7" s="147"/>
      <c r="Y7" s="147"/>
      <c r="Z7" s="147"/>
      <c r="AA7" s="147"/>
      <c r="AB7" s="147"/>
      <c r="AC7" s="147"/>
      <c r="AD7" s="147"/>
      <c r="AE7" s="147" t="s">
        <v>50</v>
      </c>
      <c r="AF7" s="147"/>
      <c r="AG7" s="147"/>
      <c r="AH7" s="147"/>
      <c r="AI7" s="147"/>
      <c r="AJ7" s="147"/>
      <c r="AK7" s="147"/>
    </row>
    <row r="8" spans="1:37" ht="17.25" customHeight="1" x14ac:dyDescent="0.25">
      <c r="B8" s="141" t="str">
        <f>IFERROR(VLOOKUP(Пошукстудента,Перелікстудентів[],10,FALSE),"")</f>
        <v>Михайло Олександров</v>
      </c>
      <c r="C8" s="141"/>
      <c r="D8" s="141"/>
      <c r="E8" s="141"/>
      <c r="F8" s="141"/>
      <c r="G8" s="141"/>
      <c r="H8" s="141"/>
      <c r="I8" s="141"/>
      <c r="J8" s="141"/>
      <c r="K8" s="141" t="str">
        <f>IFERROR(VLOOKUP(Пошукстудента,Перелікстудентів[],11,FALSE),"")</f>
        <v>Батько</v>
      </c>
      <c r="L8" s="141"/>
      <c r="M8" s="141"/>
      <c r="N8" s="141"/>
      <c r="O8" s="141"/>
      <c r="P8" s="141"/>
      <c r="Q8" s="141"/>
      <c r="R8" s="141"/>
      <c r="S8" s="141"/>
      <c r="T8" s="141"/>
      <c r="U8" s="141"/>
      <c r="V8" s="141"/>
      <c r="W8" s="148">
        <f>IFERROR(VLOOKUP(Пошукстудента,Перелікстудентів[],12,FALSE),"")</f>
        <v>1235550134</v>
      </c>
      <c r="X8" s="148"/>
      <c r="Y8" s="148"/>
      <c r="Z8" s="148"/>
      <c r="AA8" s="148"/>
      <c r="AB8" s="148"/>
      <c r="AC8" s="148"/>
      <c r="AD8" s="148"/>
      <c r="AE8" s="148">
        <f>IFERROR(VLOOKUP(Пошукстудента,Перелікстудентів[],13,FALSE),"")</f>
        <v>2345550134</v>
      </c>
      <c r="AF8" s="148"/>
      <c r="AG8" s="148"/>
      <c r="AH8" s="148"/>
      <c r="AI8" s="148"/>
      <c r="AJ8" s="148"/>
      <c r="AK8" s="148"/>
    </row>
    <row r="9" spans="1:37" ht="17.25" customHeight="1" x14ac:dyDescent="0.25">
      <c r="B9" s="147" t="s">
        <v>51</v>
      </c>
      <c r="C9" s="147"/>
      <c r="D9" s="147"/>
      <c r="E9" s="147"/>
      <c r="F9" s="147"/>
      <c r="G9" s="147"/>
      <c r="H9" s="147"/>
      <c r="I9" s="147"/>
      <c r="J9" s="147"/>
      <c r="K9" s="147" t="s">
        <v>48</v>
      </c>
      <c r="L9" s="147"/>
      <c r="M9" s="147"/>
      <c r="N9" s="147"/>
      <c r="O9" s="147"/>
      <c r="P9" s="147"/>
      <c r="Q9" s="147"/>
      <c r="R9" s="147"/>
      <c r="S9" s="147"/>
      <c r="T9" s="147"/>
      <c r="U9" s="147"/>
      <c r="V9" s="147"/>
      <c r="W9" s="147" t="s">
        <v>49</v>
      </c>
      <c r="X9" s="147"/>
      <c r="Y9" s="147"/>
      <c r="Z9" s="147"/>
      <c r="AA9" s="147"/>
      <c r="AB9" s="147"/>
      <c r="AC9" s="147"/>
      <c r="AD9" s="147"/>
      <c r="AE9" s="147" t="s">
        <v>50</v>
      </c>
      <c r="AF9" s="147"/>
      <c r="AG9" s="147"/>
      <c r="AH9" s="147"/>
      <c r="AI9" s="147"/>
      <c r="AJ9" s="147"/>
      <c r="AK9" s="147"/>
    </row>
    <row r="10" spans="1:37" ht="17.25" customHeight="1" x14ac:dyDescent="0.25">
      <c r="B10" s="141" t="str">
        <f>IFERROR(VLOOKUP(Пошукстудента,Перелікстудентів[],14,FALSE),"")</f>
        <v>Василь Ступкар</v>
      </c>
      <c r="C10" s="141"/>
      <c r="D10" s="141"/>
      <c r="E10" s="141"/>
      <c r="F10" s="141"/>
      <c r="G10" s="141"/>
      <c r="H10" s="141"/>
      <c r="I10" s="141"/>
      <c r="J10" s="141"/>
      <c r="K10" s="141" t="str">
        <f>IFERROR(VLOOKUP(Пошукстудента,Перелікстудентів[],15,FALSE),"")</f>
        <v>Дідусь</v>
      </c>
      <c r="L10" s="141"/>
      <c r="M10" s="141"/>
      <c r="N10" s="141"/>
      <c r="O10" s="141"/>
      <c r="P10" s="141"/>
      <c r="Q10" s="141"/>
      <c r="R10" s="141"/>
      <c r="S10" s="141"/>
      <c r="T10" s="141"/>
      <c r="U10" s="141"/>
      <c r="V10" s="141"/>
      <c r="W10" s="148">
        <f>IFERROR(VLOOKUP(Пошукстудента,Перелікстудентів[],16,FALSE),"")</f>
        <v>7895550189</v>
      </c>
      <c r="X10" s="148"/>
      <c r="Y10" s="148"/>
      <c r="Z10" s="148"/>
      <c r="AA10" s="148"/>
      <c r="AB10" s="148"/>
      <c r="AC10" s="148"/>
      <c r="AD10" s="148"/>
      <c r="AE10" s="148">
        <f>IFERROR(VLOOKUP(Пошукстудента,Перелікстудентів[],17,FALSE),"")</f>
        <v>7895550134</v>
      </c>
      <c r="AF10" s="148"/>
      <c r="AG10" s="148"/>
      <c r="AH10" s="148"/>
      <c r="AI10" s="148"/>
      <c r="AJ10" s="148"/>
      <c r="AK10" s="148"/>
    </row>
    <row r="11" spans="1:37" ht="10.5" customHeight="1" x14ac:dyDescent="0.25">
      <c r="B11" s="65"/>
      <c r="C11" s="65"/>
      <c r="D11" s="65"/>
      <c r="E11" s="65"/>
      <c r="F11" s="65"/>
      <c r="G11" s="65"/>
      <c r="H11" s="65"/>
      <c r="I11" s="65"/>
      <c r="J11" s="65"/>
      <c r="K11" s="65"/>
      <c r="L11" s="65"/>
      <c r="M11" s="65"/>
      <c r="N11" s="65"/>
      <c r="O11" s="65"/>
      <c r="P11" s="65"/>
      <c r="Q11" s="65"/>
      <c r="R11" s="65"/>
      <c r="S11" s="65"/>
      <c r="T11" s="65"/>
      <c r="U11" s="65"/>
      <c r="V11" s="65"/>
      <c r="W11" s="66"/>
      <c r="X11" s="66"/>
      <c r="Y11" s="66"/>
      <c r="Z11" s="66"/>
      <c r="AA11" s="66"/>
      <c r="AB11" s="66"/>
      <c r="AC11" s="66"/>
      <c r="AD11" s="66"/>
      <c r="AE11" s="66"/>
      <c r="AF11" s="66"/>
      <c r="AG11" s="66"/>
      <c r="AH11" s="66"/>
      <c r="AI11" s="66"/>
      <c r="AJ11" s="66"/>
      <c r="AK11" s="66"/>
    </row>
    <row r="12" spans="1:37" ht="15.75" customHeight="1" x14ac:dyDescent="0.3">
      <c r="B12" s="72" t="str">
        <f>Серпень!C3</f>
        <v>ПОЯСНЕННЯ ДО КОЛЬОРІВ</v>
      </c>
      <c r="G12" s="73" t="str">
        <f>Серпень!D3</f>
        <v>З</v>
      </c>
      <c r="H12" s="72" t="str">
        <f>Серпень!E3</f>
        <v>Запізнення</v>
      </c>
      <c r="I12" s="72"/>
      <c r="J12" s="72"/>
      <c r="K12" s="74" t="str">
        <f>Серпень!H3</f>
        <v>ПП</v>
      </c>
      <c r="L12" s="72" t="str">
        <f>Серпень!I3</f>
        <v>Поважна причина</v>
      </c>
      <c r="M12" s="72"/>
      <c r="N12" s="72"/>
      <c r="Q12" s="75" t="str">
        <f>Серпень!M3</f>
        <v>П</v>
      </c>
      <c r="R12" s="72" t="str">
        <f>Серпень!N3</f>
        <v>Прогул</v>
      </c>
      <c r="S12" s="72"/>
      <c r="T12" s="72"/>
      <c r="U12" s="76"/>
      <c r="V12" s="77" t="str">
        <f>Серпень!Q3</f>
        <v>Н</v>
      </c>
      <c r="W12" s="72" t="str">
        <f>Серпень!R3</f>
        <v>На місці</v>
      </c>
      <c r="X12" s="72"/>
      <c r="Y12" s="72"/>
      <c r="Z12" s="78" t="str">
        <f>Серпень!U3</f>
        <v>В</v>
      </c>
      <c r="AA12" s="79" t="str">
        <f>Серпень!V3</f>
        <v>Вихідний</v>
      </c>
      <c r="AB12" s="66"/>
      <c r="AC12" s="66"/>
      <c r="AD12" s="66"/>
      <c r="AE12" s="66"/>
      <c r="AF12" s="66"/>
      <c r="AG12" s="66"/>
      <c r="AH12" s="66"/>
      <c r="AI12" s="66"/>
      <c r="AJ12" s="66"/>
      <c r="AK12" s="66"/>
    </row>
    <row r="13" spans="1:37" ht="6" customHeight="1" x14ac:dyDescent="0.25"/>
    <row r="14" spans="1:37" ht="16.5" customHeight="1" x14ac:dyDescent="0.25">
      <c r="B14" s="143" t="s">
        <v>88</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39" t="s">
        <v>58</v>
      </c>
      <c r="AI14" s="139"/>
      <c r="AJ14" s="139"/>
      <c r="AK14" s="139"/>
    </row>
    <row r="15" spans="1:37" ht="14.25" thickBot="1" x14ac:dyDescent="0.3">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08" t="s">
        <v>37</v>
      </c>
      <c r="AI15" s="109" t="s">
        <v>39</v>
      </c>
      <c r="AJ15" s="110" t="s">
        <v>38</v>
      </c>
      <c r="AK15" s="111" t="s">
        <v>31</v>
      </c>
    </row>
    <row r="16" spans="1:37" ht="14.25" x14ac:dyDescent="0.25">
      <c r="B16" s="138" t="s">
        <v>59</v>
      </c>
      <c r="C16" s="101">
        <v>1</v>
      </c>
      <c r="D16" s="101">
        <v>2</v>
      </c>
      <c r="E16" s="101">
        <v>3</v>
      </c>
      <c r="F16" s="101">
        <v>4</v>
      </c>
      <c r="G16" s="101">
        <v>5</v>
      </c>
      <c r="H16" s="101">
        <v>6</v>
      </c>
      <c r="I16" s="101">
        <v>7</v>
      </c>
      <c r="J16" s="101">
        <v>8</v>
      </c>
      <c r="K16" s="101">
        <v>9</v>
      </c>
      <c r="L16" s="101">
        <v>10</v>
      </c>
      <c r="M16" s="101">
        <v>11</v>
      </c>
      <c r="N16" s="101">
        <v>12</v>
      </c>
      <c r="O16" s="101">
        <v>13</v>
      </c>
      <c r="P16" s="101">
        <v>14</v>
      </c>
      <c r="Q16" s="101">
        <v>15</v>
      </c>
      <c r="R16" s="101">
        <v>16</v>
      </c>
      <c r="S16" s="101">
        <v>17</v>
      </c>
      <c r="T16" s="101">
        <v>18</v>
      </c>
      <c r="U16" s="101">
        <v>19</v>
      </c>
      <c r="V16" s="101">
        <v>20</v>
      </c>
      <c r="W16" s="101">
        <v>21</v>
      </c>
      <c r="X16" s="101">
        <v>22</v>
      </c>
      <c r="Y16" s="101">
        <v>23</v>
      </c>
      <c r="Z16" s="101">
        <v>24</v>
      </c>
      <c r="AA16" s="101">
        <v>25</v>
      </c>
      <c r="AB16" s="101">
        <v>26</v>
      </c>
      <c r="AC16" s="101">
        <v>27</v>
      </c>
      <c r="AD16" s="101">
        <v>28</v>
      </c>
      <c r="AE16" s="101">
        <v>29</v>
      </c>
      <c r="AF16" s="101">
        <v>30</v>
      </c>
      <c r="AG16" s="101">
        <v>31</v>
      </c>
      <c r="AH16" s="133">
        <f>COUNTIF($D17:$AH17,Код1)</f>
        <v>2</v>
      </c>
      <c r="AI16" s="133">
        <f>COUNTIF($D17:$AH17,Код2)</f>
        <v>1</v>
      </c>
      <c r="AJ16" s="133">
        <f>COUNTIF($D17:$AH17,Код3)</f>
        <v>0</v>
      </c>
      <c r="AK16" s="133">
        <f>COUNTIF($D17:$AH17,Код4)</f>
        <v>19</v>
      </c>
    </row>
    <row r="17" spans="2:37" ht="14.25" x14ac:dyDescent="0.25">
      <c r="B17" s="135"/>
      <c r="C17" s="102" t="str">
        <f>IFERROR(VLOOKUP(Пошукстудента,Відвідуваністьзасерпень[],3,FALSE),"")</f>
        <v>Н</v>
      </c>
      <c r="D17" s="102" t="str">
        <f>IFERROR(VLOOKUP(Пошукстудента,Відвідуваністьзасерпень[],4,FALSE),"")</f>
        <v>Н</v>
      </c>
      <c r="E17" s="102" t="str">
        <f>IFERROR(VLOOKUP(Пошукстудента,Відвідуваністьзасерпень[],5,FALSE),"")</f>
        <v>З</v>
      </c>
      <c r="F17" s="102" t="str">
        <f>IFERROR(VLOOKUP(Пошукстудента,Відвідуваністьзасерпень[],6,FALSE),"")</f>
        <v>З</v>
      </c>
      <c r="G17" s="102" t="str">
        <f>IFERROR(VLOOKUP(Пошукстудента,Відвідуваністьзасерпень[],7,FALSE),"")</f>
        <v>Н</v>
      </c>
      <c r="H17" s="102" t="str">
        <f>IFERROR(VLOOKUP(Пошукстудента,Відвідуваністьзасерпень[],8,FALSE),"")</f>
        <v>В</v>
      </c>
      <c r="I17" s="102" t="str">
        <f>IFERROR(VLOOKUP(Пошукстудента,Відвідуваністьзасерпень[],9,FALSE),"")</f>
        <v>В</v>
      </c>
      <c r="J17" s="102" t="str">
        <f>IFERROR(VLOOKUP(Пошукстудента,Відвідуваністьзасерпень[],10,FALSE),"")</f>
        <v>Н</v>
      </c>
      <c r="K17" s="102" t="str">
        <f>IFERROR(VLOOKUP(Пошукстудента,Відвідуваністьзасерпень[],11,FALSE),"")</f>
        <v>Н</v>
      </c>
      <c r="L17" s="102" t="str">
        <f>IFERROR(VLOOKUP(Пошукстудента,Відвідуваністьзасерпень[],12,FALSE),"")</f>
        <v>ПП</v>
      </c>
      <c r="M17" s="102" t="str">
        <f>IFERROR(VLOOKUP(Пошукстудента,Відвідуваністьзасерпень[],13,FALSE),"")</f>
        <v>Н</v>
      </c>
      <c r="N17" s="102" t="str">
        <f>IFERROR(VLOOKUP(Пошукстудента,Відвідуваністьзасерпень[],14,FALSE),"")</f>
        <v>Н</v>
      </c>
      <c r="O17" s="102" t="str">
        <f>IFERROR(VLOOKUP(Пошукстудента,Відвідуваністьзасерпень[],15,FALSE),"")</f>
        <v>В</v>
      </c>
      <c r="P17" s="102" t="str">
        <f>IFERROR(VLOOKUP(Пошукстудента,Відвідуваністьзасерпень[],16,FALSE),"")</f>
        <v>В</v>
      </c>
      <c r="Q17" s="102" t="str">
        <f>IFERROR(VLOOKUP(Пошукстудента,Відвідуваністьзасерпень[],17,FALSE),"")</f>
        <v>Н</v>
      </c>
      <c r="R17" s="102" t="str">
        <f>IFERROR(VLOOKUP(Пошукстудента,Відвідуваністьзасерпень[],18,FALSE),"")</f>
        <v>Н</v>
      </c>
      <c r="S17" s="102" t="str">
        <f>IFERROR(VLOOKUP(Пошукстудента,Відвідуваністьзасерпень[],19,FALSE),"")</f>
        <v>Н</v>
      </c>
      <c r="T17" s="102" t="str">
        <f>IFERROR(VLOOKUP(Пошукстудента,Відвідуваністьзасерпень[],20,FALSE),"")</f>
        <v>Н</v>
      </c>
      <c r="U17" s="102" t="str">
        <f>IFERROR(VLOOKUP(Пошукстудента,Відвідуваністьзасерпень[],21,FALSE),"")</f>
        <v>Н</v>
      </c>
      <c r="V17" s="102" t="str">
        <f>IFERROR(VLOOKUP(Пошукстудента,Відвідуваністьзасерпень[],22,FALSE),"")</f>
        <v>В</v>
      </c>
      <c r="W17" s="102" t="str">
        <f>IFERROR(VLOOKUP(Пошукстудента,Відвідуваністьзасерпень[],23,FALSE),"")</f>
        <v>В</v>
      </c>
      <c r="X17" s="102" t="str">
        <f>IFERROR(VLOOKUP(Пошукстудента,Відвідуваністьзасерпень[],24,FALSE),"")</f>
        <v>Н</v>
      </c>
      <c r="Y17" s="102" t="str">
        <f>IFERROR(VLOOKUP(Пошукстудента,Відвідуваністьзасерпень[],25,FALSE),"")</f>
        <v>Н</v>
      </c>
      <c r="Z17" s="102" t="str">
        <f>IFERROR(VLOOKUP(Пошукстудента,Відвідуваністьзасерпень[],26,FALSE),"")</f>
        <v>Н</v>
      </c>
      <c r="AA17" s="102" t="str">
        <f>IFERROR(VLOOKUP(Пошукстудента,Відвідуваністьзасерпень[],27,FALSE),"")</f>
        <v>Н</v>
      </c>
      <c r="AB17" s="102" t="str">
        <f>IFERROR(VLOOKUP(Пошукстудента,Відвідуваністьзасерпень[],28,FALSE),"")</f>
        <v>Н</v>
      </c>
      <c r="AC17" s="102" t="str">
        <f>IFERROR(VLOOKUP(Пошукстудента,Відвідуваністьзасерпень[],29,FALSE),"")</f>
        <v>В</v>
      </c>
      <c r="AD17" s="102" t="str">
        <f>IFERROR(VLOOKUP(Пошукстудента,Відвідуваністьзасерпень[],30,FALSE),"")</f>
        <v>В</v>
      </c>
      <c r="AE17" s="102" t="str">
        <f>IFERROR(VLOOKUP(Пошукстудента,Відвідуваністьзасерпень[],31,FALSE),"")</f>
        <v>Н</v>
      </c>
      <c r="AF17" s="102" t="str">
        <f>IFERROR(VLOOKUP(Пошукстудента,Відвідуваністьзасерпень[],32,FALSE),"")</f>
        <v>Н</v>
      </c>
      <c r="AG17" s="102" t="str">
        <f>IFERROR(VLOOKUP(Пошукстудента,Відвідуваністьзасерпень[],33,FALSE),"")</f>
        <v>Н</v>
      </c>
      <c r="AH17" s="136"/>
      <c r="AI17" s="136"/>
      <c r="AJ17" s="136"/>
      <c r="AK17" s="136"/>
    </row>
    <row r="18" spans="2:37" ht="14.25" x14ac:dyDescent="0.25">
      <c r="B18" s="135" t="s">
        <v>60</v>
      </c>
      <c r="C18" s="103">
        <v>1</v>
      </c>
      <c r="D18" s="103">
        <v>2</v>
      </c>
      <c r="E18" s="103">
        <v>3</v>
      </c>
      <c r="F18" s="103">
        <v>4</v>
      </c>
      <c r="G18" s="103">
        <v>5</v>
      </c>
      <c r="H18" s="103">
        <v>6</v>
      </c>
      <c r="I18" s="103">
        <v>7</v>
      </c>
      <c r="J18" s="103">
        <v>8</v>
      </c>
      <c r="K18" s="103">
        <v>9</v>
      </c>
      <c r="L18" s="103">
        <v>10</v>
      </c>
      <c r="M18" s="103">
        <v>11</v>
      </c>
      <c r="N18" s="103">
        <v>12</v>
      </c>
      <c r="O18" s="103">
        <v>13</v>
      </c>
      <c r="P18" s="103">
        <v>14</v>
      </c>
      <c r="Q18" s="103">
        <v>15</v>
      </c>
      <c r="R18" s="103">
        <v>16</v>
      </c>
      <c r="S18" s="103">
        <v>17</v>
      </c>
      <c r="T18" s="103">
        <v>18</v>
      </c>
      <c r="U18" s="103">
        <v>19</v>
      </c>
      <c r="V18" s="103">
        <v>20</v>
      </c>
      <c r="W18" s="103">
        <v>21</v>
      </c>
      <c r="X18" s="103">
        <v>22</v>
      </c>
      <c r="Y18" s="103">
        <v>23</v>
      </c>
      <c r="Z18" s="103">
        <v>24</v>
      </c>
      <c r="AA18" s="103">
        <v>25</v>
      </c>
      <c r="AB18" s="103">
        <v>26</v>
      </c>
      <c r="AC18" s="103">
        <v>27</v>
      </c>
      <c r="AD18" s="103">
        <v>28</v>
      </c>
      <c r="AE18" s="103">
        <v>29</v>
      </c>
      <c r="AF18" s="103">
        <v>30</v>
      </c>
      <c r="AG18" s="103"/>
      <c r="AH18" s="136">
        <f>COUNTIF($D19:$AH19,Код1)</f>
        <v>0</v>
      </c>
      <c r="AI18" s="136">
        <f>COUNTIF($D19:$AH19,Код2)</f>
        <v>0</v>
      </c>
      <c r="AJ18" s="136">
        <f>COUNTIF($D19:$AH19,Код3)</f>
        <v>0</v>
      </c>
      <c r="AK18" s="136">
        <f>COUNTIF($D19:$AH19,Код4)</f>
        <v>0</v>
      </c>
    </row>
    <row r="19" spans="2:37" ht="14.25" x14ac:dyDescent="0.25">
      <c r="B19" s="135"/>
      <c r="C19" s="102" t="str">
        <f>IFERROR(VLOOKUP(Пошукстудента,Відвідуваністьзавересень[],3,FALSE),"")</f>
        <v/>
      </c>
      <c r="D19" s="102" t="str">
        <f>IFERROR(VLOOKUP(Пошукстудента,Відвідуваністьзавересень[],4,FALSE),"")</f>
        <v/>
      </c>
      <c r="E19" s="102" t="str">
        <f>IFERROR(VLOOKUP(Пошукстудента,Відвідуваністьзавересень[],5,FALSE),"")</f>
        <v/>
      </c>
      <c r="F19" s="102" t="str">
        <f>IFERROR(VLOOKUP(Пошукстудента,Відвідуваністьзавересень[],6,FALSE),"")</f>
        <v/>
      </c>
      <c r="G19" s="102" t="str">
        <f>IFERROR(VLOOKUP(Пошукстудента,Відвідуваністьзавересень[],7,FALSE),"")</f>
        <v/>
      </c>
      <c r="H19" s="102" t="str">
        <f>IFERROR(VLOOKUP(Пошукстудента,Відвідуваністьзавересень[],8,FALSE),"")</f>
        <v/>
      </c>
      <c r="I19" s="102" t="str">
        <f>IFERROR(VLOOKUP(Пошукстудента,Відвідуваністьзавересень[],9,FALSE),"")</f>
        <v/>
      </c>
      <c r="J19" s="102" t="str">
        <f>IFERROR(VLOOKUP(Пошукстудента,Відвідуваністьзавересень[],10,FALSE),"")</f>
        <v/>
      </c>
      <c r="K19" s="102" t="str">
        <f>IFERROR(VLOOKUP(Пошукстудента,Відвідуваністьзавересень[],11,FALSE),"")</f>
        <v/>
      </c>
      <c r="L19" s="102" t="str">
        <f>IFERROR(VLOOKUP(Пошукстудента,Відвідуваністьзавересень[],12,FALSE),"")</f>
        <v/>
      </c>
      <c r="M19" s="102" t="str">
        <f>IFERROR(VLOOKUP(Пошукстудента,Відвідуваністьзавересень[],13,FALSE),"")</f>
        <v/>
      </c>
      <c r="N19" s="102" t="str">
        <f>IFERROR(VLOOKUP(Пошукстудента,Відвідуваністьзавересень[],14,FALSE),"")</f>
        <v/>
      </c>
      <c r="O19" s="102" t="str">
        <f>IFERROR(VLOOKUP(Пошукстудента,Відвідуваністьзавересень[],15,FALSE),"")</f>
        <v/>
      </c>
      <c r="P19" s="102" t="str">
        <f>IFERROR(VLOOKUP(Пошукстудента,Відвідуваністьзавересень[],16,FALSE),"")</f>
        <v/>
      </c>
      <c r="Q19" s="102" t="str">
        <f>IFERROR(VLOOKUP(Пошукстудента,Відвідуваністьзавересень[],17,FALSE),"")</f>
        <v/>
      </c>
      <c r="R19" s="102" t="str">
        <f>IFERROR(VLOOKUP(Пошукстудента,Відвідуваністьзавересень[],18,FALSE),"")</f>
        <v/>
      </c>
      <c r="S19" s="102" t="str">
        <f>IFERROR(VLOOKUP(Пошукстудента,Відвідуваністьзавересень[],19,FALSE),"")</f>
        <v/>
      </c>
      <c r="T19" s="102" t="str">
        <f>IFERROR(VLOOKUP(Пошукстудента,Відвідуваністьзавересень[],20,FALSE),"")</f>
        <v/>
      </c>
      <c r="U19" s="102" t="str">
        <f>IFERROR(VLOOKUP(Пошукстудента,Відвідуваністьзавересень[],21,FALSE),"")</f>
        <v/>
      </c>
      <c r="V19" s="102" t="str">
        <f>IFERROR(VLOOKUP(Пошукстудента,Відвідуваністьзавересень[],22,FALSE),"")</f>
        <v/>
      </c>
      <c r="W19" s="102" t="str">
        <f>IFERROR(VLOOKUP(Пошукстудента,Відвідуваністьзавересень[],23,FALSE),"")</f>
        <v/>
      </c>
      <c r="X19" s="102" t="str">
        <f>IFERROR(VLOOKUP(Пошукстудента,Відвідуваністьзавересень[],24,FALSE),"")</f>
        <v/>
      </c>
      <c r="Y19" s="102" t="str">
        <f>IFERROR(VLOOKUP(Пошукстудента,Відвідуваністьзавересень[],25,FALSE),"")</f>
        <v/>
      </c>
      <c r="Z19" s="102" t="str">
        <f>IFERROR(VLOOKUP(Пошукстудента,Відвідуваністьзавересень[],26,FALSE),"")</f>
        <v/>
      </c>
      <c r="AA19" s="102" t="str">
        <f>IFERROR(VLOOKUP(Пошукстудента,Відвідуваністьзавересень[],27,FALSE),"")</f>
        <v/>
      </c>
      <c r="AB19" s="102" t="str">
        <f>IFERROR(VLOOKUP(Пошукстудента,Відвідуваністьзавересень[],28,FALSE),"")</f>
        <v/>
      </c>
      <c r="AC19" s="102" t="str">
        <f>IFERROR(VLOOKUP(Пошукстудента,Відвідуваністьзавересень[],29,FALSE),"")</f>
        <v/>
      </c>
      <c r="AD19" s="102" t="str">
        <f>IFERROR(VLOOKUP(Пошукстудента,Відвідуваністьзавересень[],30,FALSE),"")</f>
        <v/>
      </c>
      <c r="AE19" s="102" t="str">
        <f>IFERROR(VLOOKUP(Пошукстудента,Відвідуваністьзавересень[],31,FALSE),"")</f>
        <v/>
      </c>
      <c r="AF19" s="102" t="str">
        <f>IFERROR(VLOOKUP(Пошукстудента,Відвідуваністьзавересень[],32,FALSE),"")</f>
        <v/>
      </c>
      <c r="AG19" s="102"/>
      <c r="AH19" s="136"/>
      <c r="AI19" s="136"/>
      <c r="AJ19" s="136"/>
      <c r="AK19" s="136"/>
    </row>
    <row r="20" spans="2:37" ht="14.25" x14ac:dyDescent="0.25">
      <c r="B20" s="135" t="s">
        <v>61</v>
      </c>
      <c r="C20" s="103">
        <v>1</v>
      </c>
      <c r="D20" s="103">
        <v>2</v>
      </c>
      <c r="E20" s="103">
        <v>3</v>
      </c>
      <c r="F20" s="103">
        <v>4</v>
      </c>
      <c r="G20" s="103">
        <v>5</v>
      </c>
      <c r="H20" s="103">
        <v>6</v>
      </c>
      <c r="I20" s="103">
        <v>7</v>
      </c>
      <c r="J20" s="103">
        <v>8</v>
      </c>
      <c r="K20" s="103">
        <v>9</v>
      </c>
      <c r="L20" s="103">
        <v>10</v>
      </c>
      <c r="M20" s="103">
        <v>11</v>
      </c>
      <c r="N20" s="103">
        <v>12</v>
      </c>
      <c r="O20" s="103">
        <v>13</v>
      </c>
      <c r="P20" s="103">
        <v>14</v>
      </c>
      <c r="Q20" s="103">
        <v>15</v>
      </c>
      <c r="R20" s="103">
        <v>16</v>
      </c>
      <c r="S20" s="103">
        <v>17</v>
      </c>
      <c r="T20" s="103">
        <v>18</v>
      </c>
      <c r="U20" s="103">
        <v>19</v>
      </c>
      <c r="V20" s="103">
        <v>20</v>
      </c>
      <c r="W20" s="103">
        <v>21</v>
      </c>
      <c r="X20" s="103">
        <v>22</v>
      </c>
      <c r="Y20" s="103">
        <v>23</v>
      </c>
      <c r="Z20" s="103">
        <v>24</v>
      </c>
      <c r="AA20" s="103">
        <v>25</v>
      </c>
      <c r="AB20" s="103">
        <v>26</v>
      </c>
      <c r="AC20" s="103">
        <v>27</v>
      </c>
      <c r="AD20" s="103">
        <v>28</v>
      </c>
      <c r="AE20" s="103">
        <v>29</v>
      </c>
      <c r="AF20" s="103">
        <v>30</v>
      </c>
      <c r="AG20" s="103">
        <v>31</v>
      </c>
      <c r="AH20" s="136">
        <f>COUNTIF($D21:$AH21,Код1)</f>
        <v>0</v>
      </c>
      <c r="AI20" s="136">
        <f>COUNTIF($D21:$AH21,Код2)</f>
        <v>0</v>
      </c>
      <c r="AJ20" s="136">
        <f>COUNTIF($D21:$AH21,Код3)</f>
        <v>0</v>
      </c>
      <c r="AK20" s="136">
        <f>COUNTIF($D21:$AH21,Код4)</f>
        <v>0</v>
      </c>
    </row>
    <row r="21" spans="2:37" ht="14.25" x14ac:dyDescent="0.25">
      <c r="B21" s="135"/>
      <c r="C21" s="102" t="str">
        <f>IFERROR(VLOOKUP(Пошукстудента,Відвідуваністьзажовтень[],3,FALSE),"")</f>
        <v/>
      </c>
      <c r="D21" s="102" t="str">
        <f>IFERROR(VLOOKUP(Пошукстудента,Відвідуваністьзажовтень[],4,FALSE),"")</f>
        <v/>
      </c>
      <c r="E21" s="102" t="str">
        <f>IFERROR(VLOOKUP(Пошукстудента,Відвідуваністьзажовтень[],5,FALSE),"")</f>
        <v/>
      </c>
      <c r="F21" s="102" t="str">
        <f>IFERROR(VLOOKUP(Пошукстудента,Відвідуваністьзажовтень[],6,FALSE),"")</f>
        <v/>
      </c>
      <c r="G21" s="102" t="str">
        <f>IFERROR(VLOOKUP(Пошукстудента,Відвідуваністьзажовтень[],7,FALSE),"")</f>
        <v/>
      </c>
      <c r="H21" s="102" t="str">
        <f>IFERROR(VLOOKUP(Пошукстудента,Відвідуваністьзажовтень[],8,FALSE),"")</f>
        <v/>
      </c>
      <c r="I21" s="102" t="str">
        <f>IFERROR(VLOOKUP(Пошукстудента,Відвідуваністьзажовтень[],9,FALSE),"")</f>
        <v/>
      </c>
      <c r="J21" s="102" t="str">
        <f>IFERROR(VLOOKUP(Пошукстудента,Відвідуваністьзажовтень[],10,FALSE),"")</f>
        <v/>
      </c>
      <c r="K21" s="102" t="str">
        <f>IFERROR(VLOOKUP(Пошукстудента,Відвідуваністьзажовтень[],11,FALSE),"")</f>
        <v/>
      </c>
      <c r="L21" s="102" t="str">
        <f>IFERROR(VLOOKUP(Пошукстудента,Відвідуваністьзажовтень[],12,FALSE),"")</f>
        <v/>
      </c>
      <c r="M21" s="102" t="str">
        <f>IFERROR(VLOOKUP(Пошукстудента,Відвідуваністьзажовтень[],13,FALSE),"")</f>
        <v/>
      </c>
      <c r="N21" s="102" t="str">
        <f>IFERROR(VLOOKUP(Пошукстудента,Відвідуваністьзажовтень[],14,FALSE),"")</f>
        <v/>
      </c>
      <c r="O21" s="102" t="str">
        <f>IFERROR(VLOOKUP(Пошукстудента,Відвідуваністьзажовтень[],15,FALSE),"")</f>
        <v/>
      </c>
      <c r="P21" s="102" t="str">
        <f>IFERROR(VLOOKUP(Пошукстудента,Відвідуваністьзажовтень[],16,FALSE),"")</f>
        <v/>
      </c>
      <c r="Q21" s="102" t="str">
        <f>IFERROR(VLOOKUP(Пошукстудента,Відвідуваністьзажовтень[],17,FALSE),"")</f>
        <v/>
      </c>
      <c r="R21" s="102" t="str">
        <f>IFERROR(VLOOKUP(Пошукстудента,Відвідуваністьзажовтень[],18,FALSE),"")</f>
        <v/>
      </c>
      <c r="S21" s="102" t="str">
        <f>IFERROR(VLOOKUP(Пошукстудента,Відвідуваністьзажовтень[],19,FALSE),"")</f>
        <v/>
      </c>
      <c r="T21" s="102" t="str">
        <f>IFERROR(VLOOKUP(Пошукстудента,Відвідуваністьзажовтень[],20,FALSE),"")</f>
        <v/>
      </c>
      <c r="U21" s="102" t="str">
        <f>IFERROR(VLOOKUP(Пошукстудента,Відвідуваністьзажовтень[],21,FALSE),"")</f>
        <v/>
      </c>
      <c r="V21" s="102" t="str">
        <f>IFERROR(VLOOKUP(Пошукстудента,Відвідуваністьзажовтень[],22,FALSE),"")</f>
        <v/>
      </c>
      <c r="W21" s="102" t="str">
        <f>IFERROR(VLOOKUP(Пошукстудента,Відвідуваністьзажовтень[],23,FALSE),"")</f>
        <v/>
      </c>
      <c r="X21" s="102" t="str">
        <f>IFERROR(VLOOKUP(Пошукстудента,Відвідуваністьзажовтень[],24,FALSE),"")</f>
        <v/>
      </c>
      <c r="Y21" s="102" t="str">
        <f>IFERROR(VLOOKUP(Пошукстудента,Відвідуваністьзажовтень[],25,FALSE),"")</f>
        <v/>
      </c>
      <c r="Z21" s="102" t="str">
        <f>IFERROR(VLOOKUP(Пошукстудента,Відвідуваністьзажовтень[],26,FALSE),"")</f>
        <v/>
      </c>
      <c r="AA21" s="102" t="str">
        <f>IFERROR(VLOOKUP(Пошукстудента,Відвідуваністьзажовтень[],27,FALSE),"")</f>
        <v/>
      </c>
      <c r="AB21" s="102" t="str">
        <f>IFERROR(VLOOKUP(Пошукстудента,Відвідуваністьзажовтень[],28,FALSE),"")</f>
        <v/>
      </c>
      <c r="AC21" s="102" t="str">
        <f>IFERROR(VLOOKUP(Пошукстудента,Відвідуваністьзажовтень[],29,FALSE),"")</f>
        <v/>
      </c>
      <c r="AD21" s="102" t="str">
        <f>IFERROR(VLOOKUP(Пошукстудента,Відвідуваністьзажовтень[],30,FALSE),"")</f>
        <v/>
      </c>
      <c r="AE21" s="102" t="str">
        <f>IFERROR(VLOOKUP(Пошукстудента,Відвідуваністьзажовтень[],31,FALSE),"")</f>
        <v/>
      </c>
      <c r="AF21" s="102" t="str">
        <f>IFERROR(VLOOKUP(Пошукстудента,Відвідуваністьзажовтень[],32,FALSE),"")</f>
        <v/>
      </c>
      <c r="AG21" s="102" t="str">
        <f>IFERROR(VLOOKUP(Пошукстудента,Відвідуваністьзажовтень[],33,FALSE),"")</f>
        <v/>
      </c>
      <c r="AH21" s="136"/>
      <c r="AI21" s="136"/>
      <c r="AJ21" s="136"/>
      <c r="AK21" s="136"/>
    </row>
    <row r="22" spans="2:37" ht="14.25" x14ac:dyDescent="0.25">
      <c r="B22" s="135" t="s">
        <v>62</v>
      </c>
      <c r="C22" s="103">
        <v>1</v>
      </c>
      <c r="D22" s="103">
        <v>2</v>
      </c>
      <c r="E22" s="103">
        <v>3</v>
      </c>
      <c r="F22" s="103">
        <v>4</v>
      </c>
      <c r="G22" s="103">
        <v>5</v>
      </c>
      <c r="H22" s="103">
        <v>6</v>
      </c>
      <c r="I22" s="103">
        <v>7</v>
      </c>
      <c r="J22" s="103">
        <v>8</v>
      </c>
      <c r="K22" s="103">
        <v>9</v>
      </c>
      <c r="L22" s="103">
        <v>10</v>
      </c>
      <c r="M22" s="103">
        <v>11</v>
      </c>
      <c r="N22" s="103">
        <v>12</v>
      </c>
      <c r="O22" s="103">
        <v>13</v>
      </c>
      <c r="P22" s="103">
        <v>14</v>
      </c>
      <c r="Q22" s="103">
        <v>15</v>
      </c>
      <c r="R22" s="103">
        <v>16</v>
      </c>
      <c r="S22" s="103">
        <v>17</v>
      </c>
      <c r="T22" s="103">
        <v>18</v>
      </c>
      <c r="U22" s="103">
        <v>19</v>
      </c>
      <c r="V22" s="103">
        <v>20</v>
      </c>
      <c r="W22" s="103">
        <v>21</v>
      </c>
      <c r="X22" s="103">
        <v>22</v>
      </c>
      <c r="Y22" s="103">
        <v>23</v>
      </c>
      <c r="Z22" s="103">
        <v>24</v>
      </c>
      <c r="AA22" s="103">
        <v>25</v>
      </c>
      <c r="AB22" s="103">
        <v>26</v>
      </c>
      <c r="AC22" s="103">
        <v>27</v>
      </c>
      <c r="AD22" s="103">
        <v>28</v>
      </c>
      <c r="AE22" s="103">
        <v>29</v>
      </c>
      <c r="AF22" s="103">
        <v>30</v>
      </c>
      <c r="AG22" s="103"/>
      <c r="AH22" s="136">
        <f>COUNTIF($D23:$AH23,Код1)</f>
        <v>0</v>
      </c>
      <c r="AI22" s="136">
        <f>COUNTIF($D23:$AH23,Код2)</f>
        <v>0</v>
      </c>
      <c r="AJ22" s="136">
        <f>COUNTIF($D23:$AH23,Код3)</f>
        <v>0</v>
      </c>
      <c r="AK22" s="136">
        <f>COUNTIF($D23:$AH23,Код4)</f>
        <v>0</v>
      </c>
    </row>
    <row r="23" spans="2:37" ht="14.25" x14ac:dyDescent="0.25">
      <c r="B23" s="135"/>
      <c r="C23" s="102" t="str">
        <f>IFERROR(VLOOKUP(Пошукстудента,Відвідуваністьзалистопад[],3,FALSE),"")</f>
        <v/>
      </c>
      <c r="D23" s="102" t="str">
        <f>IFERROR(VLOOKUP(Пошукстудента,Відвідуваністьзалистопад[],4,FALSE),"")</f>
        <v/>
      </c>
      <c r="E23" s="102" t="str">
        <f>IFERROR(VLOOKUP(Пошукстудента,Відвідуваністьзалистопад[],5,FALSE),"")</f>
        <v/>
      </c>
      <c r="F23" s="102" t="str">
        <f>IFERROR(VLOOKUP(Пошукстудента,Відвідуваністьзалистопад[],6,FALSE),"")</f>
        <v/>
      </c>
      <c r="G23" s="102" t="str">
        <f>IFERROR(VLOOKUP(Пошукстудента,Відвідуваністьзалистопад[],7,FALSE),"")</f>
        <v/>
      </c>
      <c r="H23" s="102" t="str">
        <f>IFERROR(VLOOKUP(Пошукстудента,Відвідуваністьзалистопад[],8,FALSE),"")</f>
        <v/>
      </c>
      <c r="I23" s="102" t="str">
        <f>IFERROR(VLOOKUP(Пошукстудента,Відвідуваністьзалистопад[],9,FALSE),"")</f>
        <v/>
      </c>
      <c r="J23" s="102" t="str">
        <f>IFERROR(VLOOKUP(Пошукстудента,Відвідуваністьзалистопад[],10,FALSE),"")</f>
        <v/>
      </c>
      <c r="K23" s="102" t="str">
        <f>IFERROR(VLOOKUP(Пошукстудента,Відвідуваністьзалистопад[],11,FALSE),"")</f>
        <v/>
      </c>
      <c r="L23" s="102" t="str">
        <f>IFERROR(VLOOKUP(Пошукстудента,Відвідуваністьзалистопад[],12,FALSE),"")</f>
        <v/>
      </c>
      <c r="M23" s="102" t="str">
        <f>IFERROR(VLOOKUP(Пошукстудента,Відвідуваністьзалистопад[],13,FALSE),"")</f>
        <v/>
      </c>
      <c r="N23" s="102" t="str">
        <f>IFERROR(VLOOKUP(Пошукстудента,Відвідуваністьзалистопад[],14,FALSE),"")</f>
        <v/>
      </c>
      <c r="O23" s="102" t="str">
        <f>IFERROR(VLOOKUP(Пошукстудента,Відвідуваністьзалистопад[],15,FALSE),"")</f>
        <v/>
      </c>
      <c r="P23" s="102" t="str">
        <f>IFERROR(VLOOKUP(Пошукстудента,Відвідуваністьзалистопад[],16,FALSE),"")</f>
        <v/>
      </c>
      <c r="Q23" s="102" t="str">
        <f>IFERROR(VLOOKUP(Пошукстудента,Відвідуваністьзалистопад[],17,FALSE),"")</f>
        <v/>
      </c>
      <c r="R23" s="102" t="str">
        <f>IFERROR(VLOOKUP(Пошукстудента,Відвідуваністьзалистопад[],18,FALSE),"")</f>
        <v/>
      </c>
      <c r="S23" s="102" t="str">
        <f>IFERROR(VLOOKUP(Пошукстудента,Відвідуваністьзалистопад[],19,FALSE),"")</f>
        <v/>
      </c>
      <c r="T23" s="102" t="str">
        <f>IFERROR(VLOOKUP(Пошукстудента,Відвідуваністьзалистопад[],20,FALSE),"")</f>
        <v/>
      </c>
      <c r="U23" s="102" t="str">
        <f>IFERROR(VLOOKUP(Пошукстудента,Відвідуваністьзалистопад[],21,FALSE),"")</f>
        <v/>
      </c>
      <c r="V23" s="102" t="str">
        <f>IFERROR(VLOOKUP(Пошукстудента,Відвідуваністьзалистопад[],22,FALSE),"")</f>
        <v/>
      </c>
      <c r="W23" s="102" t="str">
        <f>IFERROR(VLOOKUP(Пошукстудента,Відвідуваністьзалистопад[],23,FALSE),"")</f>
        <v/>
      </c>
      <c r="X23" s="102" t="str">
        <f>IFERROR(VLOOKUP(Пошукстудента,Відвідуваністьзалистопад[],24,FALSE),"")</f>
        <v/>
      </c>
      <c r="Y23" s="102" t="str">
        <f>IFERROR(VLOOKUP(Пошукстудента,Відвідуваністьзалистопад[],25,FALSE),"")</f>
        <v/>
      </c>
      <c r="Z23" s="102" t="str">
        <f>IFERROR(VLOOKUP(Пошукстудента,Відвідуваністьзалистопад[],26,FALSE),"")</f>
        <v/>
      </c>
      <c r="AA23" s="102" t="str">
        <f>IFERROR(VLOOKUP(Пошукстудента,Відвідуваністьзалистопад[],27,FALSE),"")</f>
        <v/>
      </c>
      <c r="AB23" s="102" t="str">
        <f>IFERROR(VLOOKUP(Пошукстудента,Відвідуваністьзалистопад[],28,FALSE),"")</f>
        <v/>
      </c>
      <c r="AC23" s="102" t="str">
        <f>IFERROR(VLOOKUP(Пошукстудента,Відвідуваністьзалистопад[],29,FALSE),"")</f>
        <v/>
      </c>
      <c r="AD23" s="102" t="str">
        <f>IFERROR(VLOOKUP(Пошукстудента,Відвідуваністьзалистопад[],30,FALSE),"")</f>
        <v/>
      </c>
      <c r="AE23" s="102" t="str">
        <f>IFERROR(VLOOKUP(Пошукстудента,Відвідуваністьзалистопад[],31,FALSE),"")</f>
        <v/>
      </c>
      <c r="AF23" s="102" t="str">
        <f>IFERROR(VLOOKUP(Пошукстудента,Відвідуваністьзалистопад[],32,FALSE),"")</f>
        <v/>
      </c>
      <c r="AG23" s="102"/>
      <c r="AH23" s="136"/>
      <c r="AI23" s="136"/>
      <c r="AJ23" s="136"/>
      <c r="AK23" s="136"/>
    </row>
    <row r="24" spans="2:37" ht="14.25" x14ac:dyDescent="0.25">
      <c r="B24" s="135" t="s">
        <v>63</v>
      </c>
      <c r="C24" s="103">
        <v>1</v>
      </c>
      <c r="D24" s="103">
        <v>2</v>
      </c>
      <c r="E24" s="103">
        <v>3</v>
      </c>
      <c r="F24" s="103">
        <v>4</v>
      </c>
      <c r="G24" s="103">
        <v>5</v>
      </c>
      <c r="H24" s="103">
        <v>6</v>
      </c>
      <c r="I24" s="103">
        <v>7</v>
      </c>
      <c r="J24" s="103">
        <v>8</v>
      </c>
      <c r="K24" s="103">
        <v>9</v>
      </c>
      <c r="L24" s="103">
        <v>10</v>
      </c>
      <c r="M24" s="103">
        <v>11</v>
      </c>
      <c r="N24" s="103">
        <v>12</v>
      </c>
      <c r="O24" s="103">
        <v>13</v>
      </c>
      <c r="P24" s="103">
        <v>14</v>
      </c>
      <c r="Q24" s="103">
        <v>15</v>
      </c>
      <c r="R24" s="103">
        <v>16</v>
      </c>
      <c r="S24" s="103">
        <v>17</v>
      </c>
      <c r="T24" s="103">
        <v>18</v>
      </c>
      <c r="U24" s="103">
        <v>19</v>
      </c>
      <c r="V24" s="103">
        <v>20</v>
      </c>
      <c r="W24" s="103">
        <v>21</v>
      </c>
      <c r="X24" s="103">
        <v>22</v>
      </c>
      <c r="Y24" s="103">
        <v>23</v>
      </c>
      <c r="Z24" s="103">
        <v>24</v>
      </c>
      <c r="AA24" s="103">
        <v>25</v>
      </c>
      <c r="AB24" s="103">
        <v>26</v>
      </c>
      <c r="AC24" s="103">
        <v>27</v>
      </c>
      <c r="AD24" s="103">
        <v>28</v>
      </c>
      <c r="AE24" s="103">
        <v>29</v>
      </c>
      <c r="AF24" s="103">
        <v>30</v>
      </c>
      <c r="AG24" s="103">
        <v>31</v>
      </c>
      <c r="AH24" s="136">
        <f>COUNTIF($D25:$AH25,Код1)</f>
        <v>0</v>
      </c>
      <c r="AI24" s="136">
        <f>COUNTIF($D25:$AH25,Код2)</f>
        <v>0</v>
      </c>
      <c r="AJ24" s="136">
        <f>COUNTIF($D25:$AH25,Код3)</f>
        <v>0</v>
      </c>
      <c r="AK24" s="136">
        <f>COUNTIF($D25:$AH25,Код4)</f>
        <v>0</v>
      </c>
    </row>
    <row r="25" spans="2:37" ht="14.25" x14ac:dyDescent="0.25">
      <c r="B25" s="135"/>
      <c r="C25" s="102" t="str">
        <f>IFERROR(VLOOKUP(Пошукстудента,Відвідуваністьзагрудень[],3,FALSE),"")</f>
        <v/>
      </c>
      <c r="D25" s="102" t="str">
        <f>IFERROR(VLOOKUP(Пошукстудента,Відвідуваністьзагрудень[],4,FALSE),"")</f>
        <v/>
      </c>
      <c r="E25" s="102" t="str">
        <f>IFERROR(VLOOKUP(Пошукстудента,Відвідуваністьзагрудень[],5,FALSE),"")</f>
        <v/>
      </c>
      <c r="F25" s="102" t="str">
        <f>IFERROR(VLOOKUP(Пошукстудента,Відвідуваністьзагрудень[],6,FALSE),"")</f>
        <v/>
      </c>
      <c r="G25" s="102" t="str">
        <f>IFERROR(VLOOKUP(Пошукстудента,Відвідуваністьзагрудень[],7,FALSE),"")</f>
        <v/>
      </c>
      <c r="H25" s="102" t="str">
        <f>IFERROR(VLOOKUP(Пошукстудента,Відвідуваністьзагрудень[],8,FALSE),"")</f>
        <v/>
      </c>
      <c r="I25" s="102" t="str">
        <f>IFERROR(VLOOKUP(Пошукстудента,Відвідуваністьзагрудень[],9,FALSE),"")</f>
        <v/>
      </c>
      <c r="J25" s="102" t="str">
        <f>IFERROR(VLOOKUP(Пошукстудента,Відвідуваністьзагрудень[],10,FALSE),"")</f>
        <v/>
      </c>
      <c r="K25" s="102" t="str">
        <f>IFERROR(VLOOKUP(Пошукстудента,Відвідуваністьзагрудень[],11,FALSE),"")</f>
        <v/>
      </c>
      <c r="L25" s="102" t="str">
        <f>IFERROR(VLOOKUP(Пошукстудента,Відвідуваністьзагрудень[],12,FALSE),"")</f>
        <v/>
      </c>
      <c r="M25" s="102" t="str">
        <f>IFERROR(VLOOKUP(Пошукстудента,Відвідуваністьзагрудень[],13,FALSE),"")</f>
        <v/>
      </c>
      <c r="N25" s="102" t="str">
        <f>IFERROR(VLOOKUP(Пошукстудента,Відвідуваністьзагрудень[],14,FALSE),"")</f>
        <v/>
      </c>
      <c r="O25" s="102" t="str">
        <f>IFERROR(VLOOKUP(Пошукстудента,Відвідуваністьзагрудень[],15,FALSE),"")</f>
        <v/>
      </c>
      <c r="P25" s="102" t="str">
        <f>IFERROR(VLOOKUP(Пошукстудента,Відвідуваністьзагрудень[],16,FALSE),"")</f>
        <v/>
      </c>
      <c r="Q25" s="102" t="str">
        <f>IFERROR(VLOOKUP(Пошукстудента,Відвідуваністьзагрудень[],17,FALSE),"")</f>
        <v/>
      </c>
      <c r="R25" s="102" t="str">
        <f>IFERROR(VLOOKUP(Пошукстудента,Відвідуваністьзагрудень[],18,FALSE),"")</f>
        <v/>
      </c>
      <c r="S25" s="102" t="str">
        <f>IFERROR(VLOOKUP(Пошукстудента,Відвідуваністьзагрудень[],19,FALSE),"")</f>
        <v/>
      </c>
      <c r="T25" s="102" t="str">
        <f>IFERROR(VLOOKUP(Пошукстудента,Відвідуваністьзагрудень[],20,FALSE),"")</f>
        <v/>
      </c>
      <c r="U25" s="102" t="str">
        <f>IFERROR(VLOOKUP(Пошукстудента,Відвідуваністьзагрудень[],21,FALSE),"")</f>
        <v/>
      </c>
      <c r="V25" s="102" t="str">
        <f>IFERROR(VLOOKUP(Пошукстудента,Відвідуваністьзагрудень[],22,FALSE),"")</f>
        <v/>
      </c>
      <c r="W25" s="102" t="str">
        <f>IFERROR(VLOOKUP(Пошукстудента,Відвідуваністьзагрудень[],23,FALSE),"")</f>
        <v/>
      </c>
      <c r="X25" s="102" t="str">
        <f>IFERROR(VLOOKUP(Пошукстудента,Відвідуваністьзагрудень[],24,FALSE),"")</f>
        <v/>
      </c>
      <c r="Y25" s="102" t="str">
        <f>IFERROR(VLOOKUP(Пошукстудента,Відвідуваністьзагрудень[],25,FALSE),"")</f>
        <v/>
      </c>
      <c r="Z25" s="102" t="str">
        <f>IFERROR(VLOOKUP(Пошукстудента,Відвідуваністьзагрудень[],26,FALSE),"")</f>
        <v/>
      </c>
      <c r="AA25" s="102" t="str">
        <f>IFERROR(VLOOKUP(Пошукстудента,Відвідуваністьзагрудень[],27,FALSE),"")</f>
        <v/>
      </c>
      <c r="AB25" s="102" t="str">
        <f>IFERROR(VLOOKUP(Пошукстудента,Відвідуваністьзагрудень[],28,FALSE),"")</f>
        <v/>
      </c>
      <c r="AC25" s="102" t="str">
        <f>IFERROR(VLOOKUP(Пошукстудента,Відвідуваністьзагрудень[],29,FALSE),"")</f>
        <v/>
      </c>
      <c r="AD25" s="102" t="str">
        <f>IFERROR(VLOOKUP(Пошукстудента,Відвідуваністьзагрудень[],30,FALSE),"")</f>
        <v/>
      </c>
      <c r="AE25" s="102" t="str">
        <f>IFERROR(VLOOKUP(Пошукстудента,Відвідуваністьзагрудень[],31,FALSE),"")</f>
        <v/>
      </c>
      <c r="AF25" s="102" t="str">
        <f>IFERROR(VLOOKUP(Пошукстудента,Відвідуваністьзагрудень[],32,FALSE),"")</f>
        <v/>
      </c>
      <c r="AG25" s="102" t="str">
        <f>IFERROR(VLOOKUP(Пошукстудента,Відвідуваністьзагрудень[],33,FALSE),"")</f>
        <v/>
      </c>
      <c r="AH25" s="136"/>
      <c r="AI25" s="136"/>
      <c r="AJ25" s="136"/>
      <c r="AK25" s="136"/>
    </row>
    <row r="26" spans="2:37" ht="14.25" x14ac:dyDescent="0.25">
      <c r="B26" s="135" t="s">
        <v>64</v>
      </c>
      <c r="C26" s="103">
        <v>1</v>
      </c>
      <c r="D26" s="103">
        <v>2</v>
      </c>
      <c r="E26" s="103">
        <v>3</v>
      </c>
      <c r="F26" s="103">
        <v>4</v>
      </c>
      <c r="G26" s="103">
        <v>5</v>
      </c>
      <c r="H26" s="103">
        <v>6</v>
      </c>
      <c r="I26" s="103">
        <v>7</v>
      </c>
      <c r="J26" s="103">
        <v>8</v>
      </c>
      <c r="K26" s="103">
        <v>9</v>
      </c>
      <c r="L26" s="103">
        <v>10</v>
      </c>
      <c r="M26" s="103">
        <v>11</v>
      </c>
      <c r="N26" s="103">
        <v>12</v>
      </c>
      <c r="O26" s="103">
        <v>13</v>
      </c>
      <c r="P26" s="103">
        <v>14</v>
      </c>
      <c r="Q26" s="103">
        <v>15</v>
      </c>
      <c r="R26" s="103">
        <v>16</v>
      </c>
      <c r="S26" s="103">
        <v>17</v>
      </c>
      <c r="T26" s="103">
        <v>18</v>
      </c>
      <c r="U26" s="103">
        <v>19</v>
      </c>
      <c r="V26" s="103">
        <v>20</v>
      </c>
      <c r="W26" s="103">
        <v>21</v>
      </c>
      <c r="X26" s="103">
        <v>22</v>
      </c>
      <c r="Y26" s="103">
        <v>23</v>
      </c>
      <c r="Z26" s="103">
        <v>24</v>
      </c>
      <c r="AA26" s="103">
        <v>25</v>
      </c>
      <c r="AB26" s="103">
        <v>26</v>
      </c>
      <c r="AC26" s="103">
        <v>27</v>
      </c>
      <c r="AD26" s="103">
        <v>28</v>
      </c>
      <c r="AE26" s="103">
        <v>29</v>
      </c>
      <c r="AF26" s="103">
        <v>30</v>
      </c>
      <c r="AG26" s="103">
        <v>31</v>
      </c>
      <c r="AH26" s="136">
        <f>COUNTIF($D27:$AH27,Код1)</f>
        <v>0</v>
      </c>
      <c r="AI26" s="136">
        <f>COUNTIF($D27:$AH27,Код2)</f>
        <v>0</v>
      </c>
      <c r="AJ26" s="136">
        <f>COUNTIF($D27:$AH27,Код3)</f>
        <v>0</v>
      </c>
      <c r="AK26" s="136">
        <f>COUNTIF($D27:$AH27,Код4)</f>
        <v>0</v>
      </c>
    </row>
    <row r="27" spans="2:37" ht="14.25" x14ac:dyDescent="0.25">
      <c r="B27" s="135"/>
      <c r="C27" s="102" t="str">
        <f>IFERROR(VLOOKUP(Пошукстудента,Відвідуваністьзасічень[],3,FALSE),"")</f>
        <v/>
      </c>
      <c r="D27" s="102" t="str">
        <f>IFERROR(VLOOKUP(Пошукстудента,Відвідуваністьзасічень[],4,FALSE),"")</f>
        <v/>
      </c>
      <c r="E27" s="102" t="str">
        <f>IFERROR(VLOOKUP(Пошукстудента,Відвідуваністьзасічень[],5,FALSE),"")</f>
        <v/>
      </c>
      <c r="F27" s="102" t="str">
        <f>IFERROR(VLOOKUP(Пошукстудента,Відвідуваністьзасічень[],6,FALSE),"")</f>
        <v/>
      </c>
      <c r="G27" s="102" t="str">
        <f>IFERROR(VLOOKUP(Пошукстудента,Відвідуваністьзасічень[],7,FALSE),"")</f>
        <v/>
      </c>
      <c r="H27" s="102" t="str">
        <f>IFERROR(VLOOKUP(Пошукстудента,Відвідуваністьзасічень[],8,FALSE),"")</f>
        <v/>
      </c>
      <c r="I27" s="102" t="str">
        <f>IFERROR(VLOOKUP(Пошукстудента,Відвідуваністьзасічень[],9,FALSE),"")</f>
        <v/>
      </c>
      <c r="J27" s="102" t="str">
        <f>IFERROR(VLOOKUP(Пошукстудента,Відвідуваністьзасічень[],10,FALSE),"")</f>
        <v/>
      </c>
      <c r="K27" s="102" t="str">
        <f>IFERROR(VLOOKUP(Пошукстудента,Відвідуваністьзасічень[],11,FALSE),"")</f>
        <v/>
      </c>
      <c r="L27" s="102" t="str">
        <f>IFERROR(VLOOKUP(Пошукстудента,Відвідуваністьзасічень[],12,FALSE),"")</f>
        <v/>
      </c>
      <c r="M27" s="102" t="str">
        <f>IFERROR(VLOOKUP(Пошукстудента,Відвідуваністьзасічень[],13,FALSE),"")</f>
        <v/>
      </c>
      <c r="N27" s="102" t="str">
        <f>IFERROR(VLOOKUP(Пошукстудента,Відвідуваністьзасічень[],14,FALSE),"")</f>
        <v/>
      </c>
      <c r="O27" s="102" t="str">
        <f>IFERROR(VLOOKUP(Пошукстудента,Відвідуваністьзасічень[],15,FALSE),"")</f>
        <v/>
      </c>
      <c r="P27" s="102" t="str">
        <f>IFERROR(VLOOKUP(Пошукстудента,Відвідуваністьзасічень[],16,FALSE),"")</f>
        <v/>
      </c>
      <c r="Q27" s="102" t="str">
        <f>IFERROR(VLOOKUP(Пошукстудента,Відвідуваністьзасічень[],17,FALSE),"")</f>
        <v/>
      </c>
      <c r="R27" s="102" t="str">
        <f>IFERROR(VLOOKUP(Пошукстудента,Відвідуваністьзасічень[],18,FALSE),"")</f>
        <v/>
      </c>
      <c r="S27" s="102" t="str">
        <f>IFERROR(VLOOKUP(Пошукстудента,Відвідуваністьзасічень[],19,FALSE),"")</f>
        <v/>
      </c>
      <c r="T27" s="102" t="str">
        <f>IFERROR(VLOOKUP(Пошукстудента,Відвідуваністьзасічень[],20,FALSE),"")</f>
        <v/>
      </c>
      <c r="U27" s="102" t="str">
        <f>IFERROR(VLOOKUP(Пошукстудента,Відвідуваністьзасічень[],21,FALSE),"")</f>
        <v/>
      </c>
      <c r="V27" s="102" t="str">
        <f>IFERROR(VLOOKUP(Пошукстудента,Відвідуваністьзасічень[],22,FALSE),"")</f>
        <v/>
      </c>
      <c r="W27" s="102" t="str">
        <f>IFERROR(VLOOKUP(Пошукстудента,Відвідуваністьзасічень[],23,FALSE),"")</f>
        <v/>
      </c>
      <c r="X27" s="102" t="str">
        <f>IFERROR(VLOOKUP(Пошукстудента,Відвідуваністьзасічень[],24,FALSE),"")</f>
        <v/>
      </c>
      <c r="Y27" s="102" t="str">
        <f>IFERROR(VLOOKUP(Пошукстудента,Відвідуваністьзасічень[],25,FALSE),"")</f>
        <v/>
      </c>
      <c r="Z27" s="102" t="str">
        <f>IFERROR(VLOOKUP(Пошукстудента,Відвідуваністьзасічень[],26,FALSE),"")</f>
        <v/>
      </c>
      <c r="AA27" s="102" t="str">
        <f>IFERROR(VLOOKUP(Пошукстудента,Відвідуваністьзасічень[],27,FALSE),"")</f>
        <v/>
      </c>
      <c r="AB27" s="102" t="str">
        <f>IFERROR(VLOOKUP(Пошукстудента,Відвідуваністьзасічень[],28,FALSE),"")</f>
        <v/>
      </c>
      <c r="AC27" s="102" t="str">
        <f>IFERROR(VLOOKUP(Пошукстудента,Відвідуваністьзасічень[],29,FALSE),"")</f>
        <v/>
      </c>
      <c r="AD27" s="102" t="str">
        <f>IFERROR(VLOOKUP(Пошукстудента,Відвідуваністьзасічень[],30,FALSE),"")</f>
        <v/>
      </c>
      <c r="AE27" s="102" t="str">
        <f>IFERROR(VLOOKUP(Пошукстудента,Відвідуваністьзасічень[],31,FALSE),"")</f>
        <v/>
      </c>
      <c r="AF27" s="102" t="str">
        <f>IFERROR(VLOOKUP(Пошукстудента,Відвідуваністьзасічень[],32,FALSE),"")</f>
        <v/>
      </c>
      <c r="AG27" s="102" t="str">
        <f>IFERROR(VLOOKUP(Пошукстудента,Відвідуваністьзасічень[],33,FALSE),"")</f>
        <v/>
      </c>
      <c r="AH27" s="136"/>
      <c r="AI27" s="136"/>
      <c r="AJ27" s="136"/>
      <c r="AK27" s="136"/>
    </row>
    <row r="28" spans="2:37" ht="14.25" x14ac:dyDescent="0.25">
      <c r="B28" s="135" t="s">
        <v>65</v>
      </c>
      <c r="C28" s="103">
        <v>1</v>
      </c>
      <c r="D28" s="103">
        <v>2</v>
      </c>
      <c r="E28" s="103">
        <v>3</v>
      </c>
      <c r="F28" s="103">
        <v>4</v>
      </c>
      <c r="G28" s="103">
        <v>5</v>
      </c>
      <c r="H28" s="103">
        <v>6</v>
      </c>
      <c r="I28" s="103">
        <v>7</v>
      </c>
      <c r="J28" s="103">
        <v>8</v>
      </c>
      <c r="K28" s="103">
        <v>9</v>
      </c>
      <c r="L28" s="103">
        <v>10</v>
      </c>
      <c r="M28" s="103">
        <v>11</v>
      </c>
      <c r="N28" s="103">
        <v>12</v>
      </c>
      <c r="O28" s="103">
        <v>13</v>
      </c>
      <c r="P28" s="103">
        <v>14</v>
      </c>
      <c r="Q28" s="103">
        <v>15</v>
      </c>
      <c r="R28" s="103">
        <v>16</v>
      </c>
      <c r="S28" s="103">
        <v>17</v>
      </c>
      <c r="T28" s="103">
        <v>18</v>
      </c>
      <c r="U28" s="103">
        <v>19</v>
      </c>
      <c r="V28" s="103">
        <v>20</v>
      </c>
      <c r="W28" s="103">
        <v>21</v>
      </c>
      <c r="X28" s="103">
        <v>22</v>
      </c>
      <c r="Y28" s="103">
        <v>23</v>
      </c>
      <c r="Z28" s="103">
        <v>24</v>
      </c>
      <c r="AA28" s="103">
        <v>25</v>
      </c>
      <c r="AB28" s="103">
        <v>26</v>
      </c>
      <c r="AC28" s="103">
        <v>27</v>
      </c>
      <c r="AD28" s="103">
        <v>28</v>
      </c>
      <c r="AE28" s="103">
        <v>29</v>
      </c>
      <c r="AF28" s="103"/>
      <c r="AG28" s="103"/>
      <c r="AH28" s="136">
        <f>COUNTIF($D29:$AH29,Код1)</f>
        <v>0</v>
      </c>
      <c r="AI28" s="136">
        <f>COUNTIF($D29:$AH29,Код2)</f>
        <v>0</v>
      </c>
      <c r="AJ28" s="136">
        <f>COUNTIF($D29:$AH29,Код3)</f>
        <v>0</v>
      </c>
      <c r="AK28" s="136">
        <f>COUNTIF($D29:$AH29,Код4)</f>
        <v>0</v>
      </c>
    </row>
    <row r="29" spans="2:37" ht="14.25" x14ac:dyDescent="0.25">
      <c r="B29" s="135"/>
      <c r="C29" s="102" t="str">
        <f>IFERROR(VLOOKUP(Пошукстудента,Відвідуваністьзалютий[],3,FALSE),"")</f>
        <v/>
      </c>
      <c r="D29" s="102" t="str">
        <f>IFERROR(VLOOKUP(Пошукстудента,Відвідуваністьзалютий[],4,FALSE),"")</f>
        <v/>
      </c>
      <c r="E29" s="102" t="str">
        <f>IFERROR(VLOOKUP(Пошукстудента,Відвідуваністьзалютий[],5,FALSE),"")</f>
        <v/>
      </c>
      <c r="F29" s="102" t="str">
        <f>IFERROR(VLOOKUP(Пошукстудента,Відвідуваністьзалютий[],6,FALSE),"")</f>
        <v/>
      </c>
      <c r="G29" s="102" t="str">
        <f>IFERROR(VLOOKUP(Пошукстудента,Відвідуваністьзалютий[],7,FALSE),"")</f>
        <v/>
      </c>
      <c r="H29" s="102" t="str">
        <f>IFERROR(VLOOKUP(Пошукстудента,Відвідуваністьзалютий[],8,FALSE),"")</f>
        <v/>
      </c>
      <c r="I29" s="102" t="str">
        <f>IFERROR(VLOOKUP(Пошукстудента,Відвідуваністьзалютий[],9,FALSE),"")</f>
        <v/>
      </c>
      <c r="J29" s="102" t="str">
        <f>IFERROR(VLOOKUP(Пошукстудента,Відвідуваністьзалютий[],10,FALSE),"")</f>
        <v/>
      </c>
      <c r="K29" s="102" t="str">
        <f>IFERROR(VLOOKUP(Пошукстудента,Відвідуваністьзалютий[],11,FALSE),"")</f>
        <v/>
      </c>
      <c r="L29" s="102" t="str">
        <f>IFERROR(VLOOKUP(Пошукстудента,Відвідуваністьзалютий[],12,FALSE),"")</f>
        <v/>
      </c>
      <c r="M29" s="102" t="str">
        <f>IFERROR(VLOOKUP(Пошукстудента,Відвідуваністьзалютий[],13,FALSE),"")</f>
        <v/>
      </c>
      <c r="N29" s="102" t="str">
        <f>IFERROR(VLOOKUP(Пошукстудента,Відвідуваністьзалютий[],14,FALSE),"")</f>
        <v/>
      </c>
      <c r="O29" s="102" t="str">
        <f>IFERROR(VLOOKUP(Пошукстудента,Відвідуваністьзалютий[],15,FALSE),"")</f>
        <v/>
      </c>
      <c r="P29" s="102" t="str">
        <f>IFERROR(VLOOKUP(Пошукстудента,Відвідуваністьзалютий[],16,FALSE),"")</f>
        <v/>
      </c>
      <c r="Q29" s="102" t="str">
        <f>IFERROR(VLOOKUP(Пошукстудента,Відвідуваністьзалютий[],17,FALSE),"")</f>
        <v/>
      </c>
      <c r="R29" s="102" t="str">
        <f>IFERROR(VLOOKUP(Пошукстудента,Відвідуваністьзалютий[],18,FALSE),"")</f>
        <v/>
      </c>
      <c r="S29" s="102" t="str">
        <f>IFERROR(VLOOKUP(Пошукстудента,Відвідуваністьзалютий[],19,FALSE),"")</f>
        <v/>
      </c>
      <c r="T29" s="102" t="str">
        <f>IFERROR(VLOOKUP(Пошукстудента,Відвідуваністьзалютий[],20,FALSE),"")</f>
        <v/>
      </c>
      <c r="U29" s="102" t="str">
        <f>IFERROR(VLOOKUP(Пошукстудента,Відвідуваністьзалютий[],21,FALSE),"")</f>
        <v/>
      </c>
      <c r="V29" s="102" t="str">
        <f>IFERROR(VLOOKUP(Пошукстудента,Відвідуваністьзалютий[],22,FALSE),"")</f>
        <v/>
      </c>
      <c r="W29" s="102" t="str">
        <f>IFERROR(VLOOKUP(Пошукстудента,Відвідуваністьзалютий[],23,FALSE),"")</f>
        <v/>
      </c>
      <c r="X29" s="102" t="str">
        <f>IFERROR(VLOOKUP(Пошукстудента,Відвідуваністьзалютий[],24,FALSE),"")</f>
        <v/>
      </c>
      <c r="Y29" s="102" t="str">
        <f>IFERROR(VLOOKUP(Пошукстудента,Відвідуваністьзалютий[],25,FALSE),"")</f>
        <v/>
      </c>
      <c r="Z29" s="102" t="str">
        <f>IFERROR(VLOOKUP(Пошукстудента,Відвідуваністьзалютий[],26,FALSE),"")</f>
        <v/>
      </c>
      <c r="AA29" s="102" t="str">
        <f>IFERROR(VLOOKUP(Пошукстудента,Відвідуваністьзалютий[],27,FALSE),"")</f>
        <v/>
      </c>
      <c r="AB29" s="102" t="str">
        <f>IFERROR(VLOOKUP(Пошукстудента,Відвідуваністьзалютий[],28,FALSE),"")</f>
        <v/>
      </c>
      <c r="AC29" s="102" t="str">
        <f>IFERROR(VLOOKUP(Пошукстудента,Відвідуваністьзалютий[],29,FALSE),"")</f>
        <v/>
      </c>
      <c r="AD29" s="102" t="str">
        <f>IFERROR(VLOOKUP(Пошукстудента,Відвідуваністьзалютий[],30,FALSE),"")</f>
        <v/>
      </c>
      <c r="AE29" s="102" t="str">
        <f>IFERROR(VLOOKUP(Пошукстудента,Відвідуваністьзалютий[],31,FALSE),"")</f>
        <v/>
      </c>
      <c r="AF29" s="102"/>
      <c r="AG29" s="102"/>
      <c r="AH29" s="136"/>
      <c r="AI29" s="136"/>
      <c r="AJ29" s="136"/>
      <c r="AK29" s="136"/>
    </row>
    <row r="30" spans="2:37" ht="14.25" x14ac:dyDescent="0.25">
      <c r="B30" s="135" t="s">
        <v>66</v>
      </c>
      <c r="C30" s="103">
        <v>1</v>
      </c>
      <c r="D30" s="103">
        <v>2</v>
      </c>
      <c r="E30" s="103">
        <v>3</v>
      </c>
      <c r="F30" s="103">
        <v>4</v>
      </c>
      <c r="G30" s="103">
        <v>5</v>
      </c>
      <c r="H30" s="103">
        <v>6</v>
      </c>
      <c r="I30" s="103">
        <v>7</v>
      </c>
      <c r="J30" s="103">
        <v>8</v>
      </c>
      <c r="K30" s="103">
        <v>9</v>
      </c>
      <c r="L30" s="103">
        <v>10</v>
      </c>
      <c r="M30" s="103">
        <v>11</v>
      </c>
      <c r="N30" s="103">
        <v>12</v>
      </c>
      <c r="O30" s="103">
        <v>13</v>
      </c>
      <c r="P30" s="103">
        <v>14</v>
      </c>
      <c r="Q30" s="103">
        <v>15</v>
      </c>
      <c r="R30" s="103">
        <v>16</v>
      </c>
      <c r="S30" s="103">
        <v>17</v>
      </c>
      <c r="T30" s="103">
        <v>18</v>
      </c>
      <c r="U30" s="103">
        <v>19</v>
      </c>
      <c r="V30" s="103">
        <v>20</v>
      </c>
      <c r="W30" s="103">
        <v>21</v>
      </c>
      <c r="X30" s="103">
        <v>22</v>
      </c>
      <c r="Y30" s="103">
        <v>23</v>
      </c>
      <c r="Z30" s="103">
        <v>24</v>
      </c>
      <c r="AA30" s="103">
        <v>25</v>
      </c>
      <c r="AB30" s="103">
        <v>26</v>
      </c>
      <c r="AC30" s="103">
        <v>27</v>
      </c>
      <c r="AD30" s="103">
        <v>28</v>
      </c>
      <c r="AE30" s="103">
        <v>29</v>
      </c>
      <c r="AF30" s="103">
        <v>30</v>
      </c>
      <c r="AG30" s="103">
        <v>31</v>
      </c>
      <c r="AH30" s="136">
        <f>COUNTIF($D31:$AH31,Код1)</f>
        <v>0</v>
      </c>
      <c r="AI30" s="136">
        <f>COUNTIF($D31:$AH31,Код2)</f>
        <v>0</v>
      </c>
      <c r="AJ30" s="136">
        <f>COUNTIF($D31:$AH31,Код3)</f>
        <v>0</v>
      </c>
      <c r="AK30" s="136">
        <f>COUNTIF($D31:$AH31,Код4)</f>
        <v>0</v>
      </c>
    </row>
    <row r="31" spans="2:37" ht="14.25" x14ac:dyDescent="0.25">
      <c r="B31" s="135"/>
      <c r="C31" s="102" t="str">
        <f>IFERROR(VLOOKUP(Пошукстудента,Відвідуваністьзаберезень[],3,FALSE),"")</f>
        <v/>
      </c>
      <c r="D31" s="102" t="str">
        <f>IFERROR(VLOOKUP(Пошукстудента,Відвідуваністьзаберезень[],4,FALSE),"")</f>
        <v/>
      </c>
      <c r="E31" s="102" t="str">
        <f>IFERROR(VLOOKUP(Пошукстудента,Відвідуваністьзаберезень[],5,FALSE),"")</f>
        <v/>
      </c>
      <c r="F31" s="102" t="str">
        <f>IFERROR(VLOOKUP(Пошукстудента,Відвідуваністьзаберезень[],6,FALSE),"")</f>
        <v/>
      </c>
      <c r="G31" s="102" t="str">
        <f>IFERROR(VLOOKUP(Пошукстудента,Відвідуваністьзаберезень[],7,FALSE),"")</f>
        <v/>
      </c>
      <c r="H31" s="102" t="str">
        <f>IFERROR(VLOOKUP(Пошукстудента,Відвідуваністьзаберезень[],8,FALSE),"")</f>
        <v/>
      </c>
      <c r="I31" s="102" t="str">
        <f>IFERROR(VLOOKUP(Пошукстудента,Відвідуваністьзаберезень[],9,FALSE),"")</f>
        <v/>
      </c>
      <c r="J31" s="102" t="str">
        <f>IFERROR(VLOOKUP(Пошукстудента,Відвідуваністьзаберезень[],10,FALSE),"")</f>
        <v/>
      </c>
      <c r="K31" s="102" t="str">
        <f>IFERROR(VLOOKUP(Пошукстудента,Відвідуваністьзаберезень[],11,FALSE),"")</f>
        <v/>
      </c>
      <c r="L31" s="102" t="str">
        <f>IFERROR(VLOOKUP(Пошукстудента,Відвідуваністьзаберезень[],12,FALSE),"")</f>
        <v/>
      </c>
      <c r="M31" s="102" t="str">
        <f>IFERROR(VLOOKUP(Пошукстудента,Відвідуваністьзаберезень[],13,FALSE),"")</f>
        <v/>
      </c>
      <c r="N31" s="102" t="str">
        <f>IFERROR(VLOOKUP(Пошукстудента,Відвідуваністьзаберезень[],14,FALSE),"")</f>
        <v/>
      </c>
      <c r="O31" s="102" t="str">
        <f>IFERROR(VLOOKUP(Пошукстудента,Відвідуваністьзаберезень[],15,FALSE),"")</f>
        <v/>
      </c>
      <c r="P31" s="102" t="str">
        <f>IFERROR(VLOOKUP(Пошукстудента,Відвідуваністьзаберезень[],16,FALSE),"")</f>
        <v/>
      </c>
      <c r="Q31" s="102" t="str">
        <f>IFERROR(VLOOKUP(Пошукстудента,Відвідуваністьзаберезень[],17,FALSE),"")</f>
        <v/>
      </c>
      <c r="R31" s="102" t="str">
        <f>IFERROR(VLOOKUP(Пошукстудента,Відвідуваністьзаберезень[],18,FALSE),"")</f>
        <v/>
      </c>
      <c r="S31" s="102" t="str">
        <f>IFERROR(VLOOKUP(Пошукстудента,Відвідуваністьзаберезень[],19,FALSE),"")</f>
        <v/>
      </c>
      <c r="T31" s="102" t="str">
        <f>IFERROR(VLOOKUP(Пошукстудента,Відвідуваністьзаберезень[],20,FALSE),"")</f>
        <v/>
      </c>
      <c r="U31" s="102" t="str">
        <f>IFERROR(VLOOKUP(Пошукстудента,Відвідуваністьзаберезень[],21,FALSE),"")</f>
        <v/>
      </c>
      <c r="V31" s="102" t="str">
        <f>IFERROR(VLOOKUP(Пошукстудента,Відвідуваністьзаберезень[],22,FALSE),"")</f>
        <v/>
      </c>
      <c r="W31" s="102" t="str">
        <f>IFERROR(VLOOKUP(Пошукстудента,Відвідуваністьзаберезень[],23,FALSE),"")</f>
        <v/>
      </c>
      <c r="X31" s="102" t="str">
        <f>IFERROR(VLOOKUP(Пошукстудента,Відвідуваністьзаберезень[],24,FALSE),"")</f>
        <v/>
      </c>
      <c r="Y31" s="102" t="str">
        <f>IFERROR(VLOOKUP(Пошукстудента,Відвідуваністьзаберезень[],25,FALSE),"")</f>
        <v/>
      </c>
      <c r="Z31" s="102" t="str">
        <f>IFERROR(VLOOKUP(Пошукстудента,Відвідуваністьзаберезень[],26,FALSE),"")</f>
        <v/>
      </c>
      <c r="AA31" s="102" t="str">
        <f>IFERROR(VLOOKUP(Пошукстудента,Відвідуваністьзаберезень[],27,FALSE),"")</f>
        <v/>
      </c>
      <c r="AB31" s="102" t="str">
        <f>IFERROR(VLOOKUP(Пошукстудента,Відвідуваністьзаберезень[],28,FALSE),"")</f>
        <v/>
      </c>
      <c r="AC31" s="102" t="str">
        <f>IFERROR(VLOOKUP(Пошукстудента,Відвідуваністьзаберезень[],29,FALSE),"")</f>
        <v/>
      </c>
      <c r="AD31" s="102" t="str">
        <f>IFERROR(VLOOKUP(Пошукстудента,Відвідуваністьзаберезень[],30,FALSE),"")</f>
        <v/>
      </c>
      <c r="AE31" s="102" t="str">
        <f>IFERROR(VLOOKUP(Пошукстудента,Відвідуваністьзаберезень[],31,FALSE),"")</f>
        <v/>
      </c>
      <c r="AF31" s="102" t="str">
        <f>IFERROR(VLOOKUP(Пошукстудента,Відвідуваністьзаберезень[],32,FALSE),"")</f>
        <v/>
      </c>
      <c r="AG31" s="102" t="str">
        <f>IFERROR(VLOOKUP(Пошукстудента,Відвідуваністьзаберезень[],33,FALSE),"")</f>
        <v/>
      </c>
      <c r="AH31" s="136"/>
      <c r="AI31" s="136"/>
      <c r="AJ31" s="136"/>
      <c r="AK31" s="136"/>
    </row>
    <row r="32" spans="2:37" ht="14.25" x14ac:dyDescent="0.25">
      <c r="B32" s="135" t="s">
        <v>67</v>
      </c>
      <c r="C32" s="103">
        <v>1</v>
      </c>
      <c r="D32" s="103">
        <v>2</v>
      </c>
      <c r="E32" s="103">
        <v>3</v>
      </c>
      <c r="F32" s="103">
        <v>4</v>
      </c>
      <c r="G32" s="103">
        <v>5</v>
      </c>
      <c r="H32" s="103">
        <v>6</v>
      </c>
      <c r="I32" s="103">
        <v>7</v>
      </c>
      <c r="J32" s="103">
        <v>8</v>
      </c>
      <c r="K32" s="103">
        <v>9</v>
      </c>
      <c r="L32" s="103">
        <v>10</v>
      </c>
      <c r="M32" s="103">
        <v>11</v>
      </c>
      <c r="N32" s="103">
        <v>12</v>
      </c>
      <c r="O32" s="103">
        <v>13</v>
      </c>
      <c r="P32" s="103">
        <v>14</v>
      </c>
      <c r="Q32" s="103">
        <v>15</v>
      </c>
      <c r="R32" s="103">
        <v>16</v>
      </c>
      <c r="S32" s="103">
        <v>17</v>
      </c>
      <c r="T32" s="103">
        <v>18</v>
      </c>
      <c r="U32" s="103">
        <v>19</v>
      </c>
      <c r="V32" s="103">
        <v>20</v>
      </c>
      <c r="W32" s="103">
        <v>21</v>
      </c>
      <c r="X32" s="103">
        <v>22</v>
      </c>
      <c r="Y32" s="103">
        <v>23</v>
      </c>
      <c r="Z32" s="103">
        <v>24</v>
      </c>
      <c r="AA32" s="103">
        <v>25</v>
      </c>
      <c r="AB32" s="103">
        <v>26</v>
      </c>
      <c r="AC32" s="103">
        <v>27</v>
      </c>
      <c r="AD32" s="103">
        <v>28</v>
      </c>
      <c r="AE32" s="103">
        <v>29</v>
      </c>
      <c r="AF32" s="103">
        <v>30</v>
      </c>
      <c r="AG32" s="103"/>
      <c r="AH32" s="136">
        <f>COUNTIF($D33:$AH33,Код1)</f>
        <v>0</v>
      </c>
      <c r="AI32" s="136">
        <f>COUNTIF($D33:$AH33,Код2)</f>
        <v>0</v>
      </c>
      <c r="AJ32" s="136">
        <f>COUNTIF($D33:$AH33,Код3)</f>
        <v>0</v>
      </c>
      <c r="AK32" s="136">
        <f>COUNTIF($D33:$AH33,Код4)</f>
        <v>0</v>
      </c>
    </row>
    <row r="33" spans="2:37" ht="14.25" x14ac:dyDescent="0.25">
      <c r="B33" s="135"/>
      <c r="C33" s="102" t="str">
        <f>IFERROR(VLOOKUP(Пошукстудента,Відвідуваністьзаквітень[],3,FALSE),"")</f>
        <v/>
      </c>
      <c r="D33" s="102" t="str">
        <f>IFERROR(VLOOKUP(Пошукстудента,Відвідуваністьзаквітень[],4,FALSE),"")</f>
        <v/>
      </c>
      <c r="E33" s="102" t="str">
        <f>IFERROR(VLOOKUP(Пошукстудента,Відвідуваністьзаквітень[],5,FALSE),"")</f>
        <v/>
      </c>
      <c r="F33" s="102" t="str">
        <f>IFERROR(VLOOKUP(Пошукстудента,Відвідуваністьзаквітень[],6,FALSE),"")</f>
        <v/>
      </c>
      <c r="G33" s="102" t="str">
        <f>IFERROR(VLOOKUP(Пошукстудента,Відвідуваністьзаквітень[],7,FALSE),"")</f>
        <v/>
      </c>
      <c r="H33" s="102" t="str">
        <f>IFERROR(VLOOKUP(Пошукстудента,Відвідуваністьзаквітень[],8,FALSE),"")</f>
        <v/>
      </c>
      <c r="I33" s="102" t="str">
        <f>IFERROR(VLOOKUP(Пошукстудента,Відвідуваністьзаквітень[],9,FALSE),"")</f>
        <v/>
      </c>
      <c r="J33" s="102" t="str">
        <f>IFERROR(VLOOKUP(Пошукстудента,Відвідуваністьзаквітень[],10,FALSE),"")</f>
        <v/>
      </c>
      <c r="K33" s="102" t="str">
        <f>IFERROR(VLOOKUP(Пошукстудента,Відвідуваністьзаквітень[],11,FALSE),"")</f>
        <v/>
      </c>
      <c r="L33" s="102" t="str">
        <f>IFERROR(VLOOKUP(Пошукстудента,Відвідуваністьзаквітень[],12,FALSE),"")</f>
        <v/>
      </c>
      <c r="M33" s="102" t="str">
        <f>IFERROR(VLOOKUP(Пошукстудента,Відвідуваністьзаквітень[],13,FALSE),"")</f>
        <v/>
      </c>
      <c r="N33" s="102" t="str">
        <f>IFERROR(VLOOKUP(Пошукстудента,Відвідуваністьзаквітень[],14,FALSE),"")</f>
        <v/>
      </c>
      <c r="O33" s="102" t="str">
        <f>IFERROR(VLOOKUP(Пошукстудента,Відвідуваністьзаквітень[],15,FALSE),"")</f>
        <v/>
      </c>
      <c r="P33" s="102" t="str">
        <f>IFERROR(VLOOKUP(Пошукстудента,Відвідуваністьзаквітень[],16,FALSE),"")</f>
        <v/>
      </c>
      <c r="Q33" s="102" t="str">
        <f>IFERROR(VLOOKUP(Пошукстудента,Відвідуваністьзаквітень[],17,FALSE),"")</f>
        <v/>
      </c>
      <c r="R33" s="102" t="str">
        <f>IFERROR(VLOOKUP(Пошукстудента,Відвідуваністьзаквітень[],18,FALSE),"")</f>
        <v/>
      </c>
      <c r="S33" s="102" t="str">
        <f>IFERROR(VLOOKUP(Пошукстудента,Відвідуваністьзаквітень[],19,FALSE),"")</f>
        <v/>
      </c>
      <c r="T33" s="102" t="str">
        <f>IFERROR(VLOOKUP(Пошукстудента,Відвідуваністьзаквітень[],20,FALSE),"")</f>
        <v/>
      </c>
      <c r="U33" s="102" t="str">
        <f>IFERROR(VLOOKUP(Пошукстудента,Відвідуваністьзаквітень[],21,FALSE),"")</f>
        <v/>
      </c>
      <c r="V33" s="102" t="str">
        <f>IFERROR(VLOOKUP(Пошукстудента,Відвідуваністьзаквітень[],22,FALSE),"")</f>
        <v/>
      </c>
      <c r="W33" s="102" t="str">
        <f>IFERROR(VLOOKUP(Пошукстудента,Відвідуваністьзаквітень[],23,FALSE),"")</f>
        <v/>
      </c>
      <c r="X33" s="102" t="str">
        <f>IFERROR(VLOOKUP(Пошукстудента,Відвідуваністьзаквітень[],24,FALSE),"")</f>
        <v/>
      </c>
      <c r="Y33" s="102" t="str">
        <f>IFERROR(VLOOKUP(Пошукстудента,Відвідуваністьзаквітень[],25,FALSE),"")</f>
        <v/>
      </c>
      <c r="Z33" s="102" t="str">
        <f>IFERROR(VLOOKUP(Пошукстудента,Відвідуваністьзаквітень[],26,FALSE),"")</f>
        <v/>
      </c>
      <c r="AA33" s="102" t="str">
        <f>IFERROR(VLOOKUP(Пошукстудента,Відвідуваністьзаквітень[],27,FALSE),"")</f>
        <v/>
      </c>
      <c r="AB33" s="102" t="str">
        <f>IFERROR(VLOOKUP(Пошукстудента,Відвідуваністьзаквітень[],28,FALSE),"")</f>
        <v/>
      </c>
      <c r="AC33" s="102" t="str">
        <f>IFERROR(VLOOKUP(Пошукстудента,Відвідуваністьзаквітень[],29,FALSE),"")</f>
        <v/>
      </c>
      <c r="AD33" s="102" t="str">
        <f>IFERROR(VLOOKUP(Пошукстудента,Відвідуваністьзаквітень[],30,FALSE),"")</f>
        <v/>
      </c>
      <c r="AE33" s="102" t="str">
        <f>IFERROR(VLOOKUP(Пошукстудента,Відвідуваністьзаквітень[],31,FALSE),"")</f>
        <v/>
      </c>
      <c r="AF33" s="102" t="str">
        <f>IFERROR(VLOOKUP(Пошукстудента,Відвідуваністьзаквітень[],32,FALSE),"")</f>
        <v/>
      </c>
      <c r="AG33" s="102"/>
      <c r="AH33" s="136"/>
      <c r="AI33" s="136"/>
      <c r="AJ33" s="136"/>
      <c r="AK33" s="136"/>
    </row>
    <row r="34" spans="2:37" ht="14.25" x14ac:dyDescent="0.25">
      <c r="B34" s="135" t="s">
        <v>68</v>
      </c>
      <c r="C34" s="103">
        <v>1</v>
      </c>
      <c r="D34" s="103">
        <v>2</v>
      </c>
      <c r="E34" s="103">
        <v>3</v>
      </c>
      <c r="F34" s="103">
        <v>4</v>
      </c>
      <c r="G34" s="103">
        <v>5</v>
      </c>
      <c r="H34" s="103">
        <v>6</v>
      </c>
      <c r="I34" s="103">
        <v>7</v>
      </c>
      <c r="J34" s="103">
        <v>8</v>
      </c>
      <c r="K34" s="103">
        <v>9</v>
      </c>
      <c r="L34" s="103">
        <v>10</v>
      </c>
      <c r="M34" s="103">
        <v>11</v>
      </c>
      <c r="N34" s="103">
        <v>12</v>
      </c>
      <c r="O34" s="103">
        <v>13</v>
      </c>
      <c r="P34" s="103">
        <v>14</v>
      </c>
      <c r="Q34" s="103">
        <v>15</v>
      </c>
      <c r="R34" s="103">
        <v>16</v>
      </c>
      <c r="S34" s="103">
        <v>17</v>
      </c>
      <c r="T34" s="103">
        <v>18</v>
      </c>
      <c r="U34" s="103">
        <v>19</v>
      </c>
      <c r="V34" s="103">
        <v>20</v>
      </c>
      <c r="W34" s="103">
        <v>21</v>
      </c>
      <c r="X34" s="103">
        <v>22</v>
      </c>
      <c r="Y34" s="103">
        <v>23</v>
      </c>
      <c r="Z34" s="103">
        <v>24</v>
      </c>
      <c r="AA34" s="103">
        <v>25</v>
      </c>
      <c r="AB34" s="103">
        <v>26</v>
      </c>
      <c r="AC34" s="103">
        <v>27</v>
      </c>
      <c r="AD34" s="103">
        <v>28</v>
      </c>
      <c r="AE34" s="103">
        <v>29</v>
      </c>
      <c r="AF34" s="103">
        <v>30</v>
      </c>
      <c r="AG34" s="103">
        <v>31</v>
      </c>
      <c r="AH34" s="136">
        <f>COUNTIF($D35:$AH35,Код1)</f>
        <v>0</v>
      </c>
      <c r="AI34" s="136">
        <f>COUNTIF($D35:$AH35,Код2)</f>
        <v>0</v>
      </c>
      <c r="AJ34" s="136">
        <f>COUNTIF($D35:$AH35,Код3)</f>
        <v>0</v>
      </c>
      <c r="AK34" s="136">
        <f>COUNTIF($D35:$AH35,Код4)</f>
        <v>0</v>
      </c>
    </row>
    <row r="35" spans="2:37" ht="14.25" x14ac:dyDescent="0.25">
      <c r="B35" s="135"/>
      <c r="C35" s="102" t="str">
        <f>IFERROR(VLOOKUP(Пошукстудента,Відвідуваністьзатравень[],3,FALSE),"")</f>
        <v/>
      </c>
      <c r="D35" s="102" t="str">
        <f>IFERROR(VLOOKUP(Пошукстудента,Відвідуваністьзатравень[],4,FALSE),"")</f>
        <v/>
      </c>
      <c r="E35" s="102" t="str">
        <f>IFERROR(VLOOKUP(Пошукстудента,Відвідуваністьзатравень[],5,FALSE),"")</f>
        <v/>
      </c>
      <c r="F35" s="102" t="str">
        <f>IFERROR(VLOOKUP(Пошукстудента,Відвідуваністьзатравень[],6,FALSE),"")</f>
        <v/>
      </c>
      <c r="G35" s="102" t="str">
        <f>IFERROR(VLOOKUP(Пошукстудента,Відвідуваністьзатравень[],7,FALSE),"")</f>
        <v/>
      </c>
      <c r="H35" s="102" t="str">
        <f>IFERROR(VLOOKUP(Пошукстудента,Відвідуваністьзатравень[],8,FALSE),"")</f>
        <v/>
      </c>
      <c r="I35" s="102" t="str">
        <f>IFERROR(VLOOKUP(Пошукстудента,Відвідуваністьзатравень[],9,FALSE),"")</f>
        <v/>
      </c>
      <c r="J35" s="102" t="str">
        <f>IFERROR(VLOOKUP(Пошукстудента,Відвідуваністьзатравень[],10,FALSE),"")</f>
        <v/>
      </c>
      <c r="K35" s="102" t="str">
        <f>IFERROR(VLOOKUP(Пошукстудента,Відвідуваністьзатравень[],11,FALSE),"")</f>
        <v/>
      </c>
      <c r="L35" s="102" t="str">
        <f>IFERROR(VLOOKUP(Пошукстудента,Відвідуваністьзатравень[],12,FALSE),"")</f>
        <v/>
      </c>
      <c r="M35" s="102" t="str">
        <f>IFERROR(VLOOKUP(Пошукстудента,Відвідуваністьзатравень[],13,FALSE),"")</f>
        <v/>
      </c>
      <c r="N35" s="102" t="str">
        <f>IFERROR(VLOOKUP(Пошукстудента,Відвідуваністьзатравень[],14,FALSE),"")</f>
        <v/>
      </c>
      <c r="O35" s="102" t="str">
        <f>IFERROR(VLOOKUP(Пошукстудента,Відвідуваністьзатравень[],15,FALSE),"")</f>
        <v/>
      </c>
      <c r="P35" s="102" t="str">
        <f>IFERROR(VLOOKUP(Пошукстудента,Відвідуваністьзатравень[],16,FALSE),"")</f>
        <v/>
      </c>
      <c r="Q35" s="102" t="str">
        <f>IFERROR(VLOOKUP(Пошукстудента,Відвідуваністьзатравень[],17,FALSE),"")</f>
        <v/>
      </c>
      <c r="R35" s="102" t="str">
        <f>IFERROR(VLOOKUP(Пошукстудента,Відвідуваністьзатравень[],18,FALSE),"")</f>
        <v/>
      </c>
      <c r="S35" s="102" t="str">
        <f>IFERROR(VLOOKUP(Пошукстудента,Відвідуваністьзатравень[],19,FALSE),"")</f>
        <v/>
      </c>
      <c r="T35" s="102" t="str">
        <f>IFERROR(VLOOKUP(Пошукстудента,Відвідуваністьзатравень[],20,FALSE),"")</f>
        <v/>
      </c>
      <c r="U35" s="102" t="str">
        <f>IFERROR(VLOOKUP(Пошукстудента,Відвідуваністьзатравень[],21,FALSE),"")</f>
        <v/>
      </c>
      <c r="V35" s="102" t="str">
        <f>IFERROR(VLOOKUP(Пошукстудента,Відвідуваністьзатравень[],22,FALSE),"")</f>
        <v/>
      </c>
      <c r="W35" s="102" t="str">
        <f>IFERROR(VLOOKUP(Пошукстудента,Відвідуваністьзатравень[],23,FALSE),"")</f>
        <v/>
      </c>
      <c r="X35" s="102" t="str">
        <f>IFERROR(VLOOKUP(Пошукстудента,Відвідуваністьзатравень[],24,FALSE),"")</f>
        <v/>
      </c>
      <c r="Y35" s="102" t="str">
        <f>IFERROR(VLOOKUP(Пошукстудента,Відвідуваністьзатравень[],25,FALSE),"")</f>
        <v/>
      </c>
      <c r="Z35" s="102" t="str">
        <f>IFERROR(VLOOKUP(Пошукстудента,Відвідуваністьзатравень[],26,FALSE),"")</f>
        <v/>
      </c>
      <c r="AA35" s="102" t="str">
        <f>IFERROR(VLOOKUP(Пошукстудента,Відвідуваністьзатравень[],27,FALSE),"")</f>
        <v/>
      </c>
      <c r="AB35" s="102" t="str">
        <f>IFERROR(VLOOKUP(Пошукстудента,Відвідуваністьзатравень[],28,FALSE),"")</f>
        <v/>
      </c>
      <c r="AC35" s="102" t="str">
        <f>IFERROR(VLOOKUP(Пошукстудента,Відвідуваністьзатравень[],29,FALSE),"")</f>
        <v/>
      </c>
      <c r="AD35" s="102" t="str">
        <f>IFERROR(VLOOKUP(Пошукстудента,Відвідуваністьзатравень[],30,FALSE),"")</f>
        <v/>
      </c>
      <c r="AE35" s="102" t="str">
        <f>IFERROR(VLOOKUP(Пошукстудента,Відвідуваністьзатравень[],31,FALSE),"")</f>
        <v/>
      </c>
      <c r="AF35" s="102" t="str">
        <f>IFERROR(VLOOKUP(Пошукстудента,Відвідуваністьзатравень[],32,FALSE),"")</f>
        <v/>
      </c>
      <c r="AG35" s="102" t="str">
        <f>IFERROR(VLOOKUP(Пошукстудента,Відвідуваністьзатравень[],33,FALSE),"")</f>
        <v/>
      </c>
      <c r="AH35" s="136"/>
      <c r="AI35" s="136"/>
      <c r="AJ35" s="136"/>
      <c r="AK35" s="136"/>
    </row>
    <row r="36" spans="2:37" ht="14.25" x14ac:dyDescent="0.25">
      <c r="B36" s="137" t="s">
        <v>69</v>
      </c>
      <c r="C36" s="103">
        <v>1</v>
      </c>
      <c r="D36" s="103">
        <v>2</v>
      </c>
      <c r="E36" s="103">
        <v>3</v>
      </c>
      <c r="F36" s="103">
        <v>4</v>
      </c>
      <c r="G36" s="103">
        <v>5</v>
      </c>
      <c r="H36" s="103">
        <v>6</v>
      </c>
      <c r="I36" s="103">
        <v>7</v>
      </c>
      <c r="J36" s="103">
        <v>8</v>
      </c>
      <c r="K36" s="103">
        <v>9</v>
      </c>
      <c r="L36" s="103">
        <v>10</v>
      </c>
      <c r="M36" s="103">
        <v>11</v>
      </c>
      <c r="N36" s="103">
        <v>12</v>
      </c>
      <c r="O36" s="103">
        <v>13</v>
      </c>
      <c r="P36" s="103">
        <v>14</v>
      </c>
      <c r="Q36" s="103">
        <v>15</v>
      </c>
      <c r="R36" s="103">
        <v>16</v>
      </c>
      <c r="S36" s="103">
        <v>17</v>
      </c>
      <c r="T36" s="103">
        <v>18</v>
      </c>
      <c r="U36" s="103">
        <v>19</v>
      </c>
      <c r="V36" s="103">
        <v>20</v>
      </c>
      <c r="W36" s="103">
        <v>21</v>
      </c>
      <c r="X36" s="103">
        <v>22</v>
      </c>
      <c r="Y36" s="103">
        <v>23</v>
      </c>
      <c r="Z36" s="103">
        <v>24</v>
      </c>
      <c r="AA36" s="103">
        <v>25</v>
      </c>
      <c r="AB36" s="103">
        <v>26</v>
      </c>
      <c r="AC36" s="103">
        <v>27</v>
      </c>
      <c r="AD36" s="103">
        <v>28</v>
      </c>
      <c r="AE36" s="103">
        <v>29</v>
      </c>
      <c r="AF36" s="103">
        <v>30</v>
      </c>
      <c r="AG36" s="103"/>
      <c r="AH36" s="132">
        <f>COUNTIF($D37:$AH37,Код1)</f>
        <v>0</v>
      </c>
      <c r="AI36" s="132">
        <f>COUNTIF($D37:$AH37,Код2)</f>
        <v>0</v>
      </c>
      <c r="AJ36" s="132">
        <f>COUNTIF($D37:$AH37,Код3)</f>
        <v>0</v>
      </c>
      <c r="AK36" s="132">
        <f>COUNTIF($D37:$AH37,Код4)</f>
        <v>0</v>
      </c>
    </row>
    <row r="37" spans="2:37" ht="14.25" x14ac:dyDescent="0.25">
      <c r="B37" s="138"/>
      <c r="C37" s="102" t="str">
        <f>IFERROR(VLOOKUP(Пошукстудента,Відвідуваністьзачервень[],3,FALSE),"")</f>
        <v/>
      </c>
      <c r="D37" s="102" t="str">
        <f>IFERROR(VLOOKUP(Пошукстудента,Відвідуваністьзачервень[],4,FALSE),"")</f>
        <v/>
      </c>
      <c r="E37" s="102" t="str">
        <f>IFERROR(VLOOKUP(Пошукстудента,Відвідуваністьзачервень[],5,FALSE),"")</f>
        <v/>
      </c>
      <c r="F37" s="102" t="str">
        <f>IFERROR(VLOOKUP(Пошукстудента,Відвідуваністьзачервень[],6,FALSE),"")</f>
        <v/>
      </c>
      <c r="G37" s="102" t="str">
        <f>IFERROR(VLOOKUP(Пошукстудента,Відвідуваністьзачервень[],7,FALSE),"")</f>
        <v/>
      </c>
      <c r="H37" s="102" t="str">
        <f>IFERROR(VLOOKUP(Пошукстудента,Відвідуваністьзачервень[],8,FALSE),"")</f>
        <v/>
      </c>
      <c r="I37" s="102" t="str">
        <f>IFERROR(VLOOKUP(Пошукстудента,Відвідуваністьзачервень[],9,FALSE),"")</f>
        <v/>
      </c>
      <c r="J37" s="102" t="str">
        <f>IFERROR(VLOOKUP(Пошукстудента,Відвідуваністьзачервень[],10,FALSE),"")</f>
        <v/>
      </c>
      <c r="K37" s="102" t="str">
        <f>IFERROR(VLOOKUP(Пошукстудента,Відвідуваністьзачервень[],11,FALSE),"")</f>
        <v/>
      </c>
      <c r="L37" s="102" t="str">
        <f>IFERROR(VLOOKUP(Пошукстудента,Відвідуваністьзачервень[],12,FALSE),"")</f>
        <v/>
      </c>
      <c r="M37" s="102" t="str">
        <f>IFERROR(VLOOKUP(Пошукстудента,Відвідуваністьзачервень[],13,FALSE),"")</f>
        <v/>
      </c>
      <c r="N37" s="102" t="str">
        <f>IFERROR(VLOOKUP(Пошукстудента,Відвідуваністьзачервень[],14,FALSE),"")</f>
        <v/>
      </c>
      <c r="O37" s="102" t="str">
        <f>IFERROR(VLOOKUP(Пошукстудента,Відвідуваністьзачервень[],15,FALSE),"")</f>
        <v/>
      </c>
      <c r="P37" s="102" t="str">
        <f>IFERROR(VLOOKUP(Пошукстудента,Відвідуваністьзачервень[],16,FALSE),"")</f>
        <v/>
      </c>
      <c r="Q37" s="102" t="str">
        <f>IFERROR(VLOOKUP(Пошукстудента,Відвідуваністьзачервень[],17,FALSE),"")</f>
        <v/>
      </c>
      <c r="R37" s="102" t="str">
        <f>IFERROR(VLOOKUP(Пошукстудента,Відвідуваністьзачервень[],18,FALSE),"")</f>
        <v/>
      </c>
      <c r="S37" s="102" t="str">
        <f>IFERROR(VLOOKUP(Пошукстудента,Відвідуваністьзачервень[],19,FALSE),"")</f>
        <v/>
      </c>
      <c r="T37" s="102" t="str">
        <f>IFERROR(VLOOKUP(Пошукстудента,Відвідуваністьзачервень[],20,FALSE),"")</f>
        <v/>
      </c>
      <c r="U37" s="102" t="str">
        <f>IFERROR(VLOOKUP(Пошукстудента,Відвідуваністьзачервень[],21,FALSE),"")</f>
        <v/>
      </c>
      <c r="V37" s="102" t="str">
        <f>IFERROR(VLOOKUP(Пошукстудента,Відвідуваністьзачервень[],22,FALSE),"")</f>
        <v/>
      </c>
      <c r="W37" s="102" t="str">
        <f>IFERROR(VLOOKUP(Пошукстудента,Відвідуваністьзачервень[],23,FALSE),"")</f>
        <v/>
      </c>
      <c r="X37" s="102" t="str">
        <f>IFERROR(VLOOKUP(Пошукстудента,Відвідуваністьзачервень[],24,FALSE),"")</f>
        <v/>
      </c>
      <c r="Y37" s="102" t="str">
        <f>IFERROR(VLOOKUP(Пошукстудента,Відвідуваністьзачервень[],25,FALSE),"")</f>
        <v/>
      </c>
      <c r="Z37" s="102" t="str">
        <f>IFERROR(VLOOKUP(Пошукстудента,Відвідуваністьзачервень[],26,FALSE),"")</f>
        <v/>
      </c>
      <c r="AA37" s="102" t="str">
        <f>IFERROR(VLOOKUP(Пошукстудента,Відвідуваністьзачервень[],27,FALSE),"")</f>
        <v/>
      </c>
      <c r="AB37" s="102" t="str">
        <f>IFERROR(VLOOKUP(Пошукстудента,Відвідуваністьзачервень[],28,FALSE),"")</f>
        <v/>
      </c>
      <c r="AC37" s="102" t="str">
        <f>IFERROR(VLOOKUP(Пошукстудента,Відвідуваністьзачервень[],29,FALSE),"")</f>
        <v/>
      </c>
      <c r="AD37" s="102" t="str">
        <f>IFERROR(VLOOKUP(Пошукстудента,Відвідуваністьзачервень[],30,FALSE),"")</f>
        <v/>
      </c>
      <c r="AE37" s="102" t="str">
        <f>IFERROR(VLOOKUP(Пошукстудента,Відвідуваністьзачервень[],31,FALSE),"")</f>
        <v/>
      </c>
      <c r="AF37" s="102" t="str">
        <f>IFERROR(VLOOKUP(Пошукстудента,Відвідуваністьзачервень[],32,FALSE),"")</f>
        <v/>
      </c>
      <c r="AG37" s="102"/>
      <c r="AH37" s="133"/>
      <c r="AI37" s="133"/>
      <c r="AJ37" s="133"/>
      <c r="AK37" s="133"/>
    </row>
    <row r="38" spans="2:37" ht="14.25" x14ac:dyDescent="0.25">
      <c r="B38" s="137" t="s">
        <v>70</v>
      </c>
      <c r="C38" s="103">
        <v>1</v>
      </c>
      <c r="D38" s="103">
        <v>2</v>
      </c>
      <c r="E38" s="103">
        <v>3</v>
      </c>
      <c r="F38" s="103">
        <v>4</v>
      </c>
      <c r="G38" s="103">
        <v>5</v>
      </c>
      <c r="H38" s="103">
        <v>6</v>
      </c>
      <c r="I38" s="103">
        <v>7</v>
      </c>
      <c r="J38" s="103">
        <v>8</v>
      </c>
      <c r="K38" s="103">
        <v>9</v>
      </c>
      <c r="L38" s="103">
        <v>10</v>
      </c>
      <c r="M38" s="103">
        <v>11</v>
      </c>
      <c r="N38" s="103">
        <v>12</v>
      </c>
      <c r="O38" s="103">
        <v>13</v>
      </c>
      <c r="P38" s="103">
        <v>14</v>
      </c>
      <c r="Q38" s="103">
        <v>15</v>
      </c>
      <c r="R38" s="103">
        <v>16</v>
      </c>
      <c r="S38" s="103">
        <v>17</v>
      </c>
      <c r="T38" s="103">
        <v>18</v>
      </c>
      <c r="U38" s="103">
        <v>19</v>
      </c>
      <c r="V38" s="103">
        <v>20</v>
      </c>
      <c r="W38" s="103">
        <v>21</v>
      </c>
      <c r="X38" s="103">
        <v>22</v>
      </c>
      <c r="Y38" s="103">
        <v>23</v>
      </c>
      <c r="Z38" s="103">
        <v>24</v>
      </c>
      <c r="AA38" s="103">
        <v>25</v>
      </c>
      <c r="AB38" s="103">
        <v>26</v>
      </c>
      <c r="AC38" s="103">
        <v>27</v>
      </c>
      <c r="AD38" s="103">
        <v>28</v>
      </c>
      <c r="AE38" s="103">
        <v>29</v>
      </c>
      <c r="AF38" s="103">
        <v>30</v>
      </c>
      <c r="AG38" s="103">
        <v>31</v>
      </c>
      <c r="AH38" s="132">
        <f>COUNTIF($D39:$AH39,Код1)</f>
        <v>0</v>
      </c>
      <c r="AI38" s="132">
        <f>COUNTIF($D39:$AH39,Код2)</f>
        <v>0</v>
      </c>
      <c r="AJ38" s="132">
        <f>COUNTIF($D39:$AH39,Код3)</f>
        <v>0</v>
      </c>
      <c r="AK38" s="132">
        <f>COUNTIF($D39:$AH39,Код4)</f>
        <v>0</v>
      </c>
    </row>
    <row r="39" spans="2:37" ht="14.25" x14ac:dyDescent="0.25">
      <c r="B39" s="138"/>
      <c r="C39" s="102" t="str">
        <f>IFERROR(VLOOKUP(Пошукстудента,Відвідуваністьзалипень[],3,FALSE),"")</f>
        <v/>
      </c>
      <c r="D39" s="102" t="str">
        <f>IFERROR(VLOOKUP(Пошукстудента,Відвідуваністьзалипень[],4,FALSE),"")</f>
        <v/>
      </c>
      <c r="E39" s="102" t="str">
        <f>IFERROR(VLOOKUP(Пошукстудента,Відвідуваністьзалипень[],5,FALSE),"")</f>
        <v/>
      </c>
      <c r="F39" s="102" t="str">
        <f>IFERROR(VLOOKUP(Пошукстудента,Відвідуваністьзалипень[],6,FALSE),"")</f>
        <v/>
      </c>
      <c r="G39" s="102" t="str">
        <f>IFERROR(VLOOKUP(Пошукстудента,Відвідуваністьзалипень[],7,FALSE),"")</f>
        <v/>
      </c>
      <c r="H39" s="102" t="str">
        <f>IFERROR(VLOOKUP(Пошукстудента,Відвідуваністьзалипень[],8,FALSE),"")</f>
        <v/>
      </c>
      <c r="I39" s="102" t="str">
        <f>IFERROR(VLOOKUP(Пошукстудента,Відвідуваністьзалипень[],9,FALSE),"")</f>
        <v/>
      </c>
      <c r="J39" s="102" t="str">
        <f>IFERROR(VLOOKUP(Пошукстудента,Відвідуваністьзалипень[],10,FALSE),"")</f>
        <v/>
      </c>
      <c r="K39" s="102" t="str">
        <f>IFERROR(VLOOKUP(Пошукстудента,Відвідуваністьзалипень[],11,FALSE),"")</f>
        <v/>
      </c>
      <c r="L39" s="102" t="str">
        <f>IFERROR(VLOOKUP(Пошукстудента,Відвідуваністьзалипень[],12,FALSE),"")</f>
        <v/>
      </c>
      <c r="M39" s="102" t="str">
        <f>IFERROR(VLOOKUP(Пошукстудента,Відвідуваністьзалипень[],13,FALSE),"")</f>
        <v/>
      </c>
      <c r="N39" s="102" t="str">
        <f>IFERROR(VLOOKUP(Пошукстудента,Відвідуваністьзалипень[],14,FALSE),"")</f>
        <v/>
      </c>
      <c r="O39" s="102" t="str">
        <f>IFERROR(VLOOKUP(Пошукстудента,Відвідуваністьзалипень[],15,FALSE),"")</f>
        <v/>
      </c>
      <c r="P39" s="102" t="str">
        <f>IFERROR(VLOOKUP(Пошукстудента,Відвідуваністьзалипень[],16,FALSE),"")</f>
        <v/>
      </c>
      <c r="Q39" s="102" t="str">
        <f>IFERROR(VLOOKUP(Пошукстудента,Відвідуваністьзалипень[],17,FALSE),"")</f>
        <v/>
      </c>
      <c r="R39" s="102" t="str">
        <f>IFERROR(VLOOKUP(Пошукстудента,Відвідуваністьзалипень[],18,FALSE),"")</f>
        <v/>
      </c>
      <c r="S39" s="102" t="str">
        <f>IFERROR(VLOOKUP(Пошукстудента,Відвідуваністьзалипень[],19,FALSE),"")</f>
        <v/>
      </c>
      <c r="T39" s="102" t="str">
        <f>IFERROR(VLOOKUP(Пошукстудента,Відвідуваністьзалипень[],20,FALSE),"")</f>
        <v/>
      </c>
      <c r="U39" s="102" t="str">
        <f>IFERROR(VLOOKUP(Пошукстудента,Відвідуваністьзалипень[],21,FALSE),"")</f>
        <v/>
      </c>
      <c r="V39" s="102" t="str">
        <f>IFERROR(VLOOKUP(Пошукстудента,Відвідуваністьзалипень[],22,FALSE),"")</f>
        <v/>
      </c>
      <c r="W39" s="102" t="str">
        <f>IFERROR(VLOOKUP(Пошукстудента,Відвідуваністьзалипень[],23,FALSE),"")</f>
        <v/>
      </c>
      <c r="X39" s="102" t="str">
        <f>IFERROR(VLOOKUP(Пошукстудента,Відвідуваністьзалипень[],24,FALSE),"")</f>
        <v/>
      </c>
      <c r="Y39" s="102" t="str">
        <f>IFERROR(VLOOKUP(Пошукстудента,Відвідуваністьзалипень[],25,FALSE),"")</f>
        <v/>
      </c>
      <c r="Z39" s="102" t="str">
        <f>IFERROR(VLOOKUP(Пошукстудента,Відвідуваністьзалипень[],26,FALSE),"")</f>
        <v/>
      </c>
      <c r="AA39" s="102" t="str">
        <f>IFERROR(VLOOKUP(Пошукстудента,Відвідуваністьзалипень[],27,FALSE),"")</f>
        <v/>
      </c>
      <c r="AB39" s="102" t="str">
        <f>IFERROR(VLOOKUP(Пошукстудента,Відвідуваністьзалипень[],28,FALSE),"")</f>
        <v/>
      </c>
      <c r="AC39" s="102" t="str">
        <f>IFERROR(VLOOKUP(Пошукстудента,Відвідуваністьзалипень[],29,FALSE),"")</f>
        <v/>
      </c>
      <c r="AD39" s="102" t="str">
        <f>IFERROR(VLOOKUP(Пошукстудента,Відвідуваністьзалипень[],30,FALSE),"")</f>
        <v/>
      </c>
      <c r="AE39" s="102" t="str">
        <f>IFERROR(VLOOKUP(Пошукстудента,Відвідуваністьзалипень[],31,FALSE),"")</f>
        <v/>
      </c>
      <c r="AF39" s="102" t="str">
        <f>IFERROR(VLOOKUP(Пошукстудента,Відвідуваністьзалипень[],32,FALSE),"")</f>
        <v/>
      </c>
      <c r="AG39" s="102" t="str">
        <f>IFERROR(VLOOKUP(Пошукстудента,Відвідуваністьзалипень[],33,FALSE),"")</f>
        <v/>
      </c>
      <c r="AH39" s="133"/>
      <c r="AI39" s="133"/>
      <c r="AJ39" s="133"/>
      <c r="AK39" s="133"/>
    </row>
    <row r="40" spans="2:37" ht="14.25" x14ac:dyDescent="0.3">
      <c r="B40" s="104"/>
      <c r="C40" s="104"/>
      <c r="D40" s="104"/>
      <c r="E40" s="104"/>
      <c r="F40" s="104"/>
      <c r="G40" s="104"/>
      <c r="H40" s="104"/>
      <c r="I40" s="104"/>
      <c r="J40" s="104"/>
      <c r="K40" s="104"/>
      <c r="L40" s="104"/>
      <c r="M40" s="104"/>
      <c r="N40" s="104"/>
      <c r="O40" s="104"/>
      <c r="P40" s="104"/>
      <c r="Q40" s="104"/>
      <c r="R40" s="104"/>
      <c r="S40" s="105"/>
      <c r="T40" s="105"/>
      <c r="U40" s="105"/>
      <c r="V40" s="105"/>
      <c r="W40" s="105"/>
      <c r="X40" s="105"/>
      <c r="Y40" s="105"/>
      <c r="Z40" s="105"/>
      <c r="AA40" s="105"/>
      <c r="AB40" s="105"/>
      <c r="AC40" s="105"/>
      <c r="AD40" s="105"/>
      <c r="AE40" s="134" t="s">
        <v>41</v>
      </c>
      <c r="AF40" s="134"/>
      <c r="AG40" s="134"/>
      <c r="AH40" s="106">
        <f>SUM(AH16:AH39)</f>
        <v>2</v>
      </c>
      <c r="AI40" s="106">
        <f>SUM(AI16:AI39)</f>
        <v>1</v>
      </c>
      <c r="AJ40" s="106">
        <f>SUM(AJ16:AJ39)</f>
        <v>0</v>
      </c>
      <c r="AK40" s="106">
        <f>SUM(AK16:AK39)</f>
        <v>19</v>
      </c>
    </row>
  </sheetData>
  <sheetProtection sheet="1" objects="1" scenarios="1" formatColumns="0" formatRows="0" selectLockedCells="1"/>
  <mergeCells count="100">
    <mergeCell ref="AE5:AK5"/>
    <mergeCell ref="B6:J6"/>
    <mergeCell ref="K6:V6"/>
    <mergeCell ref="W6:AD6"/>
    <mergeCell ref="AE6:AK6"/>
    <mergeCell ref="B5:J5"/>
    <mergeCell ref="K5:V5"/>
    <mergeCell ref="B7:J7"/>
    <mergeCell ref="K7:V7"/>
    <mergeCell ref="W7:AD7"/>
    <mergeCell ref="AE7:AK7"/>
    <mergeCell ref="B8:J8"/>
    <mergeCell ref="K8:V8"/>
    <mergeCell ref="W8:AD8"/>
    <mergeCell ref="AE8:AK8"/>
    <mergeCell ref="P3:R3"/>
    <mergeCell ref="S3:V3"/>
    <mergeCell ref="W3:AD3"/>
    <mergeCell ref="W5:AD5"/>
    <mergeCell ref="P4:R4"/>
    <mergeCell ref="S4:V4"/>
    <mergeCell ref="W4:AD4"/>
    <mergeCell ref="B4:C4"/>
    <mergeCell ref="D4:O4"/>
    <mergeCell ref="D3:O3"/>
    <mergeCell ref="B14:AG15"/>
    <mergeCell ref="AE3:AF3"/>
    <mergeCell ref="AE4:AF4"/>
    <mergeCell ref="AG3:AJ3"/>
    <mergeCell ref="AG4:AJ4"/>
    <mergeCell ref="B9:J9"/>
    <mergeCell ref="K9:V9"/>
    <mergeCell ref="W9:AD9"/>
    <mergeCell ref="AE9:AK9"/>
    <mergeCell ref="B10:J10"/>
    <mergeCell ref="K10:V10"/>
    <mergeCell ref="W10:AD10"/>
    <mergeCell ref="AE10:AK10"/>
    <mergeCell ref="AH14:AK14"/>
    <mergeCell ref="B16:B17"/>
    <mergeCell ref="AH16:AH17"/>
    <mergeCell ref="AI16:AI17"/>
    <mergeCell ref="AJ16:AJ17"/>
    <mergeCell ref="AK16:AK17"/>
    <mergeCell ref="B20:B21"/>
    <mergeCell ref="AH20:AH21"/>
    <mergeCell ref="AI20:AI21"/>
    <mergeCell ref="AJ20:AJ21"/>
    <mergeCell ref="AK20:AK21"/>
    <mergeCell ref="B18:B19"/>
    <mergeCell ref="AH18:AH19"/>
    <mergeCell ref="AI18:AI19"/>
    <mergeCell ref="AJ18:AJ19"/>
    <mergeCell ref="AK18:AK19"/>
    <mergeCell ref="B24:B25"/>
    <mergeCell ref="AH24:AH25"/>
    <mergeCell ref="AI24:AI25"/>
    <mergeCell ref="AJ24:AJ25"/>
    <mergeCell ref="AK24:AK25"/>
    <mergeCell ref="B22:B23"/>
    <mergeCell ref="AH22:AH23"/>
    <mergeCell ref="AI22:AI23"/>
    <mergeCell ref="AJ22:AJ23"/>
    <mergeCell ref="AK22:AK23"/>
    <mergeCell ref="B28:B29"/>
    <mergeCell ref="AH28:AH29"/>
    <mergeCell ref="AI28:AI29"/>
    <mergeCell ref="AJ28:AJ29"/>
    <mergeCell ref="AK28:AK29"/>
    <mergeCell ref="B26:B27"/>
    <mergeCell ref="AH26:AH27"/>
    <mergeCell ref="AI26:AI27"/>
    <mergeCell ref="AJ26:AJ27"/>
    <mergeCell ref="AK26:AK27"/>
    <mergeCell ref="B32:B33"/>
    <mergeCell ref="AH32:AH33"/>
    <mergeCell ref="AI32:AI33"/>
    <mergeCell ref="AJ32:AJ33"/>
    <mergeCell ref="AK32:AK33"/>
    <mergeCell ref="B30:B31"/>
    <mergeCell ref="AH30:AH31"/>
    <mergeCell ref="AI30:AI31"/>
    <mergeCell ref="AJ30:AJ31"/>
    <mergeCell ref="AK30:AK31"/>
    <mergeCell ref="AK38:AK39"/>
    <mergeCell ref="AE40:AG40"/>
    <mergeCell ref="B34:B35"/>
    <mergeCell ref="AH34:AH35"/>
    <mergeCell ref="AI34:AI35"/>
    <mergeCell ref="AJ34:AJ35"/>
    <mergeCell ref="B38:B39"/>
    <mergeCell ref="AH38:AH39"/>
    <mergeCell ref="AI38:AI39"/>
    <mergeCell ref="AJ38:AJ39"/>
    <mergeCell ref="AK34:AK35"/>
    <mergeCell ref="B36:B37"/>
    <mergeCell ref="AH36:AH37"/>
    <mergeCell ref="AI36:AI37"/>
    <mergeCell ref="AJ36:AJ37"/>
    <mergeCell ref="AK36:AK37"/>
  </mergeCells>
  <conditionalFormatting sqref="C17:AG17 C21:AG21 C23:AF23 C25:AG25 C27:AG27 C31:AG31 C33:AF33 C35:AG35 C37:AG37 C39:AG39 C29:AG29 C19:AG19">
    <cfRule type="expression" dxfId="5" priority="150">
      <formula>C17=Код1</formula>
    </cfRule>
  </conditionalFormatting>
  <conditionalFormatting sqref="C17:AG17 C21:AG21 C23:AF23 C25:AG25 C27:AG27 C31:AG31 C33:AF33 C35:AG35 C37:AG37 C39:AG39 C29:AG29 C19:AG19">
    <cfRule type="expression" dxfId="4" priority="162">
      <formula>C17=Код2</formula>
    </cfRule>
  </conditionalFormatting>
  <conditionalFormatting sqref="C17:AG17 C21:AG21 C23:AF23 C25:AG25 C27:AG27 C31:AG31 C33:AF33 C35:AG35 C37:AG37 C39:AG39 C29:AG29 C19:AG19">
    <cfRule type="expression" dxfId="3" priority="174">
      <formula>C17=Код3</formula>
    </cfRule>
  </conditionalFormatting>
  <conditionalFormatting sqref="C17:AG17 C21:AG21 C23:AF23 C25:AG25 C27:AG27 C31:AG31 C33:AF33 C35:AG35 C37:AG37 C39:AG39 C29:AG29 C19:AG19">
    <cfRule type="expression" dxfId="2" priority="186">
      <formula>C17=Код4</formula>
    </cfRule>
  </conditionalFormatting>
  <conditionalFormatting sqref="C17:AG17 C21:AG21 C23:AF23 C25:AG25 C27:AG27 C31:AG31 C33:AF33 C35:AG35 C37:AG37 C39:AG39 C29:AG29 C19:AG19">
    <cfRule type="expression" dxfId="1" priority="199">
      <formula>C17=Код5</formula>
    </cfRule>
  </conditionalFormatting>
  <conditionalFormatting sqref="AE28">
    <cfRule type="expression" dxfId="0" priority="200">
      <formula>DATE(Календарнийрік+1,2,AE28)&gt;EOMONTH(DATE(Календарнийрік+1,1,1),1)</formula>
    </cfRule>
  </conditionalFormatting>
  <dataValidations count="2">
    <dataValidation type="list" errorStyle="warning" allowBlank="1" showInputMessage="1" showErrorMessage="1" errorTitle="Отакої!" sqref="B4:C4">
      <formula1>Ідентифікаторстудента</formula1>
    </dataValidation>
    <dataValidation allowBlank="1" showInputMessage="1" showErrorMessage="1" errorTitle="Невідоме ім’я студента" error="Виберіть студента зі списку. Додавати та видаляти студентів у цьому списку можна на аркуші ''Список студентів''." sqref="D4"/>
  </dataValidations>
  <printOptions horizontalCentered="1"/>
  <pageMargins left="0.25" right="0.25" top="0.75"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A1:S245"/>
  <sheetViews>
    <sheetView showGridLines="0" zoomScaleNormal="100" workbookViewId="0">
      <pane xSplit="2" ySplit="3" topLeftCell="C4" activePane="bottomRight" state="frozen"/>
      <selection pane="topRight" activeCell="C1" sqref="C1"/>
      <selection pane="bottomLeft" activeCell="A4" sqref="A4"/>
      <selection pane="bottomRight"/>
    </sheetView>
  </sheetViews>
  <sheetFormatPr defaultRowHeight="13.5" x14ac:dyDescent="0.25"/>
  <cols>
    <col min="1" max="1" width="2.7109375" customWidth="1"/>
    <col min="2" max="2" width="14.42578125" customWidth="1"/>
    <col min="3" max="3" width="22.42578125" customWidth="1"/>
    <col min="4" max="4" width="18" customWidth="1"/>
    <col min="5" max="5" width="12.7109375" customWidth="1"/>
    <col min="6" max="6" width="22.7109375" customWidth="1"/>
    <col min="7" max="7" width="21.28515625" customWidth="1"/>
    <col min="8" max="8" width="32.28515625" customWidth="1"/>
    <col min="9" max="9" width="28.42578125" customWidth="1"/>
    <col min="10" max="10" width="28.85546875" customWidth="1"/>
    <col min="11" max="11" width="22" customWidth="1"/>
    <col min="12" max="12" width="32.42578125" customWidth="1"/>
    <col min="13" max="13" width="24.85546875" customWidth="1"/>
    <col min="14" max="14" width="29.85546875" customWidth="1"/>
    <col min="15" max="15" width="23.5703125" customWidth="1"/>
    <col min="16" max="16" width="23.42578125" customWidth="1"/>
    <col min="17" max="17" width="31.5703125" customWidth="1"/>
    <col min="18" max="18" width="31.42578125" customWidth="1"/>
    <col min="19" max="19" width="22.140625" customWidth="1"/>
  </cols>
  <sheetData>
    <row r="1" spans="1:19" ht="42" customHeight="1" x14ac:dyDescent="0.3">
      <c r="A1" s="96" t="s">
        <v>119</v>
      </c>
      <c r="B1" s="82"/>
      <c r="C1" s="82"/>
      <c r="D1" s="82"/>
      <c r="E1" s="82"/>
      <c r="F1" s="82"/>
      <c r="G1" s="82"/>
      <c r="H1" s="82"/>
      <c r="I1" s="82"/>
      <c r="J1" s="82"/>
      <c r="K1" s="82"/>
      <c r="L1" s="82"/>
      <c r="M1" s="82"/>
      <c r="N1" s="82"/>
      <c r="O1" s="82"/>
      <c r="P1" s="82"/>
      <c r="Q1" s="82"/>
      <c r="R1" s="82"/>
      <c r="S1" s="42"/>
    </row>
    <row r="3" spans="1:19" s="14" customFormat="1" ht="36" customHeight="1" thickBot="1" x14ac:dyDescent="0.3">
      <c r="B3" s="116" t="s">
        <v>34</v>
      </c>
      <c r="C3" s="117" t="s">
        <v>32</v>
      </c>
      <c r="D3" s="117" t="s">
        <v>33</v>
      </c>
      <c r="E3" s="116" t="s">
        <v>42</v>
      </c>
      <c r="F3" s="83" t="s">
        <v>43</v>
      </c>
      <c r="G3" s="84" t="s">
        <v>74</v>
      </c>
      <c r="H3" s="83" t="s">
        <v>75</v>
      </c>
      <c r="I3" s="83" t="s">
        <v>116</v>
      </c>
      <c r="J3" s="83" t="s">
        <v>76</v>
      </c>
      <c r="K3" s="83" t="s">
        <v>80</v>
      </c>
      <c r="L3" s="83" t="s">
        <v>77</v>
      </c>
      <c r="M3" s="83" t="s">
        <v>78</v>
      </c>
      <c r="N3" s="83" t="s">
        <v>79</v>
      </c>
      <c r="O3" s="84" t="s">
        <v>51</v>
      </c>
      <c r="P3" s="83" t="s">
        <v>53</v>
      </c>
      <c r="Q3" s="83" t="s">
        <v>54</v>
      </c>
      <c r="R3" s="83" t="s">
        <v>55</v>
      </c>
      <c r="S3" s="84" t="s">
        <v>56</v>
      </c>
    </row>
    <row r="4" spans="1:19" ht="15.75" customHeight="1" x14ac:dyDescent="0.25">
      <c r="B4" s="118" t="s">
        <v>92</v>
      </c>
      <c r="C4" s="119" t="s">
        <v>90</v>
      </c>
      <c r="D4" s="118" t="s">
        <v>91</v>
      </c>
      <c r="E4" s="120" t="s">
        <v>52</v>
      </c>
      <c r="F4" s="15">
        <v>35517</v>
      </c>
      <c r="G4" s="13" t="s">
        <v>93</v>
      </c>
      <c r="H4" s="13" t="s">
        <v>91</v>
      </c>
      <c r="I4" s="18">
        <v>1235550134</v>
      </c>
      <c r="J4" s="18">
        <v>2345550134</v>
      </c>
      <c r="K4" s="16" t="s">
        <v>94</v>
      </c>
      <c r="L4" s="16" t="s">
        <v>73</v>
      </c>
      <c r="M4" s="18">
        <v>1235550134</v>
      </c>
      <c r="N4" s="18">
        <v>2345550134</v>
      </c>
      <c r="O4" s="13" t="s">
        <v>101</v>
      </c>
      <c r="P4" s="13" t="s">
        <v>57</v>
      </c>
      <c r="Q4" s="18">
        <v>7895550189</v>
      </c>
      <c r="R4" s="18">
        <v>7895550134</v>
      </c>
      <c r="S4" t="str">
        <f>Перелікстудентів[[#This Row],[Ім’я студента]]&amp;" " &amp;Перелікстудентів[[#This Row],[Прізвище студента]]</f>
        <v>Ігор Олександров</v>
      </c>
    </row>
    <row r="5" spans="1:19" ht="15.75" customHeight="1" x14ac:dyDescent="0.25">
      <c r="B5" s="121" t="s">
        <v>95</v>
      </c>
      <c r="C5" s="122" t="s">
        <v>35</v>
      </c>
      <c r="D5" s="121">
        <v>2</v>
      </c>
      <c r="E5" s="123"/>
      <c r="F5" s="15"/>
      <c r="G5" s="13"/>
      <c r="H5" s="13"/>
      <c r="I5" s="18"/>
      <c r="J5" s="18"/>
      <c r="K5" s="16"/>
      <c r="L5" s="16"/>
      <c r="M5" s="18"/>
      <c r="N5" s="18"/>
      <c r="O5" s="13"/>
      <c r="P5" s="13"/>
      <c r="Q5" s="18"/>
      <c r="R5" s="18"/>
      <c r="S5" t="str">
        <f>Перелікстудентів[[#This Row],[Ім’я студента]]&amp;" " &amp;Перелікстудентів[[#This Row],[Прізвище студента]]</f>
        <v>Студент 2</v>
      </c>
    </row>
    <row r="6" spans="1:19" ht="15.75" customHeight="1" x14ac:dyDescent="0.25">
      <c r="B6" s="118" t="s">
        <v>96</v>
      </c>
      <c r="C6" s="119" t="s">
        <v>35</v>
      </c>
      <c r="D6" s="118">
        <v>3</v>
      </c>
      <c r="E6" s="120"/>
      <c r="F6" s="15"/>
      <c r="G6" s="13"/>
      <c r="H6" s="13"/>
      <c r="I6" s="18"/>
      <c r="J6" s="18"/>
      <c r="K6" s="16"/>
      <c r="L6" s="16"/>
      <c r="M6" s="18"/>
      <c r="N6" s="18"/>
      <c r="O6" s="13"/>
      <c r="P6" s="13"/>
      <c r="Q6" s="18"/>
      <c r="R6" s="18"/>
      <c r="S6" t="str">
        <f>Перелікстудентів[[#This Row],[Ім’я студента]]&amp;" " &amp;Перелікстудентів[[#This Row],[Прізвище студента]]</f>
        <v>Студент 3</v>
      </c>
    </row>
    <row r="7" spans="1:19" ht="15.75" customHeight="1" x14ac:dyDescent="0.25">
      <c r="B7" s="121" t="s">
        <v>97</v>
      </c>
      <c r="C7" s="122" t="s">
        <v>35</v>
      </c>
      <c r="D7" s="121">
        <v>4</v>
      </c>
      <c r="E7" s="123"/>
      <c r="F7" s="15"/>
      <c r="G7" s="13"/>
      <c r="H7" s="13"/>
      <c r="I7" s="18"/>
      <c r="J7" s="18"/>
      <c r="K7" s="16"/>
      <c r="L7" s="16"/>
      <c r="M7" s="18"/>
      <c r="N7" s="18"/>
      <c r="O7" s="13"/>
      <c r="P7" s="13"/>
      <c r="Q7" s="18"/>
      <c r="R7" s="18"/>
      <c r="S7" t="str">
        <f>Перелікстудентів[[#This Row],[Ім’я студента]]&amp;" " &amp;Перелікстудентів[[#This Row],[Прізвище студента]]</f>
        <v>Студент 4</v>
      </c>
    </row>
    <row r="8" spans="1:19" ht="15.75" customHeight="1" x14ac:dyDescent="0.25">
      <c r="B8" s="118" t="s">
        <v>98</v>
      </c>
      <c r="C8" s="119" t="s">
        <v>35</v>
      </c>
      <c r="D8" s="118">
        <v>5</v>
      </c>
      <c r="E8" s="120"/>
      <c r="F8" s="15"/>
      <c r="G8" s="13"/>
      <c r="H8" s="13"/>
      <c r="I8" s="18"/>
      <c r="J8" s="18"/>
      <c r="K8" s="16"/>
      <c r="L8" s="16"/>
      <c r="M8" s="18"/>
      <c r="N8" s="18"/>
      <c r="O8" s="13"/>
      <c r="P8" s="13"/>
      <c r="Q8" s="18"/>
      <c r="R8" s="18"/>
      <c r="S8" t="str">
        <f>Перелікстудентів[[#This Row],[Ім’я студента]]&amp;" " &amp;Перелікстудентів[[#This Row],[Прізвище студента]]</f>
        <v>Студент 5</v>
      </c>
    </row>
    <row r="9" spans="1:19" ht="15.75" customHeight="1" x14ac:dyDescent="0.25"/>
    <row r="10" spans="1:19" ht="15.75" customHeight="1" x14ac:dyDescent="0.25"/>
    <row r="11" spans="1:19" ht="15.75" customHeight="1" x14ac:dyDescent="0.25"/>
    <row r="12" spans="1:19" ht="15.75" customHeight="1" x14ac:dyDescent="0.25"/>
    <row r="13" spans="1:19" ht="15.75" customHeight="1" x14ac:dyDescent="0.25"/>
    <row r="14" spans="1:19" ht="15.75" customHeight="1" x14ac:dyDescent="0.25"/>
    <row r="15" spans="1:19" ht="15.75" customHeight="1" x14ac:dyDescent="0.25"/>
    <row r="16" spans="1:19"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sheetData>
  <pageMargins left="0.25" right="0.25" top="0.75" bottom="0.75" header="0.3" footer="0.3"/>
  <pageSetup paperSize="9" scale="85" fitToWidth="0"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499984740745262"/>
    <pageSetUpPr fitToPage="1"/>
  </sheetPr>
  <dimension ref="A1:AN346"/>
  <sheetViews>
    <sheetView showGridLines="0" zoomScaleNormal="100" workbookViewId="0">
      <pane xSplit="3" ySplit="6" topLeftCell="D7" activePane="bottomRight" state="frozen"/>
      <selection pane="topRight"/>
      <selection pane="bottomLeft"/>
      <selection pane="bottomRight" activeCell="B1" sqref="B1"/>
    </sheetView>
  </sheetViews>
  <sheetFormatPr defaultRowHeight="15" customHeight="1" x14ac:dyDescent="0.25"/>
  <cols>
    <col min="1" max="1" width="2.7109375" style="11" customWidth="1"/>
    <col min="2" max="2" width="13.42578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4.7109375" style="11" bestFit="1" customWidth="1"/>
    <col min="40" max="16384" width="9.140625" style="11"/>
  </cols>
  <sheetData>
    <row r="1" spans="1:40" s="1" customFormat="1" ht="42" customHeight="1" x14ac:dyDescent="0.25">
      <c r="A1" s="112" t="s">
        <v>89</v>
      </c>
      <c r="B1" s="37"/>
      <c r="C1" s="37"/>
      <c r="D1" s="38"/>
      <c r="E1" s="38"/>
      <c r="F1" s="38"/>
      <c r="G1" s="38"/>
      <c r="H1" s="38"/>
      <c r="I1" s="38"/>
      <c r="J1" s="38"/>
      <c r="K1" s="38"/>
      <c r="L1" s="38"/>
      <c r="M1" s="38"/>
      <c r="N1" s="38"/>
      <c r="O1" s="38"/>
      <c r="P1" s="38"/>
      <c r="Q1" s="38"/>
      <c r="R1" s="38"/>
      <c r="S1" s="38"/>
      <c r="T1" s="38"/>
      <c r="U1" s="38"/>
      <c r="V1" s="38"/>
      <c r="W1" s="38"/>
      <c r="X1" s="38"/>
      <c r="Y1" s="38"/>
      <c r="Z1" s="38"/>
      <c r="AA1" s="38"/>
      <c r="AB1" s="38"/>
      <c r="AC1" s="37"/>
      <c r="AD1" s="37"/>
      <c r="AE1" s="37"/>
      <c r="AF1" s="37"/>
      <c r="AG1" s="39"/>
      <c r="AH1" s="37"/>
      <c r="AI1" s="37"/>
      <c r="AJ1" s="40"/>
      <c r="AK1" s="37"/>
      <c r="AL1" s="56" t="s">
        <v>72</v>
      </c>
      <c r="AM1" s="57">
        <v>2012</v>
      </c>
    </row>
    <row r="2" spans="1:40" customFormat="1" ht="13.5" x14ac:dyDescent="0.25"/>
    <row r="3" spans="1:40" s="28" customFormat="1" ht="12.75" customHeight="1" x14ac:dyDescent="0.25">
      <c r="C3" s="43" t="s">
        <v>112</v>
      </c>
      <c r="D3" s="50" t="s">
        <v>37</v>
      </c>
      <c r="E3" s="67" t="s">
        <v>83</v>
      </c>
      <c r="F3" s="58"/>
      <c r="H3" s="51" t="s">
        <v>39</v>
      </c>
      <c r="I3" s="55" t="s">
        <v>84</v>
      </c>
      <c r="M3" s="52" t="s">
        <v>38</v>
      </c>
      <c r="N3" s="55" t="s">
        <v>85</v>
      </c>
      <c r="Q3" s="53" t="s">
        <v>31</v>
      </c>
      <c r="R3" s="55" t="s">
        <v>86</v>
      </c>
      <c r="U3" s="54" t="s">
        <v>71</v>
      </c>
      <c r="V3" s="55" t="s">
        <v>87</v>
      </c>
      <c r="X3"/>
      <c r="Y3"/>
      <c r="AD3" s="27"/>
      <c r="AE3" s="27"/>
      <c r="AH3" s="29"/>
      <c r="AI3" s="30"/>
      <c r="AK3" s="31"/>
    </row>
    <row r="4" spans="1:40" customFormat="1" ht="16.5" customHeight="1" x14ac:dyDescent="0.25"/>
    <row r="5" spans="1:40" s="2" customFormat="1" ht="18" customHeight="1" x14ac:dyDescent="0.3">
      <c r="B5" s="60">
        <f>DATE(Календарнийрік,8,1)</f>
        <v>41122</v>
      </c>
      <c r="C5" s="59"/>
      <c r="D5" s="41" t="str">
        <f>TEXT(WEEKDAY(DATE(Календарнийрік,8,1),1),"aaa")</f>
        <v>Ср</v>
      </c>
      <c r="E5" s="41" t="str">
        <f>TEXT(WEEKDAY(DATE(Календарнийрік,8,2),1),"aaa")</f>
        <v>Чт</v>
      </c>
      <c r="F5" s="41" t="str">
        <f>TEXT(WEEKDAY(DATE(Календарнийрік,8,3),1),"aaa")</f>
        <v>Пт</v>
      </c>
      <c r="G5" s="41" t="str">
        <f>TEXT(WEEKDAY(DATE(Календарнийрік,8,4),1),"aaa")</f>
        <v>Сб</v>
      </c>
      <c r="H5" s="41" t="str">
        <f>TEXT(WEEKDAY(DATE(Календарнийрік,8,5),1),"aaa")</f>
        <v>Нд</v>
      </c>
      <c r="I5" s="41" t="str">
        <f>TEXT(WEEKDAY(DATE(Календарнийрік,8,6),1),"aaa")</f>
        <v>Пн</v>
      </c>
      <c r="J5" s="41" t="str">
        <f>TEXT(WEEKDAY(DATE(Календарнийрік,8,7),1),"aaa")</f>
        <v>Вт</v>
      </c>
      <c r="K5" s="41" t="str">
        <f>TEXT(WEEKDAY(DATE(Календарнийрік,8,8),1),"aaa")</f>
        <v>Ср</v>
      </c>
      <c r="L5" s="41" t="str">
        <f>TEXT(WEEKDAY(DATE(Календарнийрік,8,9),1),"aaa")</f>
        <v>Чт</v>
      </c>
      <c r="M5" s="41" t="str">
        <f>TEXT(WEEKDAY(DATE(Календарнийрік,8,10),1),"aaa")</f>
        <v>Пт</v>
      </c>
      <c r="N5" s="41" t="str">
        <f>TEXT(WEEKDAY(DATE(Календарнийрік,8,11),1),"aaa")</f>
        <v>Сб</v>
      </c>
      <c r="O5" s="41" t="str">
        <f>TEXT(WEEKDAY(DATE(Календарнийрік,8,12),1),"aaa")</f>
        <v>Нд</v>
      </c>
      <c r="P5" s="41" t="str">
        <f>TEXT(WEEKDAY(DATE(Календарнийрік,8,13),1),"aaa")</f>
        <v>Пн</v>
      </c>
      <c r="Q5" s="41" t="str">
        <f>TEXT(WEEKDAY(DATE(Календарнийрік,8,14),1),"aaa")</f>
        <v>Вт</v>
      </c>
      <c r="R5" s="41" t="str">
        <f>TEXT(WEEKDAY(DATE(Календарнийрік,8,15),1),"aaa")</f>
        <v>Ср</v>
      </c>
      <c r="S5" s="41" t="str">
        <f>TEXT(WEEKDAY(DATE(Календарнийрік,8,16),1),"aaa")</f>
        <v>Чт</v>
      </c>
      <c r="T5" s="41" t="str">
        <f>TEXT(WEEKDAY(DATE(Календарнийрік,8,17),1),"aaa")</f>
        <v>Пт</v>
      </c>
      <c r="U5" s="41" t="str">
        <f>TEXT(WEEKDAY(DATE(Календарнийрік,8,18),1),"aaa")</f>
        <v>Сб</v>
      </c>
      <c r="V5" s="41" t="str">
        <f>TEXT(WEEKDAY(DATE(Календарнийрік,8,19),1),"aaa")</f>
        <v>Нд</v>
      </c>
      <c r="W5" s="41" t="str">
        <f>TEXT(WEEKDAY(DATE(Календарнийрік,8,20),1),"aaa")</f>
        <v>Пн</v>
      </c>
      <c r="X5" s="41" t="str">
        <f>TEXT(WEEKDAY(DATE(Календарнийрік,8,21),1),"aaa")</f>
        <v>Вт</v>
      </c>
      <c r="Y5" s="41" t="str">
        <f>TEXT(WEEKDAY(DATE(Календарнийрік,8,22),1),"aaa")</f>
        <v>Ср</v>
      </c>
      <c r="Z5" s="41" t="str">
        <f>TEXT(WEEKDAY(DATE(Календарнийрік,8,23),1),"aaa")</f>
        <v>Чт</v>
      </c>
      <c r="AA5" s="41" t="str">
        <f>TEXT(WEEKDAY(DATE(Календарнийрік,8,24),1),"aaa")</f>
        <v>Пт</v>
      </c>
      <c r="AB5" s="41" t="str">
        <f>TEXT(WEEKDAY(DATE(Календарнийрік,8,25),1),"aaa")</f>
        <v>Сб</v>
      </c>
      <c r="AC5" s="41" t="str">
        <f>TEXT(WEEKDAY(DATE(Календарнийрік,8,26),1),"aaa")</f>
        <v>Нд</v>
      </c>
      <c r="AD5" s="41" t="str">
        <f>TEXT(WEEKDAY(DATE(Календарнийрік,8,27),1),"aaa")</f>
        <v>Пн</v>
      </c>
      <c r="AE5" s="41" t="str">
        <f>TEXT(WEEKDAY(DATE(Календарнийрік,8,28),1),"aaa")</f>
        <v>Вт</v>
      </c>
      <c r="AF5" s="41" t="str">
        <f>TEXT(WEEKDAY(DATE(Календарнийрік,8,29),1),"aaa")</f>
        <v>Ср</v>
      </c>
      <c r="AG5" s="41" t="str">
        <f>TEXT(WEEKDAY(DATE(Календарнийрік,8,30),1),"aaa")</f>
        <v>Чт</v>
      </c>
      <c r="AH5" s="41" t="str">
        <f>TEXT(WEEKDAY(DATE(Календарнийрік,8,31),1),"aaa")</f>
        <v>Пт</v>
      </c>
      <c r="AI5" s="128" t="s">
        <v>41</v>
      </c>
      <c r="AJ5" s="129"/>
      <c r="AK5" s="129"/>
      <c r="AL5" s="129"/>
      <c r="AM5" s="130"/>
    </row>
    <row r="6" spans="1:40" s="5" customFormat="1" ht="14.25" customHeight="1" x14ac:dyDescent="0.25">
      <c r="B6" s="44" t="s">
        <v>34</v>
      </c>
      <c r="C6" s="45" t="s">
        <v>36</v>
      </c>
      <c r="D6" s="3" t="s">
        <v>0</v>
      </c>
      <c r="E6" s="3" t="s">
        <v>1</v>
      </c>
      <c r="F6" s="3" t="s">
        <v>2</v>
      </c>
      <c r="G6" s="3" t="s">
        <v>3</v>
      </c>
      <c r="H6" s="3" t="s">
        <v>4</v>
      </c>
      <c r="I6" s="3" t="s">
        <v>5</v>
      </c>
      <c r="J6" s="3" t="s">
        <v>6</v>
      </c>
      <c r="K6" s="3" t="s">
        <v>7</v>
      </c>
      <c r="L6" s="3" t="s">
        <v>8</v>
      </c>
      <c r="M6" s="3" t="s">
        <v>9</v>
      </c>
      <c r="N6" s="3" t="s">
        <v>10</v>
      </c>
      <c r="O6" s="3" t="s">
        <v>11</v>
      </c>
      <c r="P6" s="3" t="s">
        <v>12</v>
      </c>
      <c r="Q6" s="3" t="s">
        <v>13</v>
      </c>
      <c r="R6" s="3" t="s">
        <v>14</v>
      </c>
      <c r="S6" s="3" t="s">
        <v>15</v>
      </c>
      <c r="T6" s="3" t="s">
        <v>16</v>
      </c>
      <c r="U6" s="3" t="s">
        <v>17</v>
      </c>
      <c r="V6" s="3" t="s">
        <v>18</v>
      </c>
      <c r="W6" s="3" t="s">
        <v>19</v>
      </c>
      <c r="X6" s="3" t="s">
        <v>20</v>
      </c>
      <c r="Y6" s="3" t="s">
        <v>21</v>
      </c>
      <c r="Z6" s="3" t="s">
        <v>22</v>
      </c>
      <c r="AA6" s="3" t="s">
        <v>23</v>
      </c>
      <c r="AB6" s="3" t="s">
        <v>24</v>
      </c>
      <c r="AC6" s="3" t="s">
        <v>25</v>
      </c>
      <c r="AD6" s="3" t="s">
        <v>26</v>
      </c>
      <c r="AE6" s="3" t="s">
        <v>27</v>
      </c>
      <c r="AF6" s="3" t="s">
        <v>28</v>
      </c>
      <c r="AG6" s="3" t="s">
        <v>29</v>
      </c>
      <c r="AH6" s="3" t="s">
        <v>30</v>
      </c>
      <c r="AI6" s="91" t="s">
        <v>37</v>
      </c>
      <c r="AJ6" s="68" t="s">
        <v>39</v>
      </c>
      <c r="AK6" s="69" t="s">
        <v>38</v>
      </c>
      <c r="AL6" s="70" t="s">
        <v>31</v>
      </c>
      <c r="AM6" s="49" t="s">
        <v>40</v>
      </c>
      <c r="AN6" s="4"/>
    </row>
    <row r="7" spans="1:40" s="5" customFormat="1" ht="16.5" customHeight="1" x14ac:dyDescent="0.25">
      <c r="B7" s="46" t="s">
        <v>92</v>
      </c>
      <c r="C7" t="str">
        <f>IFERROR(VLOOKUP(Відвідуваністьзасерпень[[#This Row],[Код студента]],Перелікстудентів[],18,FALSE),"")</f>
        <v>Ігор Олександров</v>
      </c>
      <c r="D7" s="20" t="s">
        <v>31</v>
      </c>
      <c r="E7" s="20" t="s">
        <v>31</v>
      </c>
      <c r="F7" s="20" t="s">
        <v>37</v>
      </c>
      <c r="G7" s="20" t="s">
        <v>37</v>
      </c>
      <c r="H7" s="20" t="s">
        <v>31</v>
      </c>
      <c r="I7" s="20" t="s">
        <v>71</v>
      </c>
      <c r="J7" s="20" t="s">
        <v>71</v>
      </c>
      <c r="K7" s="20" t="s">
        <v>31</v>
      </c>
      <c r="L7" s="20" t="s">
        <v>31</v>
      </c>
      <c r="M7" s="20" t="s">
        <v>39</v>
      </c>
      <c r="N7" s="20" t="s">
        <v>31</v>
      </c>
      <c r="O7" s="20" t="s">
        <v>31</v>
      </c>
      <c r="P7" s="20" t="s">
        <v>71</v>
      </c>
      <c r="Q7" s="20" t="s">
        <v>71</v>
      </c>
      <c r="R7" s="20" t="s">
        <v>31</v>
      </c>
      <c r="S7" s="20" t="s">
        <v>31</v>
      </c>
      <c r="T7" s="20" t="s">
        <v>31</v>
      </c>
      <c r="U7" s="20" t="s">
        <v>31</v>
      </c>
      <c r="V7" s="20" t="s">
        <v>31</v>
      </c>
      <c r="W7" s="20" t="s">
        <v>71</v>
      </c>
      <c r="X7" s="20" t="s">
        <v>71</v>
      </c>
      <c r="Y7" s="20" t="s">
        <v>31</v>
      </c>
      <c r="Z7" s="20" t="s">
        <v>31</v>
      </c>
      <c r="AA7" s="20" t="s">
        <v>31</v>
      </c>
      <c r="AB7" s="20" t="s">
        <v>31</v>
      </c>
      <c r="AC7" s="20" t="s">
        <v>31</v>
      </c>
      <c r="AD7" s="20" t="s">
        <v>71</v>
      </c>
      <c r="AE7" s="20" t="s">
        <v>71</v>
      </c>
      <c r="AF7" s="20" t="s">
        <v>31</v>
      </c>
      <c r="AG7" s="20" t="s">
        <v>31</v>
      </c>
      <c r="AH7" s="20" t="s">
        <v>31</v>
      </c>
      <c r="AI7" s="6">
        <f>COUNTIF(Відвідуваністьзасерпень[[#This Row],[1]:[31]],Код1)</f>
        <v>2</v>
      </c>
      <c r="AJ7" s="48">
        <f>COUNTIF(Відвідуваністьзасерпень[[#This Row],[1]:[31]],Код2)</f>
        <v>1</v>
      </c>
      <c r="AK7" s="48">
        <f>COUNTIF(Відвідуваністьзасерпень[[#This Row],[1]:[31]],Код3)</f>
        <v>0</v>
      </c>
      <c r="AL7" s="48">
        <f>COUNTIF(Відвідуваністьзасерпень[[#This Row],[1]:[31]],Код4)</f>
        <v>20</v>
      </c>
      <c r="AM7" s="6">
        <f>SUM(Відвідуваністьзасерпень[[#This Row],[ПП]:[П]])</f>
        <v>1</v>
      </c>
      <c r="AN7" s="4"/>
    </row>
    <row r="8" spans="1:40" s="5" customFormat="1" ht="16.5" customHeight="1" x14ac:dyDescent="0.25">
      <c r="B8" s="46" t="s">
        <v>95</v>
      </c>
      <c r="C8" t="str">
        <f>IFERROR(VLOOKUP(Відвідуваністьзасерпень[[#This Row],[Код студента]],Перелікстудентів[],18,FALSE),"")</f>
        <v>Студент 2</v>
      </c>
      <c r="D8" s="20" t="s">
        <v>31</v>
      </c>
      <c r="E8" s="20" t="s">
        <v>38</v>
      </c>
      <c r="F8" s="20" t="s">
        <v>31</v>
      </c>
      <c r="G8" s="20" t="s">
        <v>31</v>
      </c>
      <c r="H8" s="20" t="s">
        <v>31</v>
      </c>
      <c r="I8" s="20" t="s">
        <v>71</v>
      </c>
      <c r="J8" s="20" t="s">
        <v>71</v>
      </c>
      <c r="K8" s="20" t="s">
        <v>31</v>
      </c>
      <c r="L8" s="20" t="s">
        <v>39</v>
      </c>
      <c r="M8" s="20" t="s">
        <v>39</v>
      </c>
      <c r="N8" s="20" t="s">
        <v>39</v>
      </c>
      <c r="O8" s="20" t="s">
        <v>39</v>
      </c>
      <c r="P8" s="20" t="s">
        <v>71</v>
      </c>
      <c r="Q8" s="20" t="s">
        <v>71</v>
      </c>
      <c r="R8" s="20" t="s">
        <v>31</v>
      </c>
      <c r="S8" s="20" t="s">
        <v>31</v>
      </c>
      <c r="T8" s="20" t="s">
        <v>31</v>
      </c>
      <c r="U8" s="20" t="s">
        <v>31</v>
      </c>
      <c r="V8" s="20" t="s">
        <v>31</v>
      </c>
      <c r="W8" s="20" t="s">
        <v>71</v>
      </c>
      <c r="X8" s="20" t="s">
        <v>71</v>
      </c>
      <c r="Y8" s="20" t="s">
        <v>31</v>
      </c>
      <c r="Z8" s="20" t="s">
        <v>31</v>
      </c>
      <c r="AA8" s="20" t="s">
        <v>31</v>
      </c>
      <c r="AB8" s="20" t="s">
        <v>37</v>
      </c>
      <c r="AC8" s="20" t="s">
        <v>37</v>
      </c>
      <c r="AD8" s="20" t="s">
        <v>71</v>
      </c>
      <c r="AE8" s="20" t="s">
        <v>71</v>
      </c>
      <c r="AF8" s="20" t="s">
        <v>31</v>
      </c>
      <c r="AG8" s="20" t="s">
        <v>31</v>
      </c>
      <c r="AH8" s="20" t="s">
        <v>31</v>
      </c>
      <c r="AI8" s="6">
        <f>COUNTIF(Відвідуваністьзасерпень[[#This Row],[1]:[31]],Код1)</f>
        <v>2</v>
      </c>
      <c r="AJ8" s="48">
        <f>COUNTIF(Відвідуваністьзасерпень[[#This Row],[1]:[31]],Код2)</f>
        <v>4</v>
      </c>
      <c r="AK8" s="48">
        <f>COUNTIF(Відвідуваністьзасерпень[[#This Row],[1]:[31]],Код3)</f>
        <v>1</v>
      </c>
      <c r="AL8" s="48">
        <f>COUNTIF(Відвідуваністьзасерпень[[#This Row],[1]:[31]],Код4)</f>
        <v>16</v>
      </c>
      <c r="AM8" s="6">
        <f>SUM(Відвідуваністьзасерпень[[#This Row],[ПП]:[П]])</f>
        <v>5</v>
      </c>
      <c r="AN8" s="4"/>
    </row>
    <row r="9" spans="1:40" s="8" customFormat="1" ht="16.5" customHeight="1" x14ac:dyDescent="0.25">
      <c r="B9" s="46" t="s">
        <v>96</v>
      </c>
      <c r="C9" t="str">
        <f>IFERROR(VLOOKUP(Відвідуваністьзасерпень[[#This Row],[Код студента]],Перелікстудентів[],18,FALSE),"")</f>
        <v>Студент 3</v>
      </c>
      <c r="D9" s="20" t="s">
        <v>31</v>
      </c>
      <c r="E9" s="20" t="s">
        <v>39</v>
      </c>
      <c r="F9" s="20" t="s">
        <v>31</v>
      </c>
      <c r="G9" s="20" t="s">
        <v>31</v>
      </c>
      <c r="H9" s="20" t="s">
        <v>31</v>
      </c>
      <c r="I9" s="20" t="s">
        <v>71</v>
      </c>
      <c r="J9" s="20" t="s">
        <v>71</v>
      </c>
      <c r="K9" s="20" t="s">
        <v>31</v>
      </c>
      <c r="L9" s="20" t="s">
        <v>31</v>
      </c>
      <c r="M9" s="20" t="s">
        <v>38</v>
      </c>
      <c r="N9" s="20" t="s">
        <v>31</v>
      </c>
      <c r="O9" s="20" t="s">
        <v>31</v>
      </c>
      <c r="P9" s="20" t="s">
        <v>71</v>
      </c>
      <c r="Q9" s="20" t="s">
        <v>71</v>
      </c>
      <c r="R9" s="20" t="s">
        <v>31</v>
      </c>
      <c r="S9" s="20" t="s">
        <v>31</v>
      </c>
      <c r="T9" s="20" t="s">
        <v>31</v>
      </c>
      <c r="U9" s="20" t="s">
        <v>31</v>
      </c>
      <c r="V9" s="20" t="s">
        <v>31</v>
      </c>
      <c r="W9" s="20" t="s">
        <v>71</v>
      </c>
      <c r="X9" s="20" t="s">
        <v>71</v>
      </c>
      <c r="Y9" s="20" t="s">
        <v>31</v>
      </c>
      <c r="Z9" s="20" t="s">
        <v>31</v>
      </c>
      <c r="AA9" s="20" t="s">
        <v>39</v>
      </c>
      <c r="AB9" s="20" t="s">
        <v>39</v>
      </c>
      <c r="AC9" s="20" t="s">
        <v>31</v>
      </c>
      <c r="AD9" s="20" t="s">
        <v>71</v>
      </c>
      <c r="AE9" s="20" t="s">
        <v>71</v>
      </c>
      <c r="AF9" s="20" t="s">
        <v>31</v>
      </c>
      <c r="AG9" s="20" t="s">
        <v>31</v>
      </c>
      <c r="AH9" s="20" t="s">
        <v>31</v>
      </c>
      <c r="AI9" s="6">
        <f>COUNTIF(Відвідуваністьзасерпень[[#This Row],[1]:[31]],Код1)</f>
        <v>0</v>
      </c>
      <c r="AJ9" s="48">
        <f>COUNTIF(Відвідуваністьзасерпень[[#This Row],[1]:[31]],Код2)</f>
        <v>3</v>
      </c>
      <c r="AK9" s="48">
        <f>COUNTIF(Відвідуваністьзасерпень[[#This Row],[1]:[31]],Код3)</f>
        <v>1</v>
      </c>
      <c r="AL9" s="48">
        <f>COUNTIF(Відвідуваністьзасерпень[[#This Row],[1]:[31]],Код4)</f>
        <v>19</v>
      </c>
      <c r="AM9" s="6">
        <f>SUM(Відвідуваністьзасерпень[[#This Row],[ПП]:[П]])</f>
        <v>4</v>
      </c>
      <c r="AN9" s="7"/>
    </row>
    <row r="10" spans="1:40" ht="16.5" customHeight="1" x14ac:dyDescent="0.25">
      <c r="B10" s="46" t="s">
        <v>97</v>
      </c>
      <c r="C10" t="str">
        <f>IFERROR(VLOOKUP(Відвідуваністьзасерпень[[#This Row],[Код студента]],Перелікстудентів[],18,FALSE),"")</f>
        <v>Студент 4</v>
      </c>
      <c r="D10" s="20" t="s">
        <v>31</v>
      </c>
      <c r="E10" s="20" t="s">
        <v>31</v>
      </c>
      <c r="F10" s="20" t="s">
        <v>31</v>
      </c>
      <c r="G10" s="20" t="s">
        <v>31</v>
      </c>
      <c r="H10" s="20" t="s">
        <v>31</v>
      </c>
      <c r="I10" s="20" t="s">
        <v>71</v>
      </c>
      <c r="J10" s="20" t="s">
        <v>71</v>
      </c>
      <c r="K10" s="20" t="s">
        <v>31</v>
      </c>
      <c r="L10" s="20" t="s">
        <v>31</v>
      </c>
      <c r="M10" s="20" t="s">
        <v>31</v>
      </c>
      <c r="N10" s="20" t="s">
        <v>31</v>
      </c>
      <c r="O10" s="20" t="s">
        <v>31</v>
      </c>
      <c r="P10" s="20" t="s">
        <v>71</v>
      </c>
      <c r="Q10" s="20" t="s">
        <v>71</v>
      </c>
      <c r="R10" s="20" t="s">
        <v>31</v>
      </c>
      <c r="S10" s="20" t="s">
        <v>31</v>
      </c>
      <c r="T10" s="20" t="s">
        <v>31</v>
      </c>
      <c r="U10" s="20" t="s">
        <v>31</v>
      </c>
      <c r="V10" s="20" t="s">
        <v>31</v>
      </c>
      <c r="W10" s="20" t="s">
        <v>71</v>
      </c>
      <c r="X10" s="20" t="s">
        <v>71</v>
      </c>
      <c r="Y10" s="20" t="s">
        <v>31</v>
      </c>
      <c r="Z10" s="20" t="s">
        <v>38</v>
      </c>
      <c r="AA10" s="20" t="s">
        <v>31</v>
      </c>
      <c r="AB10" s="20" t="s">
        <v>31</v>
      </c>
      <c r="AC10" s="20" t="s">
        <v>39</v>
      </c>
      <c r="AD10" s="20" t="s">
        <v>71</v>
      </c>
      <c r="AE10" s="20" t="s">
        <v>71</v>
      </c>
      <c r="AF10" s="20" t="s">
        <v>31</v>
      </c>
      <c r="AG10" s="20" t="s">
        <v>39</v>
      </c>
      <c r="AH10" s="20" t="s">
        <v>31</v>
      </c>
      <c r="AI10" s="6">
        <f>COUNTIF(Відвідуваністьзасерпень[[#This Row],[1]:[31]],Код1)</f>
        <v>0</v>
      </c>
      <c r="AJ10" s="48">
        <f>COUNTIF(Відвідуваністьзасерпень[[#This Row],[1]:[31]],Код2)</f>
        <v>2</v>
      </c>
      <c r="AK10" s="48">
        <f>COUNTIF(Відвідуваністьзасерпень[[#This Row],[1]:[31]],Код3)</f>
        <v>1</v>
      </c>
      <c r="AL10" s="48">
        <f>COUNTIF(Відвідуваністьзасерпень[[#This Row],[1]:[31]],Код4)</f>
        <v>20</v>
      </c>
      <c r="AM10" s="6">
        <f>SUM(Відвідуваністьзасерпень[[#This Row],[ПП]:[П]])</f>
        <v>3</v>
      </c>
      <c r="AN10" s="10"/>
    </row>
    <row r="11" spans="1:40" ht="16.5" customHeight="1" x14ac:dyDescent="0.25">
      <c r="B11" s="46" t="s">
        <v>98</v>
      </c>
      <c r="C11" t="str">
        <f>IFERROR(VLOOKUP(Відвідуваністьзасерпень[[#This Row],[Код студента]],Перелікстудентів[],18,FALSE),"")</f>
        <v>Студент 5</v>
      </c>
      <c r="D11" s="20" t="s">
        <v>31</v>
      </c>
      <c r="E11" s="20" t="s">
        <v>31</v>
      </c>
      <c r="F11" s="20" t="s">
        <v>31</v>
      </c>
      <c r="G11" s="20" t="s">
        <v>31</v>
      </c>
      <c r="H11" s="20" t="s">
        <v>31</v>
      </c>
      <c r="I11" s="20" t="s">
        <v>71</v>
      </c>
      <c r="J11" s="20" t="s">
        <v>71</v>
      </c>
      <c r="K11" s="20" t="s">
        <v>31</v>
      </c>
      <c r="L11" s="20" t="s">
        <v>31</v>
      </c>
      <c r="M11" s="20" t="s">
        <v>31</v>
      </c>
      <c r="N11" s="20" t="s">
        <v>31</v>
      </c>
      <c r="O11" s="20" t="s">
        <v>31</v>
      </c>
      <c r="P11" s="20" t="s">
        <v>71</v>
      </c>
      <c r="Q11" s="20" t="s">
        <v>71</v>
      </c>
      <c r="R11" s="20" t="s">
        <v>31</v>
      </c>
      <c r="S11" s="20" t="s">
        <v>31</v>
      </c>
      <c r="T11" s="20" t="s">
        <v>31</v>
      </c>
      <c r="U11" s="20" t="s">
        <v>31</v>
      </c>
      <c r="V11" s="20" t="s">
        <v>31</v>
      </c>
      <c r="W11" s="20" t="s">
        <v>71</v>
      </c>
      <c r="X11" s="20" t="s">
        <v>71</v>
      </c>
      <c r="Y11" s="20" t="s">
        <v>31</v>
      </c>
      <c r="Z11" s="20" t="s">
        <v>31</v>
      </c>
      <c r="AA11" s="20" t="s">
        <v>31</v>
      </c>
      <c r="AB11" s="20" t="s">
        <v>31</v>
      </c>
      <c r="AC11" s="20" t="s">
        <v>31</v>
      </c>
      <c r="AD11" s="20" t="s">
        <v>71</v>
      </c>
      <c r="AE11" s="20" t="s">
        <v>71</v>
      </c>
      <c r="AF11" s="20" t="s">
        <v>31</v>
      </c>
      <c r="AG11" s="20" t="s">
        <v>31</v>
      </c>
      <c r="AH11" s="20" t="s">
        <v>31</v>
      </c>
      <c r="AI11" s="6">
        <f>COUNTIF(Відвідуваністьзасерпень[[#This Row],[1]:[31]],Код1)</f>
        <v>0</v>
      </c>
      <c r="AJ11" s="48">
        <f>COUNTIF(Відвідуваністьзасерпень[[#This Row],[1]:[31]],Код2)</f>
        <v>0</v>
      </c>
      <c r="AK11" s="48">
        <f>COUNTIF(Відвідуваністьзасерпень[[#This Row],[1]:[31]],Код3)</f>
        <v>0</v>
      </c>
      <c r="AL11" s="48">
        <f>COUNTIF(Відвідуваністьзасерпень[[#This Row],[1]:[31]],Код4)</f>
        <v>23</v>
      </c>
      <c r="AM11" s="6">
        <f>SUM(Відвідуваністьзасерпень[[#This Row],[ПП]:[П]])</f>
        <v>0</v>
      </c>
      <c r="AN11" s="10"/>
    </row>
    <row r="12" spans="1:40" ht="16.5" customHeight="1" x14ac:dyDescent="0.25">
      <c r="B12" s="113"/>
      <c r="C12" s="114" t="s">
        <v>118</v>
      </c>
      <c r="D12" s="115">
        <f>COUNTIF(Відвідуваністьзасерпень[1],"П")+COUNTIF(Відвідуваністьзасерпень[1],"ПП")</f>
        <v>0</v>
      </c>
      <c r="E12" s="115">
        <f>COUNTIF(Відвідуваністьзасерпень[2],"П")+COUNTIF(Відвідуваністьзасерпень[2],"ПП")</f>
        <v>2</v>
      </c>
      <c r="F12" s="115">
        <f>COUNTIF(Відвідуваністьзасерпень[3],"П")+COUNTIF(Відвідуваністьзасерпень[3],"ПП")</f>
        <v>0</v>
      </c>
      <c r="G12" s="115">
        <f>COUNTIF(Відвідуваністьзасерпень[4],"П")+COUNTIF(Відвідуваністьзасерпень[4],"ПП")</f>
        <v>0</v>
      </c>
      <c r="H12" s="115">
        <f>COUNTIF(Відвідуваністьзасерпень[5],"П")+COUNTIF(Відвідуваністьзасерпень[5],"ПП")</f>
        <v>0</v>
      </c>
      <c r="I12" s="115">
        <f>COUNTIF(Відвідуваністьзасерпень[6],"П")+COUNTIF(Відвідуваністьзасерпень[6],"ПП")</f>
        <v>0</v>
      </c>
      <c r="J12" s="115">
        <f>COUNTIF(Відвідуваністьзасерпень[7],"П")+COUNTIF(Відвідуваністьзасерпень[7],"ПП")</f>
        <v>0</v>
      </c>
      <c r="K12" s="115">
        <f>COUNTIF(Відвідуваністьзасерпень[8],"П")+COUNTIF(Відвідуваністьзасерпень[8],"ПП")</f>
        <v>0</v>
      </c>
      <c r="L12" s="115">
        <f>COUNTIF(Відвідуваністьзасерпень[9],"П")+COUNTIF(Відвідуваністьзасерпень[9],"ПП")</f>
        <v>1</v>
      </c>
      <c r="M12" s="115">
        <f>COUNTIF(Відвідуваністьзасерпень[10],"П")+COUNTIF(Відвідуваністьзасерпень[10],"ПП")</f>
        <v>3</v>
      </c>
      <c r="N12" s="115">
        <f>COUNTIF(Відвідуваністьзасерпень[11],"П")+COUNTIF(Відвідуваністьзасерпень[11],"ПП")</f>
        <v>1</v>
      </c>
      <c r="O12" s="115">
        <f>COUNTIF(Відвідуваністьзасерпень[12],"П")+COUNTIF(Відвідуваністьзасерпень[12],"ПП")</f>
        <v>1</v>
      </c>
      <c r="P12" s="115">
        <f>COUNTIF(Відвідуваністьзасерпень[13],"П")+COUNTIF(Відвідуваністьзасерпень[13],"ПП")</f>
        <v>0</v>
      </c>
      <c r="Q12" s="115">
        <f>COUNTIF(Відвідуваністьзасерпень[14],"П")+COUNTIF(Відвідуваністьзасерпень[14],"ПП")</f>
        <v>0</v>
      </c>
      <c r="R12" s="115">
        <f>COUNTIF(Відвідуваністьзасерпень[15],"П")+COUNTIF(Відвідуваністьзасерпень[15],"ПП")</f>
        <v>0</v>
      </c>
      <c r="S12" s="115">
        <f>COUNTIF(Відвідуваністьзасерпень[16],"П")+COUNTIF(Відвідуваністьзасерпень[16],"ПП")</f>
        <v>0</v>
      </c>
      <c r="T12" s="115">
        <f>COUNTIF(Відвідуваністьзасерпень[17],"П")+COUNTIF(Відвідуваністьзасерпень[17],"ПП")</f>
        <v>0</v>
      </c>
      <c r="U12" s="115">
        <f>COUNTIF(Відвідуваністьзасерпень[18],"П")+COUNTIF(Відвідуваністьзасерпень[18],"ПП")</f>
        <v>0</v>
      </c>
      <c r="V12" s="115">
        <f>COUNTIF(Відвідуваністьзасерпень[19],"П")+COUNTIF(Відвідуваністьзасерпень[19],"ПП")</f>
        <v>0</v>
      </c>
      <c r="W12" s="115">
        <f>COUNTIF(Відвідуваністьзасерпень[20],"П")+COUNTIF(Відвідуваністьзасерпень[20],"ПП")</f>
        <v>0</v>
      </c>
      <c r="X12" s="115">
        <f>COUNTIF(Відвідуваністьзасерпень[21],"П")+COUNTIF(Відвідуваністьзасерпень[21],"ПП")</f>
        <v>0</v>
      </c>
      <c r="Y12" s="115">
        <f>COUNTIF(Відвідуваністьзасерпень[22],"П")+COUNTIF(Відвідуваністьзасерпень[22],"ПП")</f>
        <v>0</v>
      </c>
      <c r="Z12" s="115">
        <f>COUNTIF(Відвідуваністьзасерпень[23],"П")+COUNTIF(Відвідуваністьзасерпень[23],"ПП")</f>
        <v>1</v>
      </c>
      <c r="AA12" s="115">
        <f>COUNTIF(Відвідуваністьзасерпень[24],"П")+COUNTIF(Відвідуваністьзасерпень[24],"ПП")</f>
        <v>1</v>
      </c>
      <c r="AB12" s="115">
        <f>COUNTIF(Відвідуваністьзасерпень[25],"П")+COUNTIF(Відвідуваністьзасерпень[25],"ПП")</f>
        <v>1</v>
      </c>
      <c r="AC12" s="115">
        <f>COUNTIF(Відвідуваністьзасерпень[26],"П")+COUNTIF(Відвідуваністьзасерпень[26],"ПП")</f>
        <v>1</v>
      </c>
      <c r="AD12" s="115">
        <f>COUNTIF(Відвідуваністьзасерпень[27],"П")+COUNTIF(Відвідуваністьзасерпень[27],"ПП")</f>
        <v>0</v>
      </c>
      <c r="AE12" s="115">
        <f>COUNTIF(Відвідуваністьзасерпень[28],"П")+COUNTIF(Відвідуваністьзасерпень[28],"ПП")</f>
        <v>0</v>
      </c>
      <c r="AF12" s="115">
        <f>COUNTIF(Відвідуваністьзасерпень[29],"П")+COUNTIF(Відвідуваністьзасерпень[29],"ПП")</f>
        <v>0</v>
      </c>
      <c r="AG12" s="115">
        <f>COUNTIF(Відвідуваністьзасерпень[30],"П")+COUNTIF(Відвідуваністьзасерпень[30],"ПП")</f>
        <v>1</v>
      </c>
      <c r="AH12" s="115">
        <f>COUNTIF(Відвідуваністьзасерпень[31],"П")+COUNTIF(Відвідуваністьзасерпень[31],"ПП")</f>
        <v>0</v>
      </c>
      <c r="AI12" s="115">
        <f>SUBTOTAL(109,Відвідуваністьзасерпень[З])</f>
        <v>4</v>
      </c>
      <c r="AJ12" s="115">
        <f>SUBTOTAL(109,Відвідуваністьзасерпень[ПП])</f>
        <v>10</v>
      </c>
      <c r="AK12" s="115">
        <f>SUBTOTAL(109,Відвідуваністьзасерпень[П])</f>
        <v>3</v>
      </c>
      <c r="AL12" s="115">
        <f>SUBTOTAL(109,Відвідуваністьзасерпень[Н])</f>
        <v>98</v>
      </c>
      <c r="AM12" s="115">
        <f>SUBTOTAL(109,Відвідуваністьзасерпень[Відсутність, дн.])</f>
        <v>13</v>
      </c>
    </row>
    <row r="14" spans="1:40" ht="16.5" customHeight="1" x14ac:dyDescent="0.25"/>
    <row r="15" spans="1:40" ht="16.5" customHeight="1" x14ac:dyDescent="0.25"/>
    <row r="16" spans="1:40"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D7:AI11">
    <cfRule type="expression" dxfId="968" priority="137" stopIfTrue="1">
      <formula>D7=Код2</formula>
    </cfRule>
  </conditionalFormatting>
  <conditionalFormatting sqref="D7:AH11">
    <cfRule type="expression" dxfId="967" priority="146" stopIfTrue="1">
      <formula>D7=Код5</formula>
    </cfRule>
    <cfRule type="expression" dxfId="966" priority="147" stopIfTrue="1">
      <formula>D7=Код4</formula>
    </cfRule>
    <cfRule type="expression" dxfId="965" priority="148" stopIfTrue="1">
      <formula>D7=Код3</formula>
    </cfRule>
    <cfRule type="expression" dxfId="964" priority="149" stopIfTrue="1">
      <formula>D7=Код1</formula>
    </cfRule>
  </conditionalFormatting>
  <conditionalFormatting sqref="AM7:AM11">
    <cfRule type="dataBar" priority="202">
      <dataBar>
        <cfvo type="min"/>
        <cfvo type="num" val="31"/>
        <color theme="4"/>
      </dataBar>
      <extLst>
        <ext xmlns:x14="http://schemas.microsoft.com/office/spreadsheetml/2009/9/main" uri="{B025F937-C7B1-47D3-B67F-A62EFF666E3E}">
          <x14:id>{ECCE2C3C-1B01-4700-B60E-DAAAB19A9C1A}</x14:id>
        </ext>
      </extLst>
    </cfRule>
  </conditionalFormatting>
  <dataValidations count="1">
    <dataValidation type="list" errorStyle="warning" allowBlank="1" showInputMessage="1" showErrorMessage="1" errorTitle="Отакої!" error="У списку студентів немає введеного коду. Ви можете натиснути кнопку ''Так'' і залишити введений код, але у звіті про відвідуваність він буде недоступний." sqref="B7:B11">
      <formula1>Ідентифікаторстудента</formula1>
    </dataValidation>
  </dataValidations>
  <printOptions horizontalCentered="1"/>
  <pageMargins left="0.5" right="0.5" top="0.75" bottom="0.75" header="0.3" footer="0.3"/>
  <pageSetup paperSize="9" scale="5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Лічильник 1">
              <controlPr defaultSize="0" print="0" autoPict="0" altText="Calendar Year Spinner. Click the spinner to change the school calendar year or type the year in cell AM.">
                <anchor moveWithCells="1" sizeWithCells="1">
                  <from>
                    <xdr:col>39</xdr:col>
                    <xdr:colOff>38100</xdr:colOff>
                    <xdr:row>0</xdr:row>
                    <xdr:rowOff>104775</xdr:rowOff>
                  </from>
                  <to>
                    <xdr:col>39</xdr:col>
                    <xdr:colOff>209550</xdr:colOff>
                    <xdr:row>0</xdr:row>
                    <xdr:rowOff>419100</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N346"/>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3.42578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4.7109375" style="11" bestFit="1" customWidth="1"/>
    <col min="40" max="16384" width="9.140625" style="11"/>
  </cols>
  <sheetData>
    <row r="1" spans="1:40" s="1" customFormat="1" ht="42" customHeight="1" x14ac:dyDescent="0.25">
      <c r="A1" s="36" t="s">
        <v>89</v>
      </c>
      <c r="B1" s="37"/>
      <c r="C1" s="37"/>
      <c r="D1" s="38"/>
      <c r="E1" s="38"/>
      <c r="F1" s="38"/>
      <c r="G1" s="38"/>
      <c r="H1" s="38"/>
      <c r="I1" s="38"/>
      <c r="J1" s="38"/>
      <c r="K1" s="38"/>
      <c r="L1" s="38"/>
      <c r="M1" s="38"/>
      <c r="N1" s="38"/>
      <c r="O1" s="38"/>
      <c r="P1" s="38"/>
      <c r="Q1" s="38"/>
      <c r="R1" s="38"/>
      <c r="S1" s="38"/>
      <c r="T1" s="38"/>
      <c r="U1" s="38"/>
      <c r="V1" s="38"/>
      <c r="W1" s="38"/>
      <c r="X1" s="38"/>
      <c r="Y1" s="38"/>
      <c r="Z1" s="38"/>
      <c r="AA1" s="38"/>
      <c r="AB1" s="38"/>
      <c r="AC1" s="37"/>
      <c r="AD1" s="37"/>
      <c r="AE1" s="37"/>
      <c r="AF1" s="37"/>
      <c r="AG1" s="39"/>
      <c r="AH1" s="37"/>
      <c r="AI1" s="37"/>
      <c r="AJ1" s="40"/>
      <c r="AK1" s="37"/>
      <c r="AL1" s="56" t="s">
        <v>72</v>
      </c>
      <c r="AM1" s="57">
        <f>Календарнийрік</f>
        <v>2012</v>
      </c>
    </row>
    <row r="2" spans="1:40" customFormat="1" ht="13.5" x14ac:dyDescent="0.25"/>
    <row r="3" spans="1:40" s="28" customFormat="1" ht="12.75" customHeight="1" x14ac:dyDescent="0.25">
      <c r="C3" s="43" t="str">
        <f>Текстпоясненьдокольорів</f>
        <v>ПОЯСНЕННЯ ДО КОЛЬОРІВ</v>
      </c>
      <c r="D3" s="50" t="str">
        <f>Код1</f>
        <v>З</v>
      </c>
      <c r="E3" s="67" t="str">
        <f>Код1текст</f>
        <v>Запізнення</v>
      </c>
      <c r="F3" s="58"/>
      <c r="H3" s="51" t="str">
        <f>Код2</f>
        <v>ПП</v>
      </c>
      <c r="I3" s="55" t="str">
        <f>Код2текст</f>
        <v>Поважна причина</v>
      </c>
      <c r="M3" s="52" t="str">
        <f>Код3</f>
        <v>П</v>
      </c>
      <c r="N3" s="55" t="str">
        <f>Код3текст</f>
        <v>Прогул</v>
      </c>
      <c r="Q3" s="53" t="str">
        <f>Код4</f>
        <v>Н</v>
      </c>
      <c r="R3" s="55" t="str">
        <f>Код4текст</f>
        <v>На місці</v>
      </c>
      <c r="U3" s="54" t="str">
        <f>Код5</f>
        <v>В</v>
      </c>
      <c r="V3" s="55" t="str">
        <f>Код5текст</f>
        <v>Вихідний</v>
      </c>
      <c r="W3"/>
      <c r="X3"/>
      <c r="Y3"/>
      <c r="AD3" s="27"/>
      <c r="AE3" s="27"/>
      <c r="AH3" s="29"/>
      <c r="AI3" s="30"/>
      <c r="AK3" s="31"/>
    </row>
    <row r="4" spans="1:40" customFormat="1" ht="16.5" customHeight="1" x14ac:dyDescent="0.25"/>
    <row r="5" spans="1:40" s="2" customFormat="1" ht="18" customHeight="1" x14ac:dyDescent="0.3">
      <c r="B5" s="60">
        <f>DATE(Календарнийрік,9,1)</f>
        <v>41153</v>
      </c>
      <c r="C5" s="59"/>
      <c r="D5" s="41" t="str">
        <f>TEXT(WEEKDAY(DATE(Календарнийрік,9,1),1),"aaa")</f>
        <v>Сб</v>
      </c>
      <c r="E5" s="41" t="str">
        <f>TEXT(WEEKDAY(DATE(Календарнийрік,9,2),1),"aaa")</f>
        <v>Нд</v>
      </c>
      <c r="F5" s="41" t="str">
        <f>TEXT(WEEKDAY(DATE(Календарнийрік,9,3),1),"aaa")</f>
        <v>Пн</v>
      </c>
      <c r="G5" s="41" t="str">
        <f>TEXT(WEEKDAY(DATE(Календарнийрік,9,4),1),"aaa")</f>
        <v>Вт</v>
      </c>
      <c r="H5" s="41" t="str">
        <f>TEXT(WEEKDAY(DATE(Календарнийрік,9,5),1),"aaa")</f>
        <v>Ср</v>
      </c>
      <c r="I5" s="41" t="str">
        <f>TEXT(WEEKDAY(DATE(Календарнийрік,9,6),1),"aaa")</f>
        <v>Чт</v>
      </c>
      <c r="J5" s="41" t="str">
        <f>TEXT(WEEKDAY(DATE(Календарнийрік,9,7),1),"aaa")</f>
        <v>Пт</v>
      </c>
      <c r="K5" s="41" t="str">
        <f>TEXT(WEEKDAY(DATE(Календарнийрік,9,8),1),"aaa")</f>
        <v>Сб</v>
      </c>
      <c r="L5" s="41" t="str">
        <f>TEXT(WEEKDAY(DATE(Календарнийрік,9,9),1),"aaa")</f>
        <v>Нд</v>
      </c>
      <c r="M5" s="41" t="str">
        <f>TEXT(WEEKDAY(DATE(Календарнийрік,9,10),1),"aaa")</f>
        <v>Пн</v>
      </c>
      <c r="N5" s="41" t="str">
        <f>TEXT(WEEKDAY(DATE(Календарнийрік,9,11),1),"aaa")</f>
        <v>Вт</v>
      </c>
      <c r="O5" s="41" t="str">
        <f>TEXT(WEEKDAY(DATE(Календарнийрік,9,12),1),"aaa")</f>
        <v>Ср</v>
      </c>
      <c r="P5" s="41" t="str">
        <f>TEXT(WEEKDAY(DATE(Календарнийрік,9,13),1),"aaa")</f>
        <v>Чт</v>
      </c>
      <c r="Q5" s="41" t="str">
        <f>TEXT(WEEKDAY(DATE(Календарнийрік,9,14),1),"aaa")</f>
        <v>Пт</v>
      </c>
      <c r="R5" s="41" t="str">
        <f>TEXT(WEEKDAY(DATE(Календарнийрік,9,15),1),"aaa")</f>
        <v>Сб</v>
      </c>
      <c r="S5" s="41" t="str">
        <f>TEXT(WEEKDAY(DATE(Календарнийрік,9,16),1),"aaa")</f>
        <v>Нд</v>
      </c>
      <c r="T5" s="41" t="str">
        <f>TEXT(WEEKDAY(DATE(Календарнийрік,9,17),1),"aaa")</f>
        <v>Пн</v>
      </c>
      <c r="U5" s="41" t="str">
        <f>TEXT(WEEKDAY(DATE(Календарнийрік,9,18),1),"aaa")</f>
        <v>Вт</v>
      </c>
      <c r="V5" s="41" t="str">
        <f>TEXT(WEEKDAY(DATE(Календарнийрік,9,19),1),"aaa")</f>
        <v>Ср</v>
      </c>
      <c r="W5" s="41" t="str">
        <f>TEXT(WEEKDAY(DATE(Календарнийрік,9,20),1),"aaa")</f>
        <v>Чт</v>
      </c>
      <c r="X5" s="41" t="str">
        <f>TEXT(WEEKDAY(DATE(Календарнийрік,9,21),1),"aaa")</f>
        <v>Пт</v>
      </c>
      <c r="Y5" s="41" t="str">
        <f>TEXT(WEEKDAY(DATE(Календарнийрік,9,22),1),"aaa")</f>
        <v>Сб</v>
      </c>
      <c r="Z5" s="41" t="str">
        <f>TEXT(WEEKDAY(DATE(Календарнийрік,9,23),1),"aaa")</f>
        <v>Нд</v>
      </c>
      <c r="AA5" s="41" t="str">
        <f>TEXT(WEEKDAY(DATE(Календарнийрік,9,24),1),"aaa")</f>
        <v>Пн</v>
      </c>
      <c r="AB5" s="41" t="str">
        <f>TEXT(WEEKDAY(DATE(Календарнийрік,9,25),1),"aaa")</f>
        <v>Вт</v>
      </c>
      <c r="AC5" s="41" t="str">
        <f>TEXT(WEEKDAY(DATE(Календарнийрік,9,26),1),"aaa")</f>
        <v>Ср</v>
      </c>
      <c r="AD5" s="41" t="str">
        <f>TEXT(WEEKDAY(DATE(Календарнийрік,9,27),1),"aaa")</f>
        <v>Чт</v>
      </c>
      <c r="AE5" s="41" t="str">
        <f>TEXT(WEEKDAY(DATE(Календарнийрік,9,28),1),"aaa")</f>
        <v>Пт</v>
      </c>
      <c r="AF5" s="41" t="str">
        <f>TEXT(WEEKDAY(DATE(Календарнийрік,9,29),1),"aaa")</f>
        <v>Сб</v>
      </c>
      <c r="AG5" s="41" t="str">
        <f>TEXT(WEEKDAY(DATE(Календарнийрік,9,30),1),"aaa")</f>
        <v>Нд</v>
      </c>
      <c r="AH5" s="41"/>
      <c r="AI5" s="128" t="s">
        <v>41</v>
      </c>
      <c r="AJ5" s="129"/>
      <c r="AK5" s="129"/>
      <c r="AL5" s="129"/>
      <c r="AM5" s="130"/>
    </row>
    <row r="6" spans="1:40" s="5" customFormat="1" ht="14.25" customHeight="1" x14ac:dyDescent="0.25">
      <c r="B6" s="44" t="s">
        <v>34</v>
      </c>
      <c r="C6" s="45" t="s">
        <v>36</v>
      </c>
      <c r="D6" s="3" t="s">
        <v>0</v>
      </c>
      <c r="E6" s="3" t="s">
        <v>1</v>
      </c>
      <c r="F6" s="3" t="s">
        <v>2</v>
      </c>
      <c r="G6" s="3" t="s">
        <v>3</v>
      </c>
      <c r="H6" s="3" t="s">
        <v>4</v>
      </c>
      <c r="I6" s="3" t="s">
        <v>5</v>
      </c>
      <c r="J6" s="3" t="s">
        <v>6</v>
      </c>
      <c r="K6" s="3" t="s">
        <v>7</v>
      </c>
      <c r="L6" s="3" t="s">
        <v>8</v>
      </c>
      <c r="M6" s="3" t="s">
        <v>9</v>
      </c>
      <c r="N6" s="3" t="s">
        <v>10</v>
      </c>
      <c r="O6" s="3" t="s">
        <v>11</v>
      </c>
      <c r="P6" s="3" t="s">
        <v>12</v>
      </c>
      <c r="Q6" s="3" t="s">
        <v>13</v>
      </c>
      <c r="R6" s="3" t="s">
        <v>14</v>
      </c>
      <c r="S6" s="3" t="s">
        <v>15</v>
      </c>
      <c r="T6" s="3" t="s">
        <v>16</v>
      </c>
      <c r="U6" s="3" t="s">
        <v>17</v>
      </c>
      <c r="V6" s="3" t="s">
        <v>18</v>
      </c>
      <c r="W6" s="3" t="s">
        <v>19</v>
      </c>
      <c r="X6" s="3" t="s">
        <v>20</v>
      </c>
      <c r="Y6" s="3" t="s">
        <v>21</v>
      </c>
      <c r="Z6" s="3" t="s">
        <v>22</v>
      </c>
      <c r="AA6" s="3" t="s">
        <v>23</v>
      </c>
      <c r="AB6" s="3" t="s">
        <v>24</v>
      </c>
      <c r="AC6" s="3" t="s">
        <v>25</v>
      </c>
      <c r="AD6" s="3" t="s">
        <v>26</v>
      </c>
      <c r="AE6" s="3" t="s">
        <v>27</v>
      </c>
      <c r="AF6" s="3" t="s">
        <v>28</v>
      </c>
      <c r="AG6" s="3" t="s">
        <v>29</v>
      </c>
      <c r="AH6" s="3" t="s">
        <v>117</v>
      </c>
      <c r="AI6" s="91" t="s">
        <v>37</v>
      </c>
      <c r="AJ6" s="68" t="s">
        <v>39</v>
      </c>
      <c r="AK6" s="69" t="s">
        <v>38</v>
      </c>
      <c r="AL6" s="70" t="s">
        <v>31</v>
      </c>
      <c r="AM6" s="49" t="s">
        <v>40</v>
      </c>
      <c r="AN6" s="4"/>
    </row>
    <row r="7" spans="1:40" s="5" customFormat="1" ht="16.5" customHeight="1" x14ac:dyDescent="0.25">
      <c r="B7" s="46"/>
      <c r="C7" s="47" t="str">
        <f>IFERROR(VLOOKUP(Відвідуваністьзавересень[[#This Row],[Код студента]],Перелікстудентів[],18,FALSE),"")</f>
        <v/>
      </c>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2"/>
      <c r="AG7" s="20"/>
      <c r="AH7" s="20"/>
      <c r="AI7" s="6">
        <f>COUNTIF(Відвідуваністьзавересень[[#This Row],[1]:[ ]],Код1)</f>
        <v>0</v>
      </c>
      <c r="AJ7" s="48">
        <f>COUNTIF(Відвідуваністьзавересень[[#This Row],[1]:[ ]],Код2)</f>
        <v>0</v>
      </c>
      <c r="AK7" s="48">
        <f>COUNTIF(Відвідуваністьзавересень[[#This Row],[1]:[ ]],Код3)</f>
        <v>0</v>
      </c>
      <c r="AL7" s="48">
        <f>COUNTIF(Відвідуваністьзавересень[[#This Row],[1]:[ ]],Код4)</f>
        <v>0</v>
      </c>
      <c r="AM7" s="6">
        <f>SUM(Відвідуваністьзавересень[[#This Row],[ПП]:[П]])</f>
        <v>0</v>
      </c>
      <c r="AN7" s="4"/>
    </row>
    <row r="8" spans="1:40" s="5" customFormat="1" ht="16.5" customHeight="1" x14ac:dyDescent="0.25">
      <c r="B8" s="46"/>
      <c r="C8" s="47" t="str">
        <f>IFERROR(VLOOKUP(Відвідуваністьзавересень[[#This Row],[Код студента]],Перелікстудентів[],18,FALSE),"")</f>
        <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2"/>
      <c r="AG8" s="20"/>
      <c r="AH8" s="20"/>
      <c r="AI8" s="6">
        <f>COUNTIF(Відвідуваністьзавересень[[#This Row],[1]:[ ]],Код1)</f>
        <v>0</v>
      </c>
      <c r="AJ8" s="48">
        <f>COUNTIF(Відвідуваністьзавересень[[#This Row],[1]:[ ]],Код2)</f>
        <v>0</v>
      </c>
      <c r="AK8" s="48">
        <f>COUNTIF(Відвідуваністьзавересень[[#This Row],[1]:[ ]],Код3)</f>
        <v>0</v>
      </c>
      <c r="AL8" s="48">
        <f>COUNTIF(Відвідуваністьзавересень[[#This Row],[1]:[ ]],Код4)</f>
        <v>0</v>
      </c>
      <c r="AM8" s="6">
        <f>SUM(Відвідуваністьзавересень[[#This Row],[ПП]:[П]])</f>
        <v>0</v>
      </c>
      <c r="AN8" s="4"/>
    </row>
    <row r="9" spans="1:40" s="8" customFormat="1" ht="16.5" customHeight="1" x14ac:dyDescent="0.25">
      <c r="B9" s="46"/>
      <c r="C9" s="47" t="str">
        <f>IFERROR(VLOOKUP(Відвідуваністьзавересень[[#This Row],[Код студента]],Перелікстудентів[],18,FALSE),"")</f>
        <v/>
      </c>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2"/>
      <c r="AG9" s="20"/>
      <c r="AH9" s="20"/>
      <c r="AI9" s="6">
        <f>COUNTIF(Відвідуваністьзавересень[[#This Row],[1]:[ ]],Код1)</f>
        <v>0</v>
      </c>
      <c r="AJ9" s="48">
        <f>COUNTIF(Відвідуваністьзавересень[[#This Row],[1]:[ ]],Код2)</f>
        <v>0</v>
      </c>
      <c r="AK9" s="48">
        <f>COUNTIF(Відвідуваністьзавересень[[#This Row],[1]:[ ]],Код3)</f>
        <v>0</v>
      </c>
      <c r="AL9" s="48">
        <f>COUNTIF(Відвідуваністьзавересень[[#This Row],[1]:[ ]],Код4)</f>
        <v>0</v>
      </c>
      <c r="AM9" s="6">
        <f>SUM(Відвідуваністьзавересень[[#This Row],[ПП]:[П]])</f>
        <v>0</v>
      </c>
      <c r="AN9" s="7"/>
    </row>
    <row r="10" spans="1:40" ht="16.5" customHeight="1" x14ac:dyDescent="0.25">
      <c r="B10" s="46"/>
      <c r="C10" s="47" t="str">
        <f>IFERROR(VLOOKUP(Відвідуваністьзавересень[[#This Row],[Код студента]],Перелікстудентів[],18,FALSE),"")</f>
        <v/>
      </c>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2"/>
      <c r="AG10" s="20"/>
      <c r="AH10" s="20"/>
      <c r="AI10" s="6">
        <f>COUNTIF(Відвідуваністьзавересень[[#This Row],[1]:[ ]],Код1)</f>
        <v>0</v>
      </c>
      <c r="AJ10" s="48">
        <f>COUNTIF(Відвідуваністьзавересень[[#This Row],[1]:[ ]],Код2)</f>
        <v>0</v>
      </c>
      <c r="AK10" s="48">
        <f>COUNTIF(Відвідуваністьзавересень[[#This Row],[1]:[ ]],Код3)</f>
        <v>0</v>
      </c>
      <c r="AL10" s="48">
        <f>COUNTIF(Відвідуваністьзавересень[[#This Row],[1]:[ ]],Код4)</f>
        <v>0</v>
      </c>
      <c r="AM10" s="6">
        <f>SUM(Відвідуваністьзавересень[[#This Row],[ПП]:[П]])</f>
        <v>0</v>
      </c>
      <c r="AN10" s="10"/>
    </row>
    <row r="11" spans="1:40" ht="16.5" customHeight="1" x14ac:dyDescent="0.25">
      <c r="B11" s="46"/>
      <c r="C11" s="47" t="str">
        <f>IFERROR(VLOOKUP(Відвідуваністьзавересень[[#This Row],[Код студента]],Перелікстудентів[],18,FALSE),"")</f>
        <v/>
      </c>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2"/>
      <c r="AG11" s="20"/>
      <c r="AH11" s="20"/>
      <c r="AI11" s="6">
        <f>COUNTIF(Відвідуваністьзавересень[[#This Row],[1]:[ ]],Код1)</f>
        <v>0</v>
      </c>
      <c r="AJ11" s="48">
        <f>COUNTIF(Відвідуваністьзавересень[[#This Row],[1]:[ ]],Код2)</f>
        <v>0</v>
      </c>
      <c r="AK11" s="48">
        <f>COUNTIF(Відвідуваністьзавересень[[#This Row],[1]:[ ]],Код3)</f>
        <v>0</v>
      </c>
      <c r="AL11" s="48">
        <f>COUNTIF(Відвідуваністьзавересень[[#This Row],[1]:[ ]],Код4)</f>
        <v>0</v>
      </c>
      <c r="AM11" s="6">
        <f>SUM(Відвідуваністьзавересень[[#This Row],[ПП]:[П]])</f>
        <v>0</v>
      </c>
      <c r="AN11" s="10"/>
    </row>
    <row r="12" spans="1:40" ht="16.5" customHeight="1" x14ac:dyDescent="0.25">
      <c r="B12" s="113"/>
      <c r="C12" s="114" t="s">
        <v>118</v>
      </c>
      <c r="D12" s="115">
        <f>COUNTIF(Відвідуваністьзавересень[1],"П")+COUNTIF(Відвідуваністьзавересень[1],"ПП")</f>
        <v>0</v>
      </c>
      <c r="E12" s="115">
        <f>COUNTIF(Відвідуваністьзавересень[2],"П")+COUNTIF(Відвідуваністьзавересень[2],"ПП")</f>
        <v>0</v>
      </c>
      <c r="F12" s="115">
        <f>COUNTIF(Відвідуваністьзавересень[3],"П")+COUNTIF(Відвідуваністьзавересень[3],"ПП")</f>
        <v>0</v>
      </c>
      <c r="G12" s="115">
        <f>COUNTIF(Відвідуваністьзавересень[4],"П")+COUNTIF(Відвідуваністьзавересень[4],"ПП")</f>
        <v>0</v>
      </c>
      <c r="H12" s="115">
        <f>COUNTIF(Відвідуваністьзавересень[5],"П")+COUNTIF(Відвідуваністьзавересень[5],"ПП")</f>
        <v>0</v>
      </c>
      <c r="I12" s="115">
        <f>COUNTIF(Відвідуваністьзавересень[6],"П")+COUNTIF(Відвідуваністьзавересень[6],"ПП")</f>
        <v>0</v>
      </c>
      <c r="J12" s="115">
        <f>COUNTIF(Відвідуваністьзавересень[7],"П")+COUNTIF(Відвідуваністьзавересень[7],"ПП")</f>
        <v>0</v>
      </c>
      <c r="K12" s="115">
        <f>COUNTIF(Відвідуваністьзавересень[8],"П")+COUNTIF(Відвідуваністьзавересень[8],"ПП")</f>
        <v>0</v>
      </c>
      <c r="L12" s="115">
        <f>COUNTIF(Відвідуваністьзавересень[9],"П")+COUNTIF(Відвідуваністьзавересень[9],"ПП")</f>
        <v>0</v>
      </c>
      <c r="M12" s="115">
        <f>COUNTIF(Відвідуваністьзавересень[10],"П")+COUNTIF(Відвідуваністьзавересень[10],"ПП")</f>
        <v>0</v>
      </c>
      <c r="N12" s="115">
        <f>COUNTIF(Відвідуваністьзавересень[11],"П")+COUNTIF(Відвідуваністьзавересень[11],"ПП")</f>
        <v>0</v>
      </c>
      <c r="O12" s="115">
        <f>COUNTIF(Відвідуваністьзавересень[12],"П")+COUNTIF(Відвідуваністьзавересень[12],"ПП")</f>
        <v>0</v>
      </c>
      <c r="P12" s="115">
        <f>COUNTIF(Відвідуваністьзавересень[13],"П")+COUNTIF(Відвідуваністьзавересень[13],"ПП")</f>
        <v>0</v>
      </c>
      <c r="Q12" s="115">
        <f>COUNTIF(Відвідуваністьзавересень[14],"П")+COUNTIF(Відвідуваністьзавересень[14],"ПП")</f>
        <v>0</v>
      </c>
      <c r="R12" s="115">
        <f>COUNTIF(Відвідуваністьзавересень[15],"П")+COUNTIF(Відвідуваністьзавересень[15],"ПП")</f>
        <v>0</v>
      </c>
      <c r="S12" s="115">
        <f>COUNTIF(Відвідуваністьзавересень[16],"П")+COUNTIF(Відвідуваністьзавересень[16],"ПП")</f>
        <v>0</v>
      </c>
      <c r="T12" s="115">
        <f>COUNTIF(Відвідуваністьзавересень[17],"П")+COUNTIF(Відвідуваністьзавересень[17],"ПП")</f>
        <v>0</v>
      </c>
      <c r="U12" s="115">
        <f>COUNTIF(Відвідуваністьзавересень[18],"П")+COUNTIF(Відвідуваністьзавересень[18],"ПП")</f>
        <v>0</v>
      </c>
      <c r="V12" s="115">
        <f>COUNTIF(Відвідуваністьзавересень[19],"П")+COUNTIF(Відвідуваністьзавересень[19],"ПП")</f>
        <v>0</v>
      </c>
      <c r="W12" s="115">
        <f>COUNTIF(Відвідуваністьзавересень[20],"П")+COUNTIF(Відвідуваністьзавересень[20],"ПП")</f>
        <v>0</v>
      </c>
      <c r="X12" s="115">
        <f>COUNTIF(Відвідуваністьзавересень[21],"П")+COUNTIF(Відвідуваністьзавересень[21],"ПП")</f>
        <v>0</v>
      </c>
      <c r="Y12" s="115">
        <f>COUNTIF(Відвідуваністьзавересень[22],"П")+COUNTIF(Відвідуваністьзавересень[22],"ПП")</f>
        <v>0</v>
      </c>
      <c r="Z12" s="115">
        <f>COUNTIF(Відвідуваністьзавересень[23],"П")+COUNTIF(Відвідуваністьзавересень[23],"ПП")</f>
        <v>0</v>
      </c>
      <c r="AA12" s="115">
        <f>COUNTIF(Відвідуваністьзавересень[24],"П")+COUNTIF(Відвідуваністьзавересень[24],"ПП")</f>
        <v>0</v>
      </c>
      <c r="AB12" s="115">
        <f>COUNTIF(Відвідуваністьзавересень[25],"П")+COUNTIF(Відвідуваністьзавересень[25],"ПП")</f>
        <v>0</v>
      </c>
      <c r="AC12" s="115">
        <f>COUNTIF(Відвідуваністьзавересень[26],"П")+COUNTIF(Відвідуваністьзавересень[26],"ПП")</f>
        <v>0</v>
      </c>
      <c r="AD12" s="115">
        <f>COUNTIF(Відвідуваністьзавересень[27],"П")+COUNTIF(Відвідуваністьзавересень[27],"ПП")</f>
        <v>0</v>
      </c>
      <c r="AE12" s="115">
        <f>COUNTIF(Відвідуваністьзавересень[28],"П")+COUNTIF(Відвідуваністьзавересень[28],"ПП")</f>
        <v>0</v>
      </c>
      <c r="AF12" s="115">
        <f>COUNTIF(Відвідуваністьзавересень[29],"П")+COUNTIF(Відвідуваністьзавересень[29],"ПП")</f>
        <v>0</v>
      </c>
      <c r="AG12" s="115">
        <f>COUNTIF(Відвідуваністьзавересень[30],"П")+COUNTIF(Відвідуваністьзавересень[30],"ПП")</f>
        <v>0</v>
      </c>
      <c r="AH12" s="115">
        <f>COUNTIF(Відвідуваністьзавересень[[ ]],"П")+COUNTIF(Відвідуваністьзавересень[[ ]],"ПП")</f>
        <v>0</v>
      </c>
      <c r="AI12" s="115">
        <f>SUBTOTAL(109,Відвідуваністьзавересень[З])</f>
        <v>0</v>
      </c>
      <c r="AJ12" s="115">
        <f>SUBTOTAL(109,Відвідуваністьзавересень[ПП])</f>
        <v>0</v>
      </c>
      <c r="AK12" s="115">
        <f>SUBTOTAL(109,Відвідуваністьзавересень[П])</f>
        <v>0</v>
      </c>
      <c r="AL12" s="115">
        <f>SUBTOTAL(109,Відвідуваністьзавересень[Н])</f>
        <v>0</v>
      </c>
      <c r="AM12" s="115">
        <f>SUBTOTAL(109,Відвідуваністьзавересень[Відсутність, дн.])</f>
        <v>0</v>
      </c>
    </row>
    <row r="14" spans="1:40" ht="16.5" customHeight="1" x14ac:dyDescent="0.25"/>
    <row r="15" spans="1:40" ht="16.5" customHeight="1" x14ac:dyDescent="0.25"/>
    <row r="16" spans="1:40"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6">
      <dataBar>
        <cfvo type="min"/>
        <cfvo type="num" val="31"/>
        <color theme="4"/>
      </dataBar>
      <extLst>
        <ext xmlns:x14="http://schemas.microsoft.com/office/spreadsheetml/2009/9/main" uri="{B025F937-C7B1-47D3-B67F-A62EFF666E3E}">
          <x14:id>{FCDE13DD-578E-4A81-A4F7-3A892C41EF0D}</x14:id>
        </ext>
      </extLst>
    </cfRule>
  </conditionalFormatting>
  <conditionalFormatting sqref="AG7:AI11">
    <cfRule type="expression" dxfId="920" priority="7" stopIfTrue="1">
      <formula>AG7=Код2</formula>
    </cfRule>
  </conditionalFormatting>
  <conditionalFormatting sqref="AG7:AH11">
    <cfRule type="expression" dxfId="919" priority="8" stopIfTrue="1">
      <formula>AG7=Код5</formula>
    </cfRule>
    <cfRule type="expression" dxfId="918" priority="9" stopIfTrue="1">
      <formula>AG7=Код4</formula>
    </cfRule>
    <cfRule type="expression" dxfId="917" priority="10" stopIfTrue="1">
      <formula>AG7=Код3</formula>
    </cfRule>
    <cfRule type="expression" dxfId="916" priority="11" stopIfTrue="1">
      <formula>AG7=Код1</formula>
    </cfRule>
  </conditionalFormatting>
  <conditionalFormatting sqref="D7:AF11">
    <cfRule type="expression" dxfId="915" priority="1" stopIfTrue="1">
      <formula>D7=Код2</formula>
    </cfRule>
  </conditionalFormatting>
  <conditionalFormatting sqref="D7:AF11">
    <cfRule type="expression" dxfId="914" priority="2" stopIfTrue="1">
      <formula>D7=Код5</formula>
    </cfRule>
    <cfRule type="expression" dxfId="913" priority="3" stopIfTrue="1">
      <formula>D7=Код4</formula>
    </cfRule>
    <cfRule type="expression" dxfId="912" priority="4" stopIfTrue="1">
      <formula>D7=Код3</formula>
    </cfRule>
    <cfRule type="expression" dxfId="911" priority="5" stopIfTrue="1">
      <formula>D7=Код1</formula>
    </cfRule>
  </conditionalFormatting>
  <dataValidations count="1">
    <dataValidation type="list" errorStyle="warning" allowBlank="1" showInputMessage="1" showErrorMessage="1" errorTitle="Отакої!" error="У списку студентів немає введеного коду. Ви можете натиснути кнопку ''Так'' і залишити введений код, але у звіті про відвідуваність він буде недоступний." sqref="B7:B11">
      <formula1>Ідентифікаторстудента</formula1>
    </dataValidation>
  </dataValidations>
  <printOptions horizontalCentered="1"/>
  <pageMargins left="0.5" right="0.5" top="0.75" bottom="0.75" header="0.3" footer="0.3"/>
  <pageSetup paperSize="9" scale="59"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CDE13DD-578E-4A81-A4F7-3A892C41EF0D}">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N346"/>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3.42578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4.7109375" style="11" bestFit="1" customWidth="1"/>
    <col min="40" max="16384" width="9.140625" style="11"/>
  </cols>
  <sheetData>
    <row r="1" spans="1:40" s="1" customFormat="1" ht="42" customHeight="1" x14ac:dyDescent="0.25">
      <c r="A1" s="36" t="s">
        <v>89</v>
      </c>
      <c r="B1" s="37"/>
      <c r="C1" s="37"/>
      <c r="D1" s="38"/>
      <c r="E1" s="38"/>
      <c r="F1" s="38"/>
      <c r="G1" s="38"/>
      <c r="H1" s="38"/>
      <c r="I1" s="38"/>
      <c r="J1" s="38"/>
      <c r="K1" s="38"/>
      <c r="L1" s="38"/>
      <c r="M1" s="38"/>
      <c r="N1" s="38"/>
      <c r="O1" s="38"/>
      <c r="P1" s="38"/>
      <c r="Q1" s="38"/>
      <c r="R1" s="38"/>
      <c r="S1" s="38"/>
      <c r="T1" s="38"/>
      <c r="U1" s="38"/>
      <c r="V1" s="38"/>
      <c r="W1" s="38"/>
      <c r="X1" s="38"/>
      <c r="Y1" s="38"/>
      <c r="Z1" s="38"/>
      <c r="AA1" s="38"/>
      <c r="AB1" s="38"/>
      <c r="AC1" s="37"/>
      <c r="AD1" s="37"/>
      <c r="AE1" s="37"/>
      <c r="AF1" s="37"/>
      <c r="AG1" s="39"/>
      <c r="AH1" s="37"/>
      <c r="AI1" s="37"/>
      <c r="AJ1" s="40"/>
      <c r="AK1" s="37"/>
      <c r="AL1" s="56" t="s">
        <v>72</v>
      </c>
      <c r="AM1" s="57">
        <f>Календарнийрік</f>
        <v>2012</v>
      </c>
    </row>
    <row r="2" spans="1:40" customFormat="1" ht="13.5" x14ac:dyDescent="0.25"/>
    <row r="3" spans="1:40" s="28" customFormat="1" ht="12.75" customHeight="1" x14ac:dyDescent="0.25">
      <c r="C3" s="43" t="str">
        <f>Текстпоясненьдокольорів</f>
        <v>ПОЯСНЕННЯ ДО КОЛЬОРІВ</v>
      </c>
      <c r="D3" s="50" t="str">
        <f>Код1</f>
        <v>З</v>
      </c>
      <c r="E3" s="67" t="str">
        <f>Код1текст</f>
        <v>Запізнення</v>
      </c>
      <c r="F3" s="58"/>
      <c r="H3" s="51" t="str">
        <f>Код2</f>
        <v>ПП</v>
      </c>
      <c r="I3" s="55" t="str">
        <f>Код2текст</f>
        <v>Поважна причина</v>
      </c>
      <c r="M3" s="52" t="str">
        <f>Код3</f>
        <v>П</v>
      </c>
      <c r="N3" s="55" t="str">
        <f>Код3текст</f>
        <v>Прогул</v>
      </c>
      <c r="Q3" s="53" t="str">
        <f>Код4</f>
        <v>Н</v>
      </c>
      <c r="R3" s="55" t="str">
        <f>Код4текст</f>
        <v>На місці</v>
      </c>
      <c r="U3" s="54" t="str">
        <f>Код5</f>
        <v>В</v>
      </c>
      <c r="V3" s="55" t="str">
        <f>Код5текст</f>
        <v>Вихідний</v>
      </c>
      <c r="W3"/>
      <c r="X3"/>
      <c r="Y3"/>
      <c r="AD3" s="27"/>
      <c r="AE3" s="27"/>
      <c r="AH3" s="29"/>
      <c r="AI3" s="30"/>
      <c r="AK3" s="31"/>
    </row>
    <row r="4" spans="1:40" customFormat="1" ht="16.5" customHeight="1" x14ac:dyDescent="0.25"/>
    <row r="5" spans="1:40" s="2" customFormat="1" ht="18" customHeight="1" x14ac:dyDescent="0.3">
      <c r="B5" s="60">
        <f>DATE(Календарнийрік,10,1)</f>
        <v>41183</v>
      </c>
      <c r="C5" s="59"/>
      <c r="D5" s="41" t="str">
        <f>TEXT(WEEKDAY(DATE(Календарнийрік,10,1),1),"aaa")</f>
        <v>Пн</v>
      </c>
      <c r="E5" s="41" t="str">
        <f>TEXT(WEEKDAY(DATE(Календарнийрік,10,2),1),"aaa")</f>
        <v>Вт</v>
      </c>
      <c r="F5" s="41" t="str">
        <f>TEXT(WEEKDAY(DATE(Календарнийрік,10,3),1),"aaa")</f>
        <v>Ср</v>
      </c>
      <c r="G5" s="41" t="str">
        <f>TEXT(WEEKDAY(DATE(Календарнийрік,10,4),1),"aaa")</f>
        <v>Чт</v>
      </c>
      <c r="H5" s="41" t="str">
        <f>TEXT(WEEKDAY(DATE(Календарнийрік,10,5),1),"aaa")</f>
        <v>Пт</v>
      </c>
      <c r="I5" s="41" t="str">
        <f>TEXT(WEEKDAY(DATE(Календарнийрік,10,6),1),"aaa")</f>
        <v>Сб</v>
      </c>
      <c r="J5" s="41" t="str">
        <f>TEXT(WEEKDAY(DATE(Календарнийрік,10,7),1),"aaa")</f>
        <v>Нд</v>
      </c>
      <c r="K5" s="41" t="str">
        <f>TEXT(WEEKDAY(DATE(Календарнийрік,10,8),1),"aaa")</f>
        <v>Пн</v>
      </c>
      <c r="L5" s="41" t="str">
        <f>TEXT(WEEKDAY(DATE(Календарнийрік,10,9),1),"aaa")</f>
        <v>Вт</v>
      </c>
      <c r="M5" s="41" t="str">
        <f>TEXT(WEEKDAY(DATE(Календарнийрік,10,10),1),"aaa")</f>
        <v>Ср</v>
      </c>
      <c r="N5" s="41" t="str">
        <f>TEXT(WEEKDAY(DATE(Календарнийрік,10,11),1),"aaa")</f>
        <v>Чт</v>
      </c>
      <c r="O5" s="41" t="str">
        <f>TEXT(WEEKDAY(DATE(Календарнийрік,10,12),1),"aaa")</f>
        <v>Пт</v>
      </c>
      <c r="P5" s="41" t="str">
        <f>TEXT(WEEKDAY(DATE(Календарнийрік,10,13),1),"aaa")</f>
        <v>Сб</v>
      </c>
      <c r="Q5" s="41" t="str">
        <f>TEXT(WEEKDAY(DATE(Календарнийрік,10,14),1),"aaa")</f>
        <v>Нд</v>
      </c>
      <c r="R5" s="41" t="str">
        <f>TEXT(WEEKDAY(DATE(Календарнийрік,10,15),1),"aaa")</f>
        <v>Пн</v>
      </c>
      <c r="S5" s="41" t="str">
        <f>TEXT(WEEKDAY(DATE(Календарнийрік,10,16),1),"aaa")</f>
        <v>Вт</v>
      </c>
      <c r="T5" s="41" t="str">
        <f>TEXT(WEEKDAY(DATE(Календарнийрік,10,17),1),"aaa")</f>
        <v>Ср</v>
      </c>
      <c r="U5" s="41" t="str">
        <f>TEXT(WEEKDAY(DATE(Календарнийрік,10,18),1),"aaa")</f>
        <v>Чт</v>
      </c>
      <c r="V5" s="41" t="str">
        <f>TEXT(WEEKDAY(DATE(Календарнийрік,10,19),1),"aaa")</f>
        <v>Пт</v>
      </c>
      <c r="W5" s="41" t="str">
        <f>TEXT(WEEKDAY(DATE(Календарнийрік,10,20),1),"aaa")</f>
        <v>Сб</v>
      </c>
      <c r="X5" s="41" t="str">
        <f>TEXT(WEEKDAY(DATE(Календарнийрік,10,21),1),"aaa")</f>
        <v>Нд</v>
      </c>
      <c r="Y5" s="41" t="str">
        <f>TEXT(WEEKDAY(DATE(Календарнийрік,10,22),1),"aaa")</f>
        <v>Пн</v>
      </c>
      <c r="Z5" s="41" t="str">
        <f>TEXT(WEEKDAY(DATE(Календарнийрік,10,23),1),"aaa")</f>
        <v>Вт</v>
      </c>
      <c r="AA5" s="41" t="str">
        <f>TEXT(WEEKDAY(DATE(Календарнийрік,10,24),1),"aaa")</f>
        <v>Ср</v>
      </c>
      <c r="AB5" s="41" t="str">
        <f>TEXT(WEEKDAY(DATE(Календарнийрік,10,25),1),"aaa")</f>
        <v>Чт</v>
      </c>
      <c r="AC5" s="41" t="str">
        <f>TEXT(WEEKDAY(DATE(Календарнийрік,10,26),1),"aaa")</f>
        <v>Пт</v>
      </c>
      <c r="AD5" s="41" t="str">
        <f>TEXT(WEEKDAY(DATE(Календарнийрік,10,27),1),"aaa")</f>
        <v>Сб</v>
      </c>
      <c r="AE5" s="41" t="str">
        <f>TEXT(WEEKDAY(DATE(Календарнийрік,10,28),1),"aaa")</f>
        <v>Нд</v>
      </c>
      <c r="AF5" s="41" t="str">
        <f>TEXT(WEEKDAY(DATE(Календарнийрік,10,29),1),"aaa")</f>
        <v>Пн</v>
      </c>
      <c r="AG5" s="41" t="str">
        <f>TEXT(WEEKDAY(DATE(Календарнийрік,10,30),1),"aaa")</f>
        <v>Вт</v>
      </c>
      <c r="AH5" s="41" t="str">
        <f>TEXT(WEEKDAY(DATE(Календарнийрік,10,31),1),"aaa")</f>
        <v>Ср</v>
      </c>
      <c r="AI5" s="128" t="s">
        <v>41</v>
      </c>
      <c r="AJ5" s="129"/>
      <c r="AK5" s="129"/>
      <c r="AL5" s="129"/>
      <c r="AM5" s="130"/>
    </row>
    <row r="6" spans="1:40" s="5" customFormat="1" ht="14.25" customHeight="1" x14ac:dyDescent="0.25">
      <c r="B6" s="44" t="s">
        <v>34</v>
      </c>
      <c r="C6" s="45" t="s">
        <v>36</v>
      </c>
      <c r="D6" s="3" t="s">
        <v>0</v>
      </c>
      <c r="E6" s="3" t="s">
        <v>1</v>
      </c>
      <c r="F6" s="3" t="s">
        <v>2</v>
      </c>
      <c r="G6" s="3" t="s">
        <v>3</v>
      </c>
      <c r="H6" s="3" t="s">
        <v>4</v>
      </c>
      <c r="I6" s="3" t="s">
        <v>5</v>
      </c>
      <c r="J6" s="3" t="s">
        <v>6</v>
      </c>
      <c r="K6" s="3" t="s">
        <v>7</v>
      </c>
      <c r="L6" s="3" t="s">
        <v>8</v>
      </c>
      <c r="M6" s="3" t="s">
        <v>9</v>
      </c>
      <c r="N6" s="3" t="s">
        <v>10</v>
      </c>
      <c r="O6" s="3" t="s">
        <v>11</v>
      </c>
      <c r="P6" s="3" t="s">
        <v>12</v>
      </c>
      <c r="Q6" s="3" t="s">
        <v>13</v>
      </c>
      <c r="R6" s="3" t="s">
        <v>14</v>
      </c>
      <c r="S6" s="3" t="s">
        <v>15</v>
      </c>
      <c r="T6" s="3" t="s">
        <v>16</v>
      </c>
      <c r="U6" s="3" t="s">
        <v>17</v>
      </c>
      <c r="V6" s="3" t="s">
        <v>18</v>
      </c>
      <c r="W6" s="3" t="s">
        <v>19</v>
      </c>
      <c r="X6" s="3" t="s">
        <v>20</v>
      </c>
      <c r="Y6" s="3" t="s">
        <v>21</v>
      </c>
      <c r="Z6" s="3" t="s">
        <v>22</v>
      </c>
      <c r="AA6" s="3" t="s">
        <v>23</v>
      </c>
      <c r="AB6" s="3" t="s">
        <v>24</v>
      </c>
      <c r="AC6" s="3" t="s">
        <v>25</v>
      </c>
      <c r="AD6" s="3" t="s">
        <v>26</v>
      </c>
      <c r="AE6" s="3" t="s">
        <v>27</v>
      </c>
      <c r="AF6" s="3" t="s">
        <v>28</v>
      </c>
      <c r="AG6" s="3" t="s">
        <v>29</v>
      </c>
      <c r="AH6" s="3" t="s">
        <v>30</v>
      </c>
      <c r="AI6" s="91" t="s">
        <v>37</v>
      </c>
      <c r="AJ6" s="68" t="s">
        <v>39</v>
      </c>
      <c r="AK6" s="69" t="s">
        <v>38</v>
      </c>
      <c r="AL6" s="70" t="s">
        <v>31</v>
      </c>
      <c r="AM6" s="49" t="s">
        <v>40</v>
      </c>
      <c r="AN6" s="4"/>
    </row>
    <row r="7" spans="1:40" s="5" customFormat="1" ht="16.5" customHeight="1" x14ac:dyDescent="0.25">
      <c r="B7" s="46"/>
      <c r="C7" s="47" t="str">
        <f>IFERROR(VLOOKUP(Відвідуваністьзажовтень[[#This Row],[Код студента]],Перелікстудентів[],18,FALSE),"")</f>
        <v/>
      </c>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2"/>
      <c r="AG7" s="20"/>
      <c r="AH7" s="20"/>
      <c r="AI7" s="6">
        <f>COUNTIF(Відвідуваністьзажовтень[[#This Row],[1]:[31]],Код1)</f>
        <v>0</v>
      </c>
      <c r="AJ7" s="48">
        <f>COUNTIF(Відвідуваністьзажовтень[[#This Row],[1]:[31]],Код2)</f>
        <v>0</v>
      </c>
      <c r="AK7" s="48">
        <f>COUNTIF(Відвідуваністьзажовтень[[#This Row],[1]:[31]],Код3)</f>
        <v>0</v>
      </c>
      <c r="AL7" s="48">
        <f>COUNTIF(Відвідуваністьзажовтень[[#This Row],[1]:[31]],Код4)</f>
        <v>0</v>
      </c>
      <c r="AM7" s="6">
        <f>SUM(Відвідуваністьзавересень[[#This Row],[ПП]:[П]])</f>
        <v>0</v>
      </c>
      <c r="AN7" s="4"/>
    </row>
    <row r="8" spans="1:40" s="5" customFormat="1" ht="16.5" customHeight="1" x14ac:dyDescent="0.25">
      <c r="B8" s="46"/>
      <c r="C8" s="47" t="str">
        <f>IFERROR(VLOOKUP(Відвідуваністьзажовтень[[#This Row],[Код студента]],Перелікстудентів[],18,FALSE),"")</f>
        <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2"/>
      <c r="AG8" s="20"/>
      <c r="AH8" s="20"/>
      <c r="AI8" s="6">
        <f>COUNTIF(Відвідуваністьзажовтень[[#This Row],[1]:[31]],Код1)</f>
        <v>0</v>
      </c>
      <c r="AJ8" s="48">
        <f>COUNTIF(Відвідуваністьзажовтень[[#This Row],[1]:[31]],Код2)</f>
        <v>0</v>
      </c>
      <c r="AK8" s="48">
        <f>COUNTIF(Відвідуваністьзажовтень[[#This Row],[1]:[31]],Код3)</f>
        <v>0</v>
      </c>
      <c r="AL8" s="48">
        <f>COUNTIF(Відвідуваністьзажовтень[[#This Row],[1]:[31]],Код4)</f>
        <v>0</v>
      </c>
      <c r="AM8" s="6">
        <f>SUM(Відвідуваністьзавересень[[#This Row],[ПП]:[П]])</f>
        <v>0</v>
      </c>
      <c r="AN8" s="4"/>
    </row>
    <row r="9" spans="1:40" s="8" customFormat="1" ht="16.5" customHeight="1" x14ac:dyDescent="0.25">
      <c r="B9" s="46"/>
      <c r="C9" s="47" t="str">
        <f>IFERROR(VLOOKUP(Відвідуваністьзажовтень[[#This Row],[Код студента]],Перелікстудентів[],18,FALSE),"")</f>
        <v/>
      </c>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2"/>
      <c r="AG9" s="20"/>
      <c r="AH9" s="20"/>
      <c r="AI9" s="6">
        <f>COUNTIF(Відвідуваністьзажовтень[[#This Row],[1]:[31]],Код1)</f>
        <v>0</v>
      </c>
      <c r="AJ9" s="48">
        <f>COUNTIF(Відвідуваністьзажовтень[[#This Row],[1]:[31]],Код2)</f>
        <v>0</v>
      </c>
      <c r="AK9" s="48">
        <f>COUNTIF(Відвідуваністьзажовтень[[#This Row],[1]:[31]],Код3)</f>
        <v>0</v>
      </c>
      <c r="AL9" s="48">
        <f>COUNTIF(Відвідуваністьзажовтень[[#This Row],[1]:[31]],Код4)</f>
        <v>0</v>
      </c>
      <c r="AM9" s="6">
        <f>SUM(Відвідуваністьзавересень[[#This Row],[ПП]:[П]])</f>
        <v>0</v>
      </c>
      <c r="AN9" s="7"/>
    </row>
    <row r="10" spans="1:40" ht="16.5" customHeight="1" x14ac:dyDescent="0.25">
      <c r="B10" s="46"/>
      <c r="C10" s="47" t="str">
        <f>IFERROR(VLOOKUP(Відвідуваністьзажовтень[[#This Row],[Код студента]],Перелікстудентів[],18,FALSE),"")</f>
        <v/>
      </c>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2"/>
      <c r="AG10" s="20"/>
      <c r="AH10" s="20"/>
      <c r="AI10" s="6">
        <f>COUNTIF(Відвідуваністьзажовтень[[#This Row],[1]:[31]],Код1)</f>
        <v>0</v>
      </c>
      <c r="AJ10" s="48">
        <f>COUNTIF(Відвідуваністьзажовтень[[#This Row],[1]:[31]],Код2)</f>
        <v>0</v>
      </c>
      <c r="AK10" s="48">
        <f>COUNTIF(Відвідуваністьзажовтень[[#This Row],[1]:[31]],Код3)</f>
        <v>0</v>
      </c>
      <c r="AL10" s="48">
        <f>COUNTIF(Відвідуваністьзажовтень[[#This Row],[1]:[31]],Код4)</f>
        <v>0</v>
      </c>
      <c r="AM10" s="6">
        <f>SUM(Відвідуваністьзавересень[[#This Row],[ПП]:[П]])</f>
        <v>0</v>
      </c>
      <c r="AN10" s="10"/>
    </row>
    <row r="11" spans="1:40" ht="16.5" customHeight="1" x14ac:dyDescent="0.25">
      <c r="B11" s="46"/>
      <c r="C11" s="47" t="str">
        <f>IFERROR(VLOOKUP(Відвідуваністьзажовтень[[#This Row],[Код студента]],Перелікстудентів[],18,FALSE),"")</f>
        <v/>
      </c>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2"/>
      <c r="AG11" s="20"/>
      <c r="AH11" s="20"/>
      <c r="AI11" s="6">
        <f>COUNTIF(Відвідуваністьзажовтень[[#This Row],[1]:[31]],Код1)</f>
        <v>0</v>
      </c>
      <c r="AJ11" s="48">
        <f>COUNTIF(Відвідуваністьзажовтень[[#This Row],[1]:[31]],Код2)</f>
        <v>0</v>
      </c>
      <c r="AK11" s="48">
        <f>COUNTIF(Відвідуваністьзажовтень[[#This Row],[1]:[31]],Код3)</f>
        <v>0</v>
      </c>
      <c r="AL11" s="48">
        <f>COUNTIF(Відвідуваністьзажовтень[[#This Row],[1]:[31]],Код4)</f>
        <v>0</v>
      </c>
      <c r="AM11" s="6">
        <f>SUM(Відвідуваністьзавересень[[#This Row],[ПП]:[П]])</f>
        <v>0</v>
      </c>
      <c r="AN11" s="10"/>
    </row>
    <row r="12" spans="1:40" ht="16.5" customHeight="1" x14ac:dyDescent="0.25">
      <c r="B12" s="113"/>
      <c r="C12" s="114" t="s">
        <v>118</v>
      </c>
      <c r="D12" s="115">
        <f>COUNTIF(Відвідуваністьзажовтень[1],"П")+COUNTIF(Відвідуваністьзажовтень[1],"ПП")</f>
        <v>0</v>
      </c>
      <c r="E12" s="115">
        <f>COUNTIF(Відвідуваністьзажовтень[2],"П")+COUNTIF(Відвідуваністьзажовтень[2],"ПП")</f>
        <v>0</v>
      </c>
      <c r="F12" s="115">
        <f>COUNTIF(Відвідуваністьзажовтень[3],"П")+COUNTIF(Відвідуваністьзажовтень[3],"ПП")</f>
        <v>0</v>
      </c>
      <c r="G12" s="115">
        <f>COUNTIF(Відвідуваністьзажовтень[4],"П")+COUNTIF(Відвідуваністьзажовтень[4],"ПП")</f>
        <v>0</v>
      </c>
      <c r="H12" s="115">
        <f>COUNTIF(Відвідуваністьзажовтень[5],"П")+COUNTIF(Відвідуваністьзажовтень[5],"ПП")</f>
        <v>0</v>
      </c>
      <c r="I12" s="115">
        <f>COUNTIF(Відвідуваністьзажовтень[6],"П")+COUNTIF(Відвідуваністьзажовтень[6],"ПП")</f>
        <v>0</v>
      </c>
      <c r="J12" s="115">
        <f>COUNTIF(Відвідуваністьзажовтень[7],"П")+COUNTIF(Відвідуваністьзажовтень[7],"ПП")</f>
        <v>0</v>
      </c>
      <c r="K12" s="115">
        <f>COUNTIF(Відвідуваністьзажовтень[8],"П")+COUNTIF(Відвідуваністьзажовтень[8],"ПП")</f>
        <v>0</v>
      </c>
      <c r="L12" s="115">
        <f>COUNTIF(Відвідуваністьзажовтень[9],"П")+COUNTIF(Відвідуваністьзажовтень[9],"ПП")</f>
        <v>0</v>
      </c>
      <c r="M12" s="115">
        <f>COUNTIF(Відвідуваністьзажовтень[10],"П")+COUNTIF(Відвідуваністьзажовтень[10],"ПП")</f>
        <v>0</v>
      </c>
      <c r="N12" s="115">
        <f>COUNTIF(Відвідуваністьзажовтень[11],"П")+COUNTIF(Відвідуваністьзажовтень[11],"ПП")</f>
        <v>0</v>
      </c>
      <c r="O12" s="115">
        <f>COUNTIF(Відвідуваністьзажовтень[12],"П")+COUNTIF(Відвідуваністьзажовтень[12],"ПП")</f>
        <v>0</v>
      </c>
      <c r="P12" s="115">
        <f>COUNTIF(Відвідуваністьзажовтень[13],"П")+COUNTIF(Відвідуваністьзажовтень[13],"ПП")</f>
        <v>0</v>
      </c>
      <c r="Q12" s="115">
        <f>COUNTIF(Відвідуваністьзажовтень[14],"П")+COUNTIF(Відвідуваністьзажовтень[14],"ПП")</f>
        <v>0</v>
      </c>
      <c r="R12" s="115">
        <f>COUNTIF(Відвідуваністьзажовтень[15],"П")+COUNTIF(Відвідуваністьзажовтень[15],"ПП")</f>
        <v>0</v>
      </c>
      <c r="S12" s="115">
        <f>COUNTIF(Відвідуваністьзажовтень[16],"П")+COUNTIF(Відвідуваністьзажовтень[16],"ПП")</f>
        <v>0</v>
      </c>
      <c r="T12" s="115">
        <f>COUNTIF(Відвідуваністьзажовтень[17],"П")+COUNTIF(Відвідуваністьзажовтень[17],"ПП")</f>
        <v>0</v>
      </c>
      <c r="U12" s="115">
        <f>COUNTIF(Відвідуваністьзажовтень[18],"П")+COUNTIF(Відвідуваністьзажовтень[18],"ПП")</f>
        <v>0</v>
      </c>
      <c r="V12" s="115">
        <f>COUNTIF(Відвідуваністьзажовтень[19],"П")+COUNTIF(Відвідуваністьзажовтень[19],"ПП")</f>
        <v>0</v>
      </c>
      <c r="W12" s="115">
        <f>COUNTIF(Відвідуваністьзажовтень[20],"П")+COUNTIF(Відвідуваністьзажовтень[20],"ПП")</f>
        <v>0</v>
      </c>
      <c r="X12" s="115">
        <f>COUNTIF(Відвідуваністьзажовтень[21],"П")+COUNTIF(Відвідуваністьзажовтень[21],"ПП")</f>
        <v>0</v>
      </c>
      <c r="Y12" s="115">
        <f>COUNTIF(Відвідуваністьзажовтень[22],"П")+COUNTIF(Відвідуваністьзажовтень[22],"ПП")</f>
        <v>0</v>
      </c>
      <c r="Z12" s="115">
        <f>COUNTIF(Відвідуваністьзажовтень[23],"П")+COUNTIF(Відвідуваністьзажовтень[23],"ПП")</f>
        <v>0</v>
      </c>
      <c r="AA12" s="115">
        <f>COUNTIF(Відвідуваністьзажовтень[24],"П")+COUNTIF(Відвідуваністьзажовтень[24],"ПП")</f>
        <v>0</v>
      </c>
      <c r="AB12" s="115">
        <f>COUNTIF(Відвідуваністьзажовтень[25],"П")+COUNTIF(Відвідуваністьзажовтень[25],"ПП")</f>
        <v>0</v>
      </c>
      <c r="AC12" s="115">
        <f>COUNTIF(Відвідуваністьзажовтень[26],"П")+COUNTIF(Відвідуваністьзажовтень[26],"ПП")</f>
        <v>0</v>
      </c>
      <c r="AD12" s="115">
        <f>COUNTIF(Відвідуваністьзажовтень[27],"П")+COUNTIF(Відвідуваністьзажовтень[27],"ПП")</f>
        <v>0</v>
      </c>
      <c r="AE12" s="115">
        <f>COUNTIF(Відвідуваністьзажовтень[28],"П")+COUNTIF(Відвідуваністьзажовтень[28],"ПП")</f>
        <v>0</v>
      </c>
      <c r="AF12" s="115">
        <f>COUNTIF(Відвідуваністьзажовтень[29],"П")+COUNTIF(Відвідуваністьзажовтень[29],"ПП")</f>
        <v>0</v>
      </c>
      <c r="AG12" s="115">
        <f>COUNTIF(Відвідуваністьзажовтень[30],"П")+COUNTIF(Відвідуваністьзажовтень[30],"ПП")</f>
        <v>0</v>
      </c>
      <c r="AH12" s="115">
        <f>COUNTIF(Відвідуваністьзажовтень[31],"П")+COUNTIF(Відвідуваністьзажовтень[31],"ПП")</f>
        <v>0</v>
      </c>
      <c r="AI12" s="115">
        <f>SUBTOTAL(109,Відвідуваністьзажовтень[З])</f>
        <v>0</v>
      </c>
      <c r="AJ12" s="115">
        <f>SUBTOTAL(109,Відвідуваністьзажовтень[ПП])</f>
        <v>0</v>
      </c>
      <c r="AK12" s="115">
        <f>SUBTOTAL(109,Відвідуваністьзажовтень[П])</f>
        <v>0</v>
      </c>
      <c r="AL12" s="115">
        <f>SUBTOTAL(109,Відвідуваністьзажовтень[Н])</f>
        <v>0</v>
      </c>
      <c r="AM12" s="115">
        <f>SUBTOTAL(109,Відвідуваністьзажовтень[Відсутність, дн.])</f>
        <v>0</v>
      </c>
    </row>
    <row r="14" spans="1:40" ht="16.5" customHeight="1" x14ac:dyDescent="0.25"/>
    <row r="15" spans="1:40" ht="16.5" customHeight="1" x14ac:dyDescent="0.25"/>
    <row r="16" spans="1:40"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6">
      <dataBar>
        <cfvo type="min"/>
        <cfvo type="num" val="31"/>
        <color theme="4"/>
      </dataBar>
      <extLst>
        <ext xmlns:x14="http://schemas.microsoft.com/office/spreadsheetml/2009/9/main" uri="{B025F937-C7B1-47D3-B67F-A62EFF666E3E}">
          <x14:id>{6EA17848-2AAC-40C7-98F3-52AFCDA9173D}</x14:id>
        </ext>
      </extLst>
    </cfRule>
  </conditionalFormatting>
  <conditionalFormatting sqref="AG7:AI11">
    <cfRule type="expression" dxfId="837" priority="7" stopIfTrue="1">
      <formula>AG7=Код2</formula>
    </cfRule>
  </conditionalFormatting>
  <conditionalFormatting sqref="AG7:AH11">
    <cfRule type="expression" dxfId="836" priority="8" stopIfTrue="1">
      <formula>AG7=Код5</formula>
    </cfRule>
    <cfRule type="expression" dxfId="835" priority="9" stopIfTrue="1">
      <formula>AG7=Код4</formula>
    </cfRule>
    <cfRule type="expression" dxfId="834" priority="10" stopIfTrue="1">
      <formula>AG7=Код3</formula>
    </cfRule>
    <cfRule type="expression" dxfId="833" priority="11" stopIfTrue="1">
      <formula>AG7=Код1</formula>
    </cfRule>
  </conditionalFormatting>
  <conditionalFormatting sqref="D7:AF11">
    <cfRule type="expression" dxfId="832" priority="1" stopIfTrue="1">
      <formula>D7=Код2</formula>
    </cfRule>
  </conditionalFormatting>
  <conditionalFormatting sqref="D7:AF11">
    <cfRule type="expression" dxfId="831" priority="2" stopIfTrue="1">
      <formula>D7=Код5</formula>
    </cfRule>
    <cfRule type="expression" dxfId="830" priority="3" stopIfTrue="1">
      <formula>D7=Код4</formula>
    </cfRule>
    <cfRule type="expression" dxfId="829" priority="4" stopIfTrue="1">
      <formula>D7=Код3</formula>
    </cfRule>
    <cfRule type="expression" dxfId="828" priority="5" stopIfTrue="1">
      <formula>D7=Код1</formula>
    </cfRule>
  </conditionalFormatting>
  <dataValidations count="1">
    <dataValidation type="list" errorStyle="warning" allowBlank="1" showInputMessage="1" showErrorMessage="1" errorTitle="Отакої!" error="У списку студентів немає введеного коду. Ви можете натиснути кнопку ''Так'' і залишити введений код, але у звіті про відвідуваність він буде недоступний." sqref="B7:B11">
      <formula1>Ідентифікаторстудента</formula1>
    </dataValidation>
  </dataValidations>
  <printOptions horizontalCentered="1"/>
  <pageMargins left="0.5" right="0.5" top="0.75" bottom="0.75" header="0.3" footer="0.3"/>
  <pageSetup paperSize="9" scale="59"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EA17848-2AAC-40C7-98F3-52AFCDA9173D}">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N346"/>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3.42578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4.7109375" style="11" bestFit="1" customWidth="1"/>
    <col min="40" max="16384" width="9.140625" style="11"/>
  </cols>
  <sheetData>
    <row r="1" spans="1:40" s="1" customFormat="1" ht="42" customHeight="1" x14ac:dyDescent="0.25">
      <c r="A1" s="36" t="s">
        <v>89</v>
      </c>
      <c r="B1" s="37"/>
      <c r="C1" s="37"/>
      <c r="D1" s="38"/>
      <c r="E1" s="38"/>
      <c r="F1" s="38"/>
      <c r="G1" s="38"/>
      <c r="H1" s="38"/>
      <c r="I1" s="38"/>
      <c r="J1" s="38"/>
      <c r="K1" s="38"/>
      <c r="L1" s="38"/>
      <c r="M1" s="38"/>
      <c r="N1" s="38"/>
      <c r="O1" s="38"/>
      <c r="P1" s="38"/>
      <c r="Q1" s="38"/>
      <c r="R1" s="38"/>
      <c r="S1" s="38"/>
      <c r="T1" s="38"/>
      <c r="U1" s="38"/>
      <c r="V1" s="38"/>
      <c r="W1" s="38"/>
      <c r="X1" s="38"/>
      <c r="Y1" s="38"/>
      <c r="Z1" s="38"/>
      <c r="AA1" s="38"/>
      <c r="AB1" s="38"/>
      <c r="AC1" s="37"/>
      <c r="AD1" s="37"/>
      <c r="AE1" s="37"/>
      <c r="AF1" s="37"/>
      <c r="AG1" s="39"/>
      <c r="AH1" s="37"/>
      <c r="AI1" s="37"/>
      <c r="AJ1" s="40"/>
      <c r="AK1" s="37"/>
      <c r="AL1" s="56" t="s">
        <v>72</v>
      </c>
      <c r="AM1" s="57">
        <f>Календарнийрік</f>
        <v>2012</v>
      </c>
    </row>
    <row r="2" spans="1:40" customFormat="1" ht="13.5" x14ac:dyDescent="0.25"/>
    <row r="3" spans="1:40" s="28" customFormat="1" ht="12.75" customHeight="1" x14ac:dyDescent="0.25">
      <c r="C3" s="43" t="str">
        <f>Текстпоясненьдокольорів</f>
        <v>ПОЯСНЕННЯ ДО КОЛЬОРІВ</v>
      </c>
      <c r="D3" s="50" t="str">
        <f>Код1</f>
        <v>З</v>
      </c>
      <c r="E3" s="67" t="str">
        <f>Код1текст</f>
        <v>Запізнення</v>
      </c>
      <c r="F3" s="58"/>
      <c r="H3" s="51" t="str">
        <f>Код2</f>
        <v>ПП</v>
      </c>
      <c r="I3" s="55" t="str">
        <f>Код2текст</f>
        <v>Поважна причина</v>
      </c>
      <c r="M3" s="52" t="str">
        <f>Код3</f>
        <v>П</v>
      </c>
      <c r="N3" s="55" t="str">
        <f>Код3текст</f>
        <v>Прогул</v>
      </c>
      <c r="Q3" s="53" t="str">
        <f>Код4</f>
        <v>Н</v>
      </c>
      <c r="R3" s="55" t="str">
        <f>Код4текст</f>
        <v>На місці</v>
      </c>
      <c r="U3" s="54" t="str">
        <f>Код5</f>
        <v>В</v>
      </c>
      <c r="V3" s="55" t="str">
        <f>Код5текст</f>
        <v>Вихідний</v>
      </c>
      <c r="W3"/>
      <c r="X3"/>
      <c r="Y3"/>
      <c r="AD3" s="27"/>
      <c r="AE3" s="27"/>
      <c r="AH3" s="29"/>
      <c r="AI3" s="30"/>
      <c r="AK3" s="31"/>
    </row>
    <row r="4" spans="1:40" customFormat="1" ht="16.5" customHeight="1" x14ac:dyDescent="0.25"/>
    <row r="5" spans="1:40" s="2" customFormat="1" ht="18" customHeight="1" x14ac:dyDescent="0.3">
      <c r="B5" s="60">
        <f>DATE(Календарнийрік,11,1)</f>
        <v>41214</v>
      </c>
      <c r="C5" s="59"/>
      <c r="D5" s="41" t="str">
        <f>TEXT(WEEKDAY(DATE(Календарнийрік,11,1),1),"aaa")</f>
        <v>Чт</v>
      </c>
      <c r="E5" s="41" t="str">
        <f>TEXT(WEEKDAY(DATE(Календарнийрік,11,2),1),"aaa")</f>
        <v>Пт</v>
      </c>
      <c r="F5" s="41" t="str">
        <f>TEXT(WEEKDAY(DATE(Календарнийрік,11,3),1),"aaa")</f>
        <v>Сб</v>
      </c>
      <c r="G5" s="41" t="str">
        <f>TEXT(WEEKDAY(DATE(Календарнийрік,11,4),1),"aaa")</f>
        <v>Нд</v>
      </c>
      <c r="H5" s="41" t="str">
        <f>TEXT(WEEKDAY(DATE(Календарнийрік,11,5),1),"aaa")</f>
        <v>Пн</v>
      </c>
      <c r="I5" s="41" t="str">
        <f>TEXT(WEEKDAY(DATE(Календарнийрік,11,6),1),"aaa")</f>
        <v>Вт</v>
      </c>
      <c r="J5" s="41" t="str">
        <f>TEXT(WEEKDAY(DATE(Календарнийрік,11,7),1),"aaa")</f>
        <v>Ср</v>
      </c>
      <c r="K5" s="41" t="str">
        <f>TEXT(WEEKDAY(DATE(Календарнийрік,11,8),1),"aaa")</f>
        <v>Чт</v>
      </c>
      <c r="L5" s="41" t="str">
        <f>TEXT(WEEKDAY(DATE(Календарнийрік,11,9),1),"aaa")</f>
        <v>Пт</v>
      </c>
      <c r="M5" s="41" t="str">
        <f>TEXT(WEEKDAY(DATE(Календарнийрік,11,10),1),"aaa")</f>
        <v>Сб</v>
      </c>
      <c r="N5" s="41" t="str">
        <f>TEXT(WEEKDAY(DATE(Календарнийрік,11,11),1),"aaa")</f>
        <v>Нд</v>
      </c>
      <c r="O5" s="41" t="str">
        <f>TEXT(WEEKDAY(DATE(Календарнийрік,11,12),1),"aaa")</f>
        <v>Пн</v>
      </c>
      <c r="P5" s="41" t="str">
        <f>TEXT(WEEKDAY(DATE(Календарнийрік,11,13),1),"aaa")</f>
        <v>Вт</v>
      </c>
      <c r="Q5" s="41" t="str">
        <f>TEXT(WEEKDAY(DATE(Календарнийрік,11,14),1),"aaa")</f>
        <v>Ср</v>
      </c>
      <c r="R5" s="41" t="str">
        <f>TEXT(WEEKDAY(DATE(Календарнийрік,11,15),1),"aaa")</f>
        <v>Чт</v>
      </c>
      <c r="S5" s="41" t="str">
        <f>TEXT(WEEKDAY(DATE(Календарнийрік,11,16),1),"aaa")</f>
        <v>Пт</v>
      </c>
      <c r="T5" s="41" t="str">
        <f>TEXT(WEEKDAY(DATE(Календарнийрік,11,17),1),"aaa")</f>
        <v>Сб</v>
      </c>
      <c r="U5" s="41" t="str">
        <f>TEXT(WEEKDAY(DATE(Календарнийрік,11,18),1),"aaa")</f>
        <v>Нд</v>
      </c>
      <c r="V5" s="41" t="str">
        <f>TEXT(WEEKDAY(DATE(Календарнийрік,11,19),1),"aaa")</f>
        <v>Пн</v>
      </c>
      <c r="W5" s="41" t="str">
        <f>TEXT(WEEKDAY(DATE(Календарнийрік,11,20),1),"aaa")</f>
        <v>Вт</v>
      </c>
      <c r="X5" s="41" t="str">
        <f>TEXT(WEEKDAY(DATE(Календарнийрік,11,21),1),"aaa")</f>
        <v>Ср</v>
      </c>
      <c r="Y5" s="41" t="str">
        <f>TEXT(WEEKDAY(DATE(Календарнийрік,11,22),1),"aaa")</f>
        <v>Чт</v>
      </c>
      <c r="Z5" s="41" t="str">
        <f>TEXT(WEEKDAY(DATE(Календарнийрік,11,23),1),"aaa")</f>
        <v>Пт</v>
      </c>
      <c r="AA5" s="41" t="str">
        <f>TEXT(WEEKDAY(DATE(Календарнийрік,11,24),1),"aaa")</f>
        <v>Сб</v>
      </c>
      <c r="AB5" s="41" t="str">
        <f>TEXT(WEEKDAY(DATE(Календарнийрік,11,25),1),"aaa")</f>
        <v>Нд</v>
      </c>
      <c r="AC5" s="41" t="str">
        <f>TEXT(WEEKDAY(DATE(Календарнийрік,11,26),1),"aaa")</f>
        <v>Пн</v>
      </c>
      <c r="AD5" s="41" t="str">
        <f>TEXT(WEEKDAY(DATE(Календарнийрік,11,27),1),"aaa")</f>
        <v>Вт</v>
      </c>
      <c r="AE5" s="41" t="str">
        <f>TEXT(WEEKDAY(DATE(Календарнийрік,11,28),1),"aaa")</f>
        <v>Ср</v>
      </c>
      <c r="AF5" s="41" t="str">
        <f>TEXT(WEEKDAY(DATE(Календарнийрік,11,29),1),"aaa")</f>
        <v>Чт</v>
      </c>
      <c r="AG5" s="41" t="str">
        <f>TEXT(WEEKDAY(DATE(Календарнийрік,11,30),1),"aaa")</f>
        <v>Пт</v>
      </c>
      <c r="AH5" s="41"/>
      <c r="AI5" s="128" t="s">
        <v>41</v>
      </c>
      <c r="AJ5" s="129"/>
      <c r="AK5" s="129"/>
      <c r="AL5" s="129"/>
      <c r="AM5" s="130"/>
    </row>
    <row r="6" spans="1:40" s="5" customFormat="1" ht="14.25" customHeight="1" x14ac:dyDescent="0.25">
      <c r="B6" s="44" t="s">
        <v>34</v>
      </c>
      <c r="C6" s="45" t="s">
        <v>36</v>
      </c>
      <c r="D6" s="3" t="s">
        <v>0</v>
      </c>
      <c r="E6" s="3" t="s">
        <v>1</v>
      </c>
      <c r="F6" s="3" t="s">
        <v>2</v>
      </c>
      <c r="G6" s="3" t="s">
        <v>3</v>
      </c>
      <c r="H6" s="3" t="s">
        <v>4</v>
      </c>
      <c r="I6" s="3" t="s">
        <v>5</v>
      </c>
      <c r="J6" s="3" t="s">
        <v>6</v>
      </c>
      <c r="K6" s="3" t="s">
        <v>7</v>
      </c>
      <c r="L6" s="3" t="s">
        <v>8</v>
      </c>
      <c r="M6" s="3" t="s">
        <v>9</v>
      </c>
      <c r="N6" s="3" t="s">
        <v>10</v>
      </c>
      <c r="O6" s="3" t="s">
        <v>11</v>
      </c>
      <c r="P6" s="3" t="s">
        <v>12</v>
      </c>
      <c r="Q6" s="3" t="s">
        <v>13</v>
      </c>
      <c r="R6" s="3" t="s">
        <v>14</v>
      </c>
      <c r="S6" s="3" t="s">
        <v>15</v>
      </c>
      <c r="T6" s="3" t="s">
        <v>16</v>
      </c>
      <c r="U6" s="3" t="s">
        <v>17</v>
      </c>
      <c r="V6" s="3" t="s">
        <v>18</v>
      </c>
      <c r="W6" s="3" t="s">
        <v>19</v>
      </c>
      <c r="X6" s="3" t="s">
        <v>20</v>
      </c>
      <c r="Y6" s="3" t="s">
        <v>21</v>
      </c>
      <c r="Z6" s="3" t="s">
        <v>22</v>
      </c>
      <c r="AA6" s="3" t="s">
        <v>23</v>
      </c>
      <c r="AB6" s="3" t="s">
        <v>24</v>
      </c>
      <c r="AC6" s="3" t="s">
        <v>25</v>
      </c>
      <c r="AD6" s="3" t="s">
        <v>26</v>
      </c>
      <c r="AE6" s="3" t="s">
        <v>27</v>
      </c>
      <c r="AF6" s="3" t="s">
        <v>28</v>
      </c>
      <c r="AG6" s="3" t="s">
        <v>29</v>
      </c>
      <c r="AH6" s="3" t="s">
        <v>117</v>
      </c>
      <c r="AI6" s="91" t="s">
        <v>37</v>
      </c>
      <c r="AJ6" s="68" t="s">
        <v>39</v>
      </c>
      <c r="AK6" s="69" t="s">
        <v>38</v>
      </c>
      <c r="AL6" s="70" t="s">
        <v>31</v>
      </c>
      <c r="AM6" s="49" t="s">
        <v>40</v>
      </c>
      <c r="AN6" s="4"/>
    </row>
    <row r="7" spans="1:40" s="5" customFormat="1" ht="16.5" customHeight="1" x14ac:dyDescent="0.25">
      <c r="B7" s="46"/>
      <c r="C7" s="47" t="str">
        <f>IFERROR(VLOOKUP(Відвідуваністьзалистопад[[#This Row],[Код студента]],Перелікстудентів[],18,FALSE),"")</f>
        <v/>
      </c>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2"/>
      <c r="AG7" s="20"/>
      <c r="AH7" s="20"/>
      <c r="AI7" s="6">
        <f>COUNTIF(Відвідуваністьзалистопад[[#This Row],[1]:[ ]],Код1)</f>
        <v>0</v>
      </c>
      <c r="AJ7" s="48">
        <f>COUNTIF(Відвідуваністьзалистопад[[#This Row],[1]:[ ]],Код2)</f>
        <v>0</v>
      </c>
      <c r="AK7" s="48">
        <f>COUNTIF(Відвідуваністьзалистопад[[#This Row],[1]:[ ]],Код3)</f>
        <v>0</v>
      </c>
      <c r="AL7" s="48">
        <f>COUNTIF(Відвідуваністьзалистопад[[#This Row],[1]:[ ]],Код4)</f>
        <v>0</v>
      </c>
      <c r="AM7" s="6">
        <f>SUM(Відвідуваністьзавересень[[#This Row],[ПП]:[П]])</f>
        <v>0</v>
      </c>
      <c r="AN7" s="4"/>
    </row>
    <row r="8" spans="1:40" s="5" customFormat="1" ht="16.5" customHeight="1" x14ac:dyDescent="0.25">
      <c r="B8" s="46"/>
      <c r="C8" s="47" t="str">
        <f>IFERROR(VLOOKUP(Відвідуваністьзалистопад[[#This Row],[Код студента]],Перелікстудентів[],18,FALSE),"")</f>
        <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2"/>
      <c r="AG8" s="20"/>
      <c r="AH8" s="20"/>
      <c r="AI8" s="6">
        <f>COUNTIF(Відвідуваністьзалистопад[[#This Row],[1]:[ ]],Код1)</f>
        <v>0</v>
      </c>
      <c r="AJ8" s="48">
        <f>COUNTIF(Відвідуваністьзалистопад[[#This Row],[1]:[ ]],Код2)</f>
        <v>0</v>
      </c>
      <c r="AK8" s="48">
        <f>COUNTIF(Відвідуваністьзалистопад[[#This Row],[1]:[ ]],Код3)</f>
        <v>0</v>
      </c>
      <c r="AL8" s="48">
        <f>COUNTIF(Відвідуваністьзалистопад[[#This Row],[1]:[ ]],Код4)</f>
        <v>0</v>
      </c>
      <c r="AM8" s="6">
        <f>SUM(Відвідуваністьзавересень[[#This Row],[ПП]:[П]])</f>
        <v>0</v>
      </c>
      <c r="AN8" s="4"/>
    </row>
    <row r="9" spans="1:40" s="8" customFormat="1" ht="16.5" customHeight="1" x14ac:dyDescent="0.25">
      <c r="B9" s="46"/>
      <c r="C9" s="47" t="str">
        <f>IFERROR(VLOOKUP(Відвідуваністьзалистопад[[#This Row],[Код студента]],Перелікстудентів[],18,FALSE),"")</f>
        <v/>
      </c>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2"/>
      <c r="AG9" s="20"/>
      <c r="AH9" s="20"/>
      <c r="AI9" s="6">
        <f>COUNTIF(Відвідуваністьзалистопад[[#This Row],[1]:[ ]],Код1)</f>
        <v>0</v>
      </c>
      <c r="AJ9" s="48">
        <f>COUNTIF(Відвідуваністьзалистопад[[#This Row],[1]:[ ]],Код2)</f>
        <v>0</v>
      </c>
      <c r="AK9" s="48">
        <f>COUNTIF(Відвідуваністьзалистопад[[#This Row],[1]:[ ]],Код3)</f>
        <v>0</v>
      </c>
      <c r="AL9" s="48">
        <f>COUNTIF(Відвідуваністьзалистопад[[#This Row],[1]:[ ]],Код4)</f>
        <v>0</v>
      </c>
      <c r="AM9" s="6">
        <f>SUM(Відвідуваністьзавересень[[#This Row],[ПП]:[П]])</f>
        <v>0</v>
      </c>
      <c r="AN9" s="7"/>
    </row>
    <row r="10" spans="1:40" ht="16.5" customHeight="1" x14ac:dyDescent="0.25">
      <c r="B10" s="46"/>
      <c r="C10" s="47" t="str">
        <f>IFERROR(VLOOKUP(Відвідуваністьзалистопад[[#This Row],[Код студента]],Перелікстудентів[],18,FALSE),"")</f>
        <v/>
      </c>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2"/>
      <c r="AG10" s="20"/>
      <c r="AH10" s="20"/>
      <c r="AI10" s="6">
        <f>COUNTIF(Відвідуваністьзалистопад[[#This Row],[1]:[ ]],Код1)</f>
        <v>0</v>
      </c>
      <c r="AJ10" s="48">
        <f>COUNTIF(Відвідуваністьзалистопад[[#This Row],[1]:[ ]],Код2)</f>
        <v>0</v>
      </c>
      <c r="AK10" s="48">
        <f>COUNTIF(Відвідуваністьзалистопад[[#This Row],[1]:[ ]],Код3)</f>
        <v>0</v>
      </c>
      <c r="AL10" s="48">
        <f>COUNTIF(Відвідуваністьзалистопад[[#This Row],[1]:[ ]],Код4)</f>
        <v>0</v>
      </c>
      <c r="AM10" s="6">
        <f>SUM(Відвідуваністьзавересень[[#This Row],[ПП]:[П]])</f>
        <v>0</v>
      </c>
      <c r="AN10" s="10"/>
    </row>
    <row r="11" spans="1:40" ht="16.5" customHeight="1" x14ac:dyDescent="0.25">
      <c r="B11" s="46"/>
      <c r="C11" s="47" t="str">
        <f>IFERROR(VLOOKUP(Відвідуваністьзалистопад[[#This Row],[Код студента]],Перелікстудентів[],18,FALSE),"")</f>
        <v/>
      </c>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2"/>
      <c r="AG11" s="20"/>
      <c r="AH11" s="20"/>
      <c r="AI11" s="6">
        <f>COUNTIF(Відвідуваністьзалистопад[[#This Row],[1]:[ ]],Код1)</f>
        <v>0</v>
      </c>
      <c r="AJ11" s="48">
        <f>COUNTIF(Відвідуваністьзалистопад[[#This Row],[1]:[ ]],Код2)</f>
        <v>0</v>
      </c>
      <c r="AK11" s="48">
        <f>COUNTIF(Відвідуваністьзалистопад[[#This Row],[1]:[ ]],Код3)</f>
        <v>0</v>
      </c>
      <c r="AL11" s="48">
        <f>COUNTIF(Відвідуваністьзалистопад[[#This Row],[1]:[ ]],Код4)</f>
        <v>0</v>
      </c>
      <c r="AM11" s="6">
        <f>SUM(Відвідуваністьзавересень[[#This Row],[ПП]:[П]])</f>
        <v>0</v>
      </c>
      <c r="AN11" s="10"/>
    </row>
    <row r="12" spans="1:40" ht="16.5" customHeight="1" x14ac:dyDescent="0.25">
      <c r="B12" s="113"/>
      <c r="C12" s="114" t="s">
        <v>118</v>
      </c>
      <c r="D12" s="115">
        <f>COUNTIF(Відвідуваністьзалистопад[1],"П")+COUNTIF(Відвідуваністьзалистопад[1],"ПП")</f>
        <v>0</v>
      </c>
      <c r="E12" s="115">
        <f>COUNTIF(Відвідуваністьзалистопад[2],"П")+COUNTIF(Відвідуваністьзалистопад[2],"ПП")</f>
        <v>0</v>
      </c>
      <c r="F12" s="115">
        <f>COUNTIF(Відвідуваністьзалистопад[3],"П")+COUNTIF(Відвідуваністьзалистопад[3],"ПП")</f>
        <v>0</v>
      </c>
      <c r="G12" s="115">
        <f>COUNTIF(Відвідуваністьзалистопад[4],"П")+COUNTIF(Відвідуваністьзалистопад[4],"ПП")</f>
        <v>0</v>
      </c>
      <c r="H12" s="115">
        <f>COUNTIF(Відвідуваністьзалистопад[5],"П")+COUNTIF(Відвідуваністьзалистопад[5],"ПП")</f>
        <v>0</v>
      </c>
      <c r="I12" s="115">
        <f>COUNTIF(Відвідуваністьзалистопад[6],"П")+COUNTIF(Відвідуваністьзалистопад[6],"ПП")</f>
        <v>0</v>
      </c>
      <c r="J12" s="115">
        <f>COUNTIF(Відвідуваністьзалистопад[7],"П")+COUNTIF(Відвідуваністьзалистопад[7],"ПП")</f>
        <v>0</v>
      </c>
      <c r="K12" s="115">
        <f>COUNTIF(Відвідуваністьзалистопад[8],"П")+COUNTIF(Відвідуваністьзалистопад[8],"ПП")</f>
        <v>0</v>
      </c>
      <c r="L12" s="115">
        <f>COUNTIF(Відвідуваністьзалистопад[9],"П")+COUNTIF(Відвідуваністьзалистопад[9],"ПП")</f>
        <v>0</v>
      </c>
      <c r="M12" s="115">
        <f>COUNTIF(Відвідуваністьзалистопад[10],"П")+COUNTIF(Відвідуваністьзалистопад[10],"ПП")</f>
        <v>0</v>
      </c>
      <c r="N12" s="115">
        <f>COUNTIF(Відвідуваністьзалистопад[11],"П")+COUNTIF(Відвідуваністьзалистопад[11],"ПП")</f>
        <v>0</v>
      </c>
      <c r="O12" s="115">
        <f>COUNTIF(Відвідуваністьзалистопад[12],"П")+COUNTIF(Відвідуваністьзалистопад[12],"ПП")</f>
        <v>0</v>
      </c>
      <c r="P12" s="115">
        <f>COUNTIF(Відвідуваністьзалистопад[13],"П")+COUNTIF(Відвідуваністьзалистопад[13],"ПП")</f>
        <v>0</v>
      </c>
      <c r="Q12" s="115">
        <f>COUNTIF(Відвідуваністьзалистопад[14],"П")+COUNTIF(Відвідуваністьзалистопад[14],"ПП")</f>
        <v>0</v>
      </c>
      <c r="R12" s="115">
        <f>COUNTIF(Відвідуваністьзалистопад[15],"П")+COUNTIF(Відвідуваністьзалистопад[15],"ПП")</f>
        <v>0</v>
      </c>
      <c r="S12" s="115">
        <f>COUNTIF(Відвідуваністьзалистопад[16],"П")+COUNTIF(Відвідуваністьзалистопад[16],"ПП")</f>
        <v>0</v>
      </c>
      <c r="T12" s="115">
        <f>COUNTIF(Відвідуваністьзалистопад[17],"П")+COUNTIF(Відвідуваністьзалистопад[17],"ПП")</f>
        <v>0</v>
      </c>
      <c r="U12" s="115">
        <f>COUNTIF(Відвідуваністьзалистопад[18],"П")+COUNTIF(Відвідуваністьзалистопад[18],"ПП")</f>
        <v>0</v>
      </c>
      <c r="V12" s="115">
        <f>COUNTIF(Відвідуваністьзалистопад[19],"П")+COUNTIF(Відвідуваністьзалистопад[19],"ПП")</f>
        <v>0</v>
      </c>
      <c r="W12" s="115">
        <f>COUNTIF(Відвідуваністьзалистопад[20],"П")+COUNTIF(Відвідуваністьзалистопад[20],"ПП")</f>
        <v>0</v>
      </c>
      <c r="X12" s="115">
        <f>COUNTIF(Відвідуваністьзалистопад[21],"П")+COUNTIF(Відвідуваністьзалистопад[21],"ПП")</f>
        <v>0</v>
      </c>
      <c r="Y12" s="115">
        <f>COUNTIF(Відвідуваністьзалистопад[22],"П")+COUNTIF(Відвідуваністьзалистопад[22],"ПП")</f>
        <v>0</v>
      </c>
      <c r="Z12" s="115">
        <f>COUNTIF(Відвідуваністьзалистопад[23],"П")+COUNTIF(Відвідуваністьзалистопад[23],"ПП")</f>
        <v>0</v>
      </c>
      <c r="AA12" s="115">
        <f>COUNTIF(Відвідуваністьзалистопад[24],"П")+COUNTIF(Відвідуваністьзалистопад[24],"ПП")</f>
        <v>0</v>
      </c>
      <c r="AB12" s="115">
        <f>COUNTIF(Відвідуваністьзалистопад[25],"П")+COUNTIF(Відвідуваністьзалистопад[25],"ПП")</f>
        <v>0</v>
      </c>
      <c r="AC12" s="115">
        <f>COUNTIF(Відвідуваністьзалистопад[26],"П")+COUNTIF(Відвідуваністьзалистопад[26],"ПП")</f>
        <v>0</v>
      </c>
      <c r="AD12" s="115">
        <f>COUNTIF(Відвідуваністьзалистопад[27],"П")+COUNTIF(Відвідуваністьзалистопад[27],"ПП")</f>
        <v>0</v>
      </c>
      <c r="AE12" s="115">
        <f>COUNTIF(Відвідуваністьзалистопад[28],"П")+COUNTIF(Відвідуваністьзалистопад[28],"ПП")</f>
        <v>0</v>
      </c>
      <c r="AF12" s="115">
        <f>COUNTIF(Відвідуваністьзалистопад[29],"П")+COUNTIF(Відвідуваністьзалистопад[29],"ПП")</f>
        <v>0</v>
      </c>
      <c r="AG12" s="115">
        <f>COUNTIF(Відвідуваністьзалистопад[30],"П")+COUNTIF(Відвідуваністьзалистопад[30],"ПП")</f>
        <v>0</v>
      </c>
      <c r="AH12" s="115">
        <f>COUNTIF(Відвідуваністьзалистопад[[ ]],"П")+COUNTIF(Відвідуваністьзалистопад[[ ]],"ПП")</f>
        <v>0</v>
      </c>
      <c r="AI12" s="115">
        <f>SUBTOTAL(109,Відвідуваністьзалистопад[З])</f>
        <v>0</v>
      </c>
      <c r="AJ12" s="115">
        <f>SUBTOTAL(109,Відвідуваністьзалистопад[ПП])</f>
        <v>0</v>
      </c>
      <c r="AK12" s="115">
        <f>SUBTOTAL(109,Відвідуваністьзалистопад[П])</f>
        <v>0</v>
      </c>
      <c r="AL12" s="115">
        <f>SUBTOTAL(109,Відвідуваністьзалистопад[Н])</f>
        <v>0</v>
      </c>
      <c r="AM12" s="115">
        <f>SUBTOTAL(109,Відвідуваністьзалистопад[Відсутність, дн.])</f>
        <v>0</v>
      </c>
    </row>
    <row r="14" spans="1:40" ht="16.5" customHeight="1" x14ac:dyDescent="0.25"/>
    <row r="15" spans="1:40" ht="16.5" customHeight="1" x14ac:dyDescent="0.25"/>
    <row r="16" spans="1:40"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6">
      <dataBar>
        <cfvo type="min"/>
        <cfvo type="num" val="31"/>
        <color theme="4"/>
      </dataBar>
      <extLst>
        <ext xmlns:x14="http://schemas.microsoft.com/office/spreadsheetml/2009/9/main" uri="{B025F937-C7B1-47D3-B67F-A62EFF666E3E}">
          <x14:id>{4EF7D5CF-EA6D-4C42-92A1-96F3633946CC}</x14:id>
        </ext>
      </extLst>
    </cfRule>
  </conditionalFormatting>
  <conditionalFormatting sqref="AG7:AI11">
    <cfRule type="expression" dxfId="754" priority="7" stopIfTrue="1">
      <formula>AG7=Код2</formula>
    </cfRule>
  </conditionalFormatting>
  <conditionalFormatting sqref="AG7:AH11">
    <cfRule type="expression" dxfId="753" priority="8" stopIfTrue="1">
      <formula>AG7=Код5</formula>
    </cfRule>
    <cfRule type="expression" dxfId="752" priority="9" stopIfTrue="1">
      <formula>AG7=Код4</formula>
    </cfRule>
    <cfRule type="expression" dxfId="751" priority="10" stopIfTrue="1">
      <formula>AG7=Код3</formula>
    </cfRule>
    <cfRule type="expression" dxfId="750" priority="11" stopIfTrue="1">
      <formula>AG7=Код1</formula>
    </cfRule>
  </conditionalFormatting>
  <conditionalFormatting sqref="D7:AF11">
    <cfRule type="expression" dxfId="749" priority="1" stopIfTrue="1">
      <formula>D7=Код2</formula>
    </cfRule>
  </conditionalFormatting>
  <conditionalFormatting sqref="D7:AF11">
    <cfRule type="expression" dxfId="748" priority="2" stopIfTrue="1">
      <formula>D7=Код5</formula>
    </cfRule>
    <cfRule type="expression" dxfId="747" priority="3" stopIfTrue="1">
      <formula>D7=Код4</formula>
    </cfRule>
    <cfRule type="expression" dxfId="746" priority="4" stopIfTrue="1">
      <formula>D7=Код3</formula>
    </cfRule>
    <cfRule type="expression" dxfId="745" priority="5" stopIfTrue="1">
      <formula>D7=Код1</formula>
    </cfRule>
  </conditionalFormatting>
  <dataValidations count="1">
    <dataValidation type="list" errorStyle="warning" allowBlank="1" showInputMessage="1" showErrorMessage="1" errorTitle="Отакої!" error="У списку студентів немає введеного коду. Ви можете натиснути кнопку ''Так'' і залишити введений код, але у звіті про відвідуваність він буде недоступний." sqref="B7:B11">
      <formula1>Ідентифікаторстудента</formula1>
    </dataValidation>
  </dataValidations>
  <printOptions horizontalCentered="1"/>
  <pageMargins left="0.5" right="0.5" top="0.75" bottom="0.75" header="0.3" footer="0.3"/>
  <pageSetup paperSize="9" scale="59"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EF7D5CF-EA6D-4C42-92A1-96F3633946CC}">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N346"/>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3.42578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4.7109375" style="11" bestFit="1" customWidth="1"/>
    <col min="40" max="16384" width="9.140625" style="11"/>
  </cols>
  <sheetData>
    <row r="1" spans="1:40" s="1" customFormat="1" ht="42" customHeight="1" x14ac:dyDescent="0.25">
      <c r="A1" s="36" t="s">
        <v>89</v>
      </c>
      <c r="B1" s="37"/>
      <c r="C1" s="37"/>
      <c r="D1" s="38"/>
      <c r="E1" s="38"/>
      <c r="F1" s="38"/>
      <c r="G1" s="38"/>
      <c r="H1" s="38"/>
      <c r="I1" s="38"/>
      <c r="J1" s="38"/>
      <c r="K1" s="38"/>
      <c r="L1" s="38"/>
      <c r="M1" s="38"/>
      <c r="N1" s="38"/>
      <c r="O1" s="38"/>
      <c r="P1" s="38"/>
      <c r="Q1" s="38"/>
      <c r="R1" s="38"/>
      <c r="S1" s="38"/>
      <c r="T1" s="38"/>
      <c r="U1" s="38"/>
      <c r="V1" s="38"/>
      <c r="W1" s="38"/>
      <c r="X1" s="38"/>
      <c r="Y1" s="38"/>
      <c r="Z1" s="38"/>
      <c r="AA1" s="38"/>
      <c r="AB1" s="38"/>
      <c r="AC1" s="37"/>
      <c r="AD1" s="37"/>
      <c r="AE1" s="37"/>
      <c r="AF1" s="37"/>
      <c r="AG1" s="39"/>
      <c r="AH1" s="37"/>
      <c r="AI1" s="37"/>
      <c r="AJ1" s="40"/>
      <c r="AK1" s="37"/>
      <c r="AL1" s="56" t="s">
        <v>72</v>
      </c>
      <c r="AM1" s="57">
        <f>Календарнийрік</f>
        <v>2012</v>
      </c>
    </row>
    <row r="2" spans="1:40" customFormat="1" ht="13.5" x14ac:dyDescent="0.25"/>
    <row r="3" spans="1:40" s="28" customFormat="1" ht="12.75" customHeight="1" x14ac:dyDescent="0.25">
      <c r="C3" s="43" t="str">
        <f>Текстпоясненьдокольорів</f>
        <v>ПОЯСНЕННЯ ДО КОЛЬОРІВ</v>
      </c>
      <c r="D3" s="50" t="str">
        <f>Код1</f>
        <v>З</v>
      </c>
      <c r="E3" s="67" t="str">
        <f>Код1текст</f>
        <v>Запізнення</v>
      </c>
      <c r="F3" s="58"/>
      <c r="H3" s="51" t="str">
        <f>Код2</f>
        <v>ПП</v>
      </c>
      <c r="I3" s="55" t="str">
        <f>Код2текст</f>
        <v>Поважна причина</v>
      </c>
      <c r="M3" s="52" t="str">
        <f>Код3</f>
        <v>П</v>
      </c>
      <c r="N3" s="55" t="str">
        <f>Код3текст</f>
        <v>Прогул</v>
      </c>
      <c r="Q3" s="53" t="str">
        <f>Код4</f>
        <v>Н</v>
      </c>
      <c r="R3" s="55" t="str">
        <f>Код4текст</f>
        <v>На місці</v>
      </c>
      <c r="U3" s="54" t="str">
        <f>Код5</f>
        <v>В</v>
      </c>
      <c r="V3" s="55" t="str">
        <f>Код5текст</f>
        <v>Вихідний</v>
      </c>
      <c r="W3"/>
      <c r="X3"/>
      <c r="Y3"/>
      <c r="AD3" s="27"/>
      <c r="AE3" s="27"/>
      <c r="AH3" s="29"/>
      <c r="AI3" s="30"/>
      <c r="AK3" s="31"/>
    </row>
    <row r="4" spans="1:40" customFormat="1" ht="16.5" customHeight="1" x14ac:dyDescent="0.25"/>
    <row r="5" spans="1:40" s="2" customFormat="1" ht="18" customHeight="1" x14ac:dyDescent="0.3">
      <c r="B5" s="60">
        <f>DATE(Календарнийрік,12,1)</f>
        <v>41244</v>
      </c>
      <c r="C5" s="59"/>
      <c r="D5" s="41" t="str">
        <f>TEXT(WEEKDAY(DATE(Календарнийрік,12,1),1),"aaa")</f>
        <v>Сб</v>
      </c>
      <c r="E5" s="41" t="str">
        <f>TEXT(WEEKDAY(DATE(Календарнийрік,12,2),1),"aaa")</f>
        <v>Нд</v>
      </c>
      <c r="F5" s="41" t="str">
        <f>TEXT(WEEKDAY(DATE(Календарнийрік,12,3),1),"aaa")</f>
        <v>Пн</v>
      </c>
      <c r="G5" s="41" t="str">
        <f>TEXT(WEEKDAY(DATE(Календарнийрік,12,4),1),"aaa")</f>
        <v>Вт</v>
      </c>
      <c r="H5" s="41" t="str">
        <f>TEXT(WEEKDAY(DATE(Календарнийрік,12,5),1),"aaa")</f>
        <v>Ср</v>
      </c>
      <c r="I5" s="41" t="str">
        <f>TEXT(WEEKDAY(DATE(Календарнийрік,12,6),1),"aaa")</f>
        <v>Чт</v>
      </c>
      <c r="J5" s="41" t="str">
        <f>TEXT(WEEKDAY(DATE(Календарнийрік,12,7),1),"aaa")</f>
        <v>Пт</v>
      </c>
      <c r="K5" s="41" t="str">
        <f>TEXT(WEEKDAY(DATE(Календарнийрік,12,8),1),"aaa")</f>
        <v>Сб</v>
      </c>
      <c r="L5" s="41" t="str">
        <f>TEXT(WEEKDAY(DATE(Календарнийрік,12,9),1),"aaa")</f>
        <v>Нд</v>
      </c>
      <c r="M5" s="41" t="str">
        <f>TEXT(WEEKDAY(DATE(Календарнийрік,12,10),1),"aaa")</f>
        <v>Пн</v>
      </c>
      <c r="N5" s="41" t="str">
        <f>TEXT(WEEKDAY(DATE(Календарнийрік,12,11),1),"aaa")</f>
        <v>Вт</v>
      </c>
      <c r="O5" s="41" t="str">
        <f>TEXT(WEEKDAY(DATE(Календарнийрік,12,12),1),"aaa")</f>
        <v>Ср</v>
      </c>
      <c r="P5" s="41" t="str">
        <f>TEXT(WEEKDAY(DATE(Календарнийрік,12,13),1),"aaa")</f>
        <v>Чт</v>
      </c>
      <c r="Q5" s="41" t="str">
        <f>TEXT(WEEKDAY(DATE(Календарнийрік,12,14),1),"aaa")</f>
        <v>Пт</v>
      </c>
      <c r="R5" s="41" t="str">
        <f>TEXT(WEEKDAY(DATE(Календарнийрік,12,15),1),"aaa")</f>
        <v>Сб</v>
      </c>
      <c r="S5" s="41" t="str">
        <f>TEXT(WEEKDAY(DATE(Календарнийрік,12,16),1),"aaa")</f>
        <v>Нд</v>
      </c>
      <c r="T5" s="41" t="str">
        <f>TEXT(WEEKDAY(DATE(Календарнийрік,12,17),1),"aaa")</f>
        <v>Пн</v>
      </c>
      <c r="U5" s="41" t="str">
        <f>TEXT(WEEKDAY(DATE(Календарнийрік,12,18),1),"aaa")</f>
        <v>Вт</v>
      </c>
      <c r="V5" s="41" t="str">
        <f>TEXT(WEEKDAY(DATE(Календарнийрік,12,19),1),"aaa")</f>
        <v>Ср</v>
      </c>
      <c r="W5" s="41" t="str">
        <f>TEXT(WEEKDAY(DATE(Календарнийрік,12,20),1),"aaa")</f>
        <v>Чт</v>
      </c>
      <c r="X5" s="41" t="str">
        <f>TEXT(WEEKDAY(DATE(Календарнийрік,12,21),1),"aaa")</f>
        <v>Пт</v>
      </c>
      <c r="Y5" s="41" t="str">
        <f>TEXT(WEEKDAY(DATE(Календарнийрік,12,22),1),"aaa")</f>
        <v>Сб</v>
      </c>
      <c r="Z5" s="41" t="str">
        <f>TEXT(WEEKDAY(DATE(Календарнийрік,12,23),1),"aaa")</f>
        <v>Нд</v>
      </c>
      <c r="AA5" s="41" t="str">
        <f>TEXT(WEEKDAY(DATE(Календарнийрік,12,24),1),"aaa")</f>
        <v>Пн</v>
      </c>
      <c r="AB5" s="41" t="str">
        <f>TEXT(WEEKDAY(DATE(Календарнийрік,12,25),1),"aaa")</f>
        <v>Вт</v>
      </c>
      <c r="AC5" s="41" t="str">
        <f>TEXT(WEEKDAY(DATE(Календарнийрік,12,26),1),"aaa")</f>
        <v>Ср</v>
      </c>
      <c r="AD5" s="41" t="str">
        <f>TEXT(WEEKDAY(DATE(Календарнийрік,12,27),1),"aaa")</f>
        <v>Чт</v>
      </c>
      <c r="AE5" s="41" t="str">
        <f>TEXT(WEEKDAY(DATE(Календарнийрік,12,28),1),"aaa")</f>
        <v>Пт</v>
      </c>
      <c r="AF5" s="41" t="str">
        <f>TEXT(WEEKDAY(DATE(Календарнийрік,12,29),1),"aaa")</f>
        <v>Сб</v>
      </c>
      <c r="AG5" s="41" t="str">
        <f>TEXT(WEEKDAY(DATE(Календарнийрік,12,30),1),"aaa")</f>
        <v>Нд</v>
      </c>
      <c r="AH5" s="41" t="str">
        <f>TEXT(WEEKDAY(DATE(Календарнийрік,12,31),1),"aaa")</f>
        <v>Пн</v>
      </c>
      <c r="AI5" s="128" t="s">
        <v>41</v>
      </c>
      <c r="AJ5" s="129"/>
      <c r="AK5" s="129"/>
      <c r="AL5" s="129"/>
      <c r="AM5" s="130"/>
    </row>
    <row r="6" spans="1:40" s="5" customFormat="1" ht="14.25" customHeight="1" x14ac:dyDescent="0.25">
      <c r="B6" s="44" t="s">
        <v>34</v>
      </c>
      <c r="C6" s="45" t="s">
        <v>36</v>
      </c>
      <c r="D6" s="3" t="s">
        <v>0</v>
      </c>
      <c r="E6" s="3" t="s">
        <v>1</v>
      </c>
      <c r="F6" s="3" t="s">
        <v>2</v>
      </c>
      <c r="G6" s="3" t="s">
        <v>3</v>
      </c>
      <c r="H6" s="3" t="s">
        <v>4</v>
      </c>
      <c r="I6" s="3" t="s">
        <v>5</v>
      </c>
      <c r="J6" s="3" t="s">
        <v>6</v>
      </c>
      <c r="K6" s="3" t="s">
        <v>7</v>
      </c>
      <c r="L6" s="3" t="s">
        <v>8</v>
      </c>
      <c r="M6" s="3" t="s">
        <v>9</v>
      </c>
      <c r="N6" s="3" t="s">
        <v>10</v>
      </c>
      <c r="O6" s="3" t="s">
        <v>11</v>
      </c>
      <c r="P6" s="3" t="s">
        <v>12</v>
      </c>
      <c r="Q6" s="3" t="s">
        <v>13</v>
      </c>
      <c r="R6" s="3" t="s">
        <v>14</v>
      </c>
      <c r="S6" s="3" t="s">
        <v>15</v>
      </c>
      <c r="T6" s="3" t="s">
        <v>16</v>
      </c>
      <c r="U6" s="3" t="s">
        <v>17</v>
      </c>
      <c r="V6" s="3" t="s">
        <v>18</v>
      </c>
      <c r="W6" s="3" t="s">
        <v>19</v>
      </c>
      <c r="X6" s="3" t="s">
        <v>20</v>
      </c>
      <c r="Y6" s="3" t="s">
        <v>21</v>
      </c>
      <c r="Z6" s="3" t="s">
        <v>22</v>
      </c>
      <c r="AA6" s="3" t="s">
        <v>23</v>
      </c>
      <c r="AB6" s="3" t="s">
        <v>24</v>
      </c>
      <c r="AC6" s="3" t="s">
        <v>25</v>
      </c>
      <c r="AD6" s="3" t="s">
        <v>26</v>
      </c>
      <c r="AE6" s="3" t="s">
        <v>27</v>
      </c>
      <c r="AF6" s="3" t="s">
        <v>28</v>
      </c>
      <c r="AG6" s="3" t="s">
        <v>29</v>
      </c>
      <c r="AH6" s="3" t="s">
        <v>30</v>
      </c>
      <c r="AI6" s="91" t="s">
        <v>37</v>
      </c>
      <c r="AJ6" s="68" t="s">
        <v>39</v>
      </c>
      <c r="AK6" s="69" t="s">
        <v>38</v>
      </c>
      <c r="AL6" s="70" t="s">
        <v>31</v>
      </c>
      <c r="AM6" s="49" t="s">
        <v>40</v>
      </c>
      <c r="AN6" s="4"/>
    </row>
    <row r="7" spans="1:40" s="5" customFormat="1" ht="16.5" customHeight="1" x14ac:dyDescent="0.25">
      <c r="B7" s="46"/>
      <c r="C7" s="47" t="str">
        <f>IFERROR(VLOOKUP(Відвідуваністьзагрудень[[#This Row],[Код студента]],Перелікстудентів[],18,FALSE),"")</f>
        <v/>
      </c>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2"/>
      <c r="AG7" s="20"/>
      <c r="AH7" s="20"/>
      <c r="AI7" s="6">
        <f>COUNTIF(Відвідуваністьзагрудень[[#This Row],[1]:[31]],Код1)</f>
        <v>0</v>
      </c>
      <c r="AJ7" s="48">
        <f>COUNTIF(Відвідуваністьзагрудень[[#This Row],[1]:[31]],Код2)</f>
        <v>0</v>
      </c>
      <c r="AK7" s="48">
        <f>COUNTIF(Відвідуваністьзагрудень[[#This Row],[1]:[31]],Код3)</f>
        <v>0</v>
      </c>
      <c r="AL7" s="48">
        <f>COUNTIF(Відвідуваністьзагрудень[[#This Row],[1]:[31]],Код4)</f>
        <v>0</v>
      </c>
      <c r="AM7" s="6">
        <f>SUM(Відвідуваністьзавересень[[#This Row],[ПП]:[П]])</f>
        <v>0</v>
      </c>
      <c r="AN7" s="4"/>
    </row>
    <row r="8" spans="1:40" s="5" customFormat="1" ht="16.5" customHeight="1" x14ac:dyDescent="0.25">
      <c r="B8" s="46"/>
      <c r="C8" s="47" t="str">
        <f>IFERROR(VLOOKUP(Відвідуваністьзагрудень[[#This Row],[Код студента]],Перелікстудентів[],18,FALSE),"")</f>
        <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2"/>
      <c r="AG8" s="20"/>
      <c r="AH8" s="20"/>
      <c r="AI8" s="6">
        <f>COUNTIF(Відвідуваністьзагрудень[[#This Row],[1]:[31]],Код1)</f>
        <v>0</v>
      </c>
      <c r="AJ8" s="48">
        <f>COUNTIF(Відвідуваністьзагрудень[[#This Row],[1]:[31]],Код2)</f>
        <v>0</v>
      </c>
      <c r="AK8" s="48">
        <f>COUNTIF(Відвідуваністьзагрудень[[#This Row],[1]:[31]],Код3)</f>
        <v>0</v>
      </c>
      <c r="AL8" s="48">
        <f>COUNTIF(Відвідуваністьзагрудень[[#This Row],[1]:[31]],Код4)</f>
        <v>0</v>
      </c>
      <c r="AM8" s="6">
        <f>SUM(Відвідуваністьзавересень[[#This Row],[ПП]:[П]])</f>
        <v>0</v>
      </c>
      <c r="AN8" s="4"/>
    </row>
    <row r="9" spans="1:40" s="8" customFormat="1" ht="16.5" customHeight="1" x14ac:dyDescent="0.25">
      <c r="B9" s="46"/>
      <c r="C9" s="47" t="str">
        <f>IFERROR(VLOOKUP(Відвідуваністьзагрудень[[#This Row],[Код студента]],Перелікстудентів[],18,FALSE),"")</f>
        <v/>
      </c>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2"/>
      <c r="AG9" s="20"/>
      <c r="AH9" s="20"/>
      <c r="AI9" s="6">
        <f>COUNTIF(Відвідуваністьзагрудень[[#This Row],[1]:[31]],Код1)</f>
        <v>0</v>
      </c>
      <c r="AJ9" s="48">
        <f>COUNTIF(Відвідуваністьзагрудень[[#This Row],[1]:[31]],Код2)</f>
        <v>0</v>
      </c>
      <c r="AK9" s="48">
        <f>COUNTIF(Відвідуваністьзагрудень[[#This Row],[1]:[31]],Код3)</f>
        <v>0</v>
      </c>
      <c r="AL9" s="48">
        <f>COUNTIF(Відвідуваністьзагрудень[[#This Row],[1]:[31]],Код4)</f>
        <v>0</v>
      </c>
      <c r="AM9" s="6">
        <f>SUM(Відвідуваністьзавересень[[#This Row],[ПП]:[П]])</f>
        <v>0</v>
      </c>
      <c r="AN9" s="7"/>
    </row>
    <row r="10" spans="1:40" ht="16.5" customHeight="1" x14ac:dyDescent="0.25">
      <c r="B10" s="46"/>
      <c r="C10" s="47" t="str">
        <f>IFERROR(VLOOKUP(Відвідуваністьзагрудень[[#This Row],[Код студента]],Перелікстудентів[],18,FALSE),"")</f>
        <v/>
      </c>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2"/>
      <c r="AG10" s="20"/>
      <c r="AH10" s="20"/>
      <c r="AI10" s="6">
        <f>COUNTIF(Відвідуваністьзагрудень[[#This Row],[1]:[31]],Код1)</f>
        <v>0</v>
      </c>
      <c r="AJ10" s="48">
        <f>COUNTIF(Відвідуваністьзагрудень[[#This Row],[1]:[31]],Код2)</f>
        <v>0</v>
      </c>
      <c r="AK10" s="48">
        <f>COUNTIF(Відвідуваністьзагрудень[[#This Row],[1]:[31]],Код3)</f>
        <v>0</v>
      </c>
      <c r="AL10" s="48">
        <f>COUNTIF(Відвідуваністьзагрудень[[#This Row],[1]:[31]],Код4)</f>
        <v>0</v>
      </c>
      <c r="AM10" s="6">
        <f>SUM(Відвідуваністьзавересень[[#This Row],[ПП]:[П]])</f>
        <v>0</v>
      </c>
      <c r="AN10" s="10"/>
    </row>
    <row r="11" spans="1:40" ht="16.5" customHeight="1" x14ac:dyDescent="0.25">
      <c r="B11" s="46"/>
      <c r="C11" s="47" t="str">
        <f>IFERROR(VLOOKUP(Відвідуваністьзагрудень[[#This Row],[Код студента]],Перелікстудентів[],18,FALSE),"")</f>
        <v/>
      </c>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2"/>
      <c r="AG11" s="20"/>
      <c r="AH11" s="20"/>
      <c r="AI11" s="6">
        <f>COUNTIF(Відвідуваністьзагрудень[[#This Row],[1]:[31]],Код1)</f>
        <v>0</v>
      </c>
      <c r="AJ11" s="48">
        <f>COUNTIF(Відвідуваністьзагрудень[[#This Row],[1]:[31]],Код2)</f>
        <v>0</v>
      </c>
      <c r="AK11" s="48">
        <f>COUNTIF(Відвідуваністьзагрудень[[#This Row],[1]:[31]],Код3)</f>
        <v>0</v>
      </c>
      <c r="AL11" s="48">
        <f>COUNTIF(Відвідуваністьзагрудень[[#This Row],[1]:[31]],Код4)</f>
        <v>0</v>
      </c>
      <c r="AM11" s="6">
        <f>SUM(Відвідуваністьзавересень[[#This Row],[ПП]:[П]])</f>
        <v>0</v>
      </c>
      <c r="AN11" s="10"/>
    </row>
    <row r="12" spans="1:40" ht="16.5" customHeight="1" x14ac:dyDescent="0.25">
      <c r="B12" s="113"/>
      <c r="C12" s="114" t="s">
        <v>118</v>
      </c>
      <c r="D12" s="115">
        <f>COUNTIF(Відвідуваністьзагрудень[1],"П")+COUNTIF(Відвідуваністьзагрудень[1],"ПП")</f>
        <v>0</v>
      </c>
      <c r="E12" s="115">
        <f>COUNTIF(Відвідуваністьзагрудень[2],"П")+COUNTIF(Відвідуваністьзагрудень[2],"ПП")</f>
        <v>0</v>
      </c>
      <c r="F12" s="115">
        <f>COUNTIF(Відвідуваністьзагрудень[3],"П")+COUNTIF(Відвідуваністьзагрудень[3],"ПП")</f>
        <v>0</v>
      </c>
      <c r="G12" s="115">
        <f>COUNTIF(Відвідуваністьзагрудень[4],"П")+COUNTIF(Відвідуваністьзагрудень[4],"ПП")</f>
        <v>0</v>
      </c>
      <c r="H12" s="115">
        <f>COUNTIF(Відвідуваністьзагрудень[5],"П")+COUNTIF(Відвідуваністьзагрудень[5],"ПП")</f>
        <v>0</v>
      </c>
      <c r="I12" s="115">
        <f>COUNTIF(Відвідуваністьзагрудень[6],"П")+COUNTIF(Відвідуваністьзагрудень[6],"ПП")</f>
        <v>0</v>
      </c>
      <c r="J12" s="115">
        <f>COUNTIF(Відвідуваністьзагрудень[7],"П")+COUNTIF(Відвідуваністьзагрудень[7],"ПП")</f>
        <v>0</v>
      </c>
      <c r="K12" s="115">
        <f>COUNTIF(Відвідуваністьзагрудень[8],"П")+COUNTIF(Відвідуваністьзагрудень[8],"ПП")</f>
        <v>0</v>
      </c>
      <c r="L12" s="115">
        <f>COUNTIF(Відвідуваністьзагрудень[9],"П")+COUNTIF(Відвідуваністьзагрудень[9],"ПП")</f>
        <v>0</v>
      </c>
      <c r="M12" s="115">
        <f>COUNTIF(Відвідуваністьзагрудень[10],"П")+COUNTIF(Відвідуваністьзагрудень[10],"ПП")</f>
        <v>0</v>
      </c>
      <c r="N12" s="115">
        <f>COUNTIF(Відвідуваністьзагрудень[11],"П")+COUNTIF(Відвідуваністьзагрудень[11],"ПП")</f>
        <v>0</v>
      </c>
      <c r="O12" s="115">
        <f>COUNTIF(Відвідуваністьзагрудень[12],"П")+COUNTIF(Відвідуваністьзагрудень[12],"ПП")</f>
        <v>0</v>
      </c>
      <c r="P12" s="115">
        <f>COUNTIF(Відвідуваністьзагрудень[13],"П")+COUNTIF(Відвідуваністьзагрудень[13],"ПП")</f>
        <v>0</v>
      </c>
      <c r="Q12" s="115">
        <f>COUNTIF(Відвідуваністьзагрудень[14],"П")+COUNTIF(Відвідуваністьзагрудень[14],"ПП")</f>
        <v>0</v>
      </c>
      <c r="R12" s="115">
        <f>COUNTIF(Відвідуваністьзагрудень[15],"П")+COUNTIF(Відвідуваністьзагрудень[15],"ПП")</f>
        <v>0</v>
      </c>
      <c r="S12" s="115">
        <f>COUNTIF(Відвідуваністьзагрудень[16],"П")+COUNTIF(Відвідуваністьзагрудень[16],"ПП")</f>
        <v>0</v>
      </c>
      <c r="T12" s="115">
        <f>COUNTIF(Відвідуваністьзагрудень[17],"П")+COUNTIF(Відвідуваністьзагрудень[17],"ПП")</f>
        <v>0</v>
      </c>
      <c r="U12" s="115">
        <f>COUNTIF(Відвідуваністьзагрудень[18],"П")+COUNTIF(Відвідуваністьзагрудень[18],"ПП")</f>
        <v>0</v>
      </c>
      <c r="V12" s="115">
        <f>COUNTIF(Відвідуваністьзагрудень[19],"П")+COUNTIF(Відвідуваністьзагрудень[19],"ПП")</f>
        <v>0</v>
      </c>
      <c r="W12" s="115">
        <f>COUNTIF(Відвідуваністьзагрудень[20],"П")+COUNTIF(Відвідуваністьзагрудень[20],"ПП")</f>
        <v>0</v>
      </c>
      <c r="X12" s="115">
        <f>COUNTIF(Відвідуваністьзагрудень[21],"П")+COUNTIF(Відвідуваністьзагрудень[21],"ПП")</f>
        <v>0</v>
      </c>
      <c r="Y12" s="115">
        <f>COUNTIF(Відвідуваністьзагрудень[22],"П")+COUNTIF(Відвідуваністьзагрудень[22],"ПП")</f>
        <v>0</v>
      </c>
      <c r="Z12" s="115">
        <f>COUNTIF(Відвідуваністьзагрудень[23],"П")+COUNTIF(Відвідуваністьзагрудень[23],"ПП")</f>
        <v>0</v>
      </c>
      <c r="AA12" s="115">
        <f>COUNTIF(Відвідуваністьзагрудень[24],"П")+COUNTIF(Відвідуваністьзагрудень[24],"ПП")</f>
        <v>0</v>
      </c>
      <c r="AB12" s="115">
        <f>COUNTIF(Відвідуваністьзагрудень[25],"П")+COUNTIF(Відвідуваністьзагрудень[25],"ПП")</f>
        <v>0</v>
      </c>
      <c r="AC12" s="115">
        <f>COUNTIF(Відвідуваністьзагрудень[26],"П")+COUNTIF(Відвідуваністьзагрудень[26],"ПП")</f>
        <v>0</v>
      </c>
      <c r="AD12" s="115">
        <f>COUNTIF(Відвідуваністьзагрудень[27],"П")+COUNTIF(Відвідуваністьзагрудень[27],"ПП")</f>
        <v>0</v>
      </c>
      <c r="AE12" s="115">
        <f>COUNTIF(Відвідуваністьзагрудень[28],"П")+COUNTIF(Відвідуваністьзагрудень[28],"ПП")</f>
        <v>0</v>
      </c>
      <c r="AF12" s="115">
        <f>COUNTIF(Відвідуваністьзагрудень[29],"П")+COUNTIF(Відвідуваністьзагрудень[29],"ПП")</f>
        <v>0</v>
      </c>
      <c r="AG12" s="115">
        <f>COUNTIF(Відвідуваністьзагрудень[30],"П")+COUNTIF(Відвідуваністьзагрудень[30],"ПП")</f>
        <v>0</v>
      </c>
      <c r="AH12" s="115">
        <f>COUNTIF(Відвідуваністьзагрудень[31],"П")+COUNTIF(Відвідуваністьзагрудень[31],"ПП")</f>
        <v>0</v>
      </c>
      <c r="AI12" s="115">
        <f>SUBTOTAL(109,Відвідуваністьзагрудень[З])</f>
        <v>0</v>
      </c>
      <c r="AJ12" s="115">
        <f>SUBTOTAL(109,Відвідуваністьзагрудень[ПП])</f>
        <v>0</v>
      </c>
      <c r="AK12" s="115">
        <f>SUBTOTAL(109,Відвідуваністьзагрудень[П])</f>
        <v>0</v>
      </c>
      <c r="AL12" s="115">
        <f>SUBTOTAL(109,Відвідуваністьзагрудень[Н])</f>
        <v>0</v>
      </c>
      <c r="AM12" s="115">
        <f>SUBTOTAL(109,Відвідуваністьзагрудень[Відсутність, дн.])</f>
        <v>0</v>
      </c>
    </row>
    <row r="14" spans="1:40" ht="16.5" customHeight="1" x14ac:dyDescent="0.25"/>
    <row r="15" spans="1:40" ht="16.5" customHeight="1" x14ac:dyDescent="0.25"/>
    <row r="16" spans="1:40"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6">
      <dataBar>
        <cfvo type="min"/>
        <cfvo type="num" val="31"/>
        <color theme="4"/>
      </dataBar>
      <extLst>
        <ext xmlns:x14="http://schemas.microsoft.com/office/spreadsheetml/2009/9/main" uri="{B025F937-C7B1-47D3-B67F-A62EFF666E3E}">
          <x14:id>{F1B3F415-3C3C-4616-B9AA-9BBD8C09A1CE}</x14:id>
        </ext>
      </extLst>
    </cfRule>
  </conditionalFormatting>
  <conditionalFormatting sqref="AG7:AI11">
    <cfRule type="expression" dxfId="671" priority="7" stopIfTrue="1">
      <formula>AG7=Код2</formula>
    </cfRule>
  </conditionalFormatting>
  <conditionalFormatting sqref="AG7:AH11">
    <cfRule type="expression" dxfId="670" priority="8" stopIfTrue="1">
      <formula>AG7=Код5</formula>
    </cfRule>
    <cfRule type="expression" dxfId="669" priority="9" stopIfTrue="1">
      <formula>AG7=Код4</formula>
    </cfRule>
    <cfRule type="expression" dxfId="668" priority="10" stopIfTrue="1">
      <formula>AG7=Код3</formula>
    </cfRule>
    <cfRule type="expression" dxfId="667" priority="11" stopIfTrue="1">
      <formula>AG7=Код1</formula>
    </cfRule>
  </conditionalFormatting>
  <conditionalFormatting sqref="D7:AF11">
    <cfRule type="expression" dxfId="666" priority="1" stopIfTrue="1">
      <formula>D7=Код2</formula>
    </cfRule>
  </conditionalFormatting>
  <conditionalFormatting sqref="D7:AF11">
    <cfRule type="expression" dxfId="665" priority="2" stopIfTrue="1">
      <formula>D7=Код5</formula>
    </cfRule>
    <cfRule type="expression" dxfId="664" priority="3" stopIfTrue="1">
      <formula>D7=Код4</formula>
    </cfRule>
    <cfRule type="expression" dxfId="663" priority="4" stopIfTrue="1">
      <formula>D7=Код3</formula>
    </cfRule>
    <cfRule type="expression" dxfId="662" priority="5" stopIfTrue="1">
      <formula>D7=Код1</formula>
    </cfRule>
  </conditionalFormatting>
  <dataValidations count="1">
    <dataValidation type="list" errorStyle="warning" allowBlank="1" showInputMessage="1" showErrorMessage="1" errorTitle="Отакої!" error="У списку студентів немає введеного коду. Ви можете натиснути кнопку ''Так'' і залишити введений код, але у звіті про відвідуваність він буде недоступний." sqref="B7:B11">
      <formula1>Ідентифікаторстудента</formula1>
    </dataValidation>
  </dataValidations>
  <printOptions horizontalCentered="1"/>
  <pageMargins left="0.5" right="0.5" top="0.75" bottom="0.75" header="0.3" footer="0.3"/>
  <pageSetup paperSize="9" scale="59"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1B3F415-3C3C-4616-B9AA-9BBD8C09A1CE}">
            <x14:dataBar minLength="0" maxLength="100" border="1" negativeBarBorderColorSameAsPositive="0">
              <x14:cfvo type="autoMin"/>
              <x14:cfvo type="num">
                <xm:f>31</xm:f>
              </x14:cfvo>
              <x14:borderColor theme="4"/>
              <x14:negativeFillColor rgb="FFFF0000"/>
              <x14:negativeBorderColor rgb="FFFF0000"/>
              <x14:axisColor rgb="FF000000"/>
            </x14:dataBar>
          </x14:cfRule>
          <xm:sqref>AM7:AM11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M264"/>
  <sheetViews>
    <sheetView showGridLines="0" zoomScaleNormal="100" workbookViewId="0">
      <pane xSplit="3" ySplit="6" topLeftCell="D7" activePane="bottomRight" state="frozen"/>
      <selection pane="topRight"/>
      <selection pane="bottomLeft"/>
      <selection pane="bottomRight" activeCell="C6" sqref="C6"/>
    </sheetView>
  </sheetViews>
  <sheetFormatPr defaultRowHeight="15" customHeight="1" x14ac:dyDescent="0.25"/>
  <cols>
    <col min="1" max="1" width="2.7109375" style="11" customWidth="1"/>
    <col min="2" max="2" width="13.42578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4.7109375" style="11" bestFit="1" customWidth="1"/>
    <col min="40" max="16384" width="9.140625" style="11"/>
  </cols>
  <sheetData>
    <row r="1" spans="1:39" s="1" customFormat="1" ht="42" customHeight="1" x14ac:dyDescent="0.25">
      <c r="A1" s="36" t="s">
        <v>89</v>
      </c>
      <c r="B1" s="37"/>
      <c r="C1" s="37"/>
      <c r="D1" s="38"/>
      <c r="E1" s="38"/>
      <c r="F1" s="38"/>
      <c r="G1" s="38"/>
      <c r="H1" s="38"/>
      <c r="I1" s="38"/>
      <c r="J1" s="38"/>
      <c r="K1" s="38"/>
      <c r="L1" s="38"/>
      <c r="M1" s="38"/>
      <c r="N1" s="38"/>
      <c r="O1" s="38"/>
      <c r="P1" s="38"/>
      <c r="Q1" s="38"/>
      <c r="R1" s="38"/>
      <c r="S1" s="38"/>
      <c r="T1" s="38"/>
      <c r="U1" s="38"/>
      <c r="V1" s="38"/>
      <c r="W1" s="38"/>
      <c r="X1" s="38"/>
      <c r="Y1" s="38"/>
      <c r="Z1" s="38"/>
      <c r="AA1" s="38"/>
      <c r="AB1" s="38"/>
      <c r="AC1" s="37"/>
      <c r="AD1" s="37"/>
      <c r="AE1" s="37"/>
      <c r="AF1" s="37"/>
      <c r="AG1" s="39"/>
      <c r="AH1" s="37"/>
      <c r="AI1" s="37"/>
      <c r="AJ1" s="40"/>
      <c r="AK1" s="37"/>
      <c r="AL1" s="56" t="s">
        <v>72</v>
      </c>
      <c r="AM1" s="57">
        <f>Календарнийрік</f>
        <v>2012</v>
      </c>
    </row>
    <row r="2" spans="1:39" customFormat="1" ht="13.5" x14ac:dyDescent="0.25"/>
    <row r="3" spans="1:39" s="28" customFormat="1" ht="12.75" customHeight="1" x14ac:dyDescent="0.25">
      <c r="C3" s="43" t="str">
        <f>Текстпоясненьдокольорів</f>
        <v>ПОЯСНЕННЯ ДО КОЛЬОРІВ</v>
      </c>
      <c r="D3" s="50" t="str">
        <f>Код1</f>
        <v>З</v>
      </c>
      <c r="E3" s="67" t="str">
        <f>Код1текст</f>
        <v>Запізнення</v>
      </c>
      <c r="F3" s="58"/>
      <c r="H3" s="51" t="str">
        <f>Код2</f>
        <v>ПП</v>
      </c>
      <c r="I3" s="55" t="str">
        <f>Код2текст</f>
        <v>Поважна причина</v>
      </c>
      <c r="M3" s="52" t="str">
        <f>Код3</f>
        <v>П</v>
      </c>
      <c r="N3" s="55" t="str">
        <f>Код3текст</f>
        <v>Прогул</v>
      </c>
      <c r="Q3" s="53" t="str">
        <f>Код4</f>
        <v>Н</v>
      </c>
      <c r="R3" s="55" t="str">
        <f>Код4текст</f>
        <v>На місці</v>
      </c>
      <c r="U3" s="54" t="str">
        <f>Код5</f>
        <v>В</v>
      </c>
      <c r="V3" s="55" t="str">
        <f>Код5текст</f>
        <v>Вихідний</v>
      </c>
      <c r="W3"/>
      <c r="X3"/>
      <c r="Y3"/>
      <c r="AD3" s="27"/>
      <c r="AE3" s="27"/>
      <c r="AH3" s="29"/>
      <c r="AI3" s="30"/>
      <c r="AK3" s="31"/>
    </row>
    <row r="4" spans="1:39" customFormat="1" ht="16.5" customHeight="1" x14ac:dyDescent="0.25"/>
    <row r="5" spans="1:39" s="2" customFormat="1" ht="18" customHeight="1" x14ac:dyDescent="0.3">
      <c r="B5" s="60">
        <f>DATE(Календарнийрік+1,1,1)</f>
        <v>41275</v>
      </c>
      <c r="C5" s="59"/>
      <c r="D5" s="41" t="str">
        <f>TEXT(WEEKDAY(DATE(Календарнийрік+1,1,1),1),"aaa")</f>
        <v>Вт</v>
      </c>
      <c r="E5" s="41" t="str">
        <f>TEXT(WEEKDAY(DATE(Календарнийрік+1,1,2),1),"aaa")</f>
        <v>Ср</v>
      </c>
      <c r="F5" s="41" t="str">
        <f>TEXT(WEEKDAY(DATE(Календарнийрік+1,1,3),1),"aaa")</f>
        <v>Чт</v>
      </c>
      <c r="G5" s="41" t="str">
        <f>TEXT(WEEKDAY(DATE(Календарнийрік+1,1,4),1),"aaa")</f>
        <v>Пт</v>
      </c>
      <c r="H5" s="41" t="str">
        <f>TEXT(WEEKDAY(DATE(Календарнийрік+1,1,5),1),"aaa")</f>
        <v>Сб</v>
      </c>
      <c r="I5" s="41" t="str">
        <f>TEXT(WEEKDAY(DATE(Календарнийрік+1,1,6),1),"aaa")</f>
        <v>Нд</v>
      </c>
      <c r="J5" s="41" t="str">
        <f>TEXT(WEEKDAY(DATE(Календарнийрік+1,1,7),1),"aaa")</f>
        <v>Пн</v>
      </c>
      <c r="K5" s="41" t="str">
        <f>TEXT(WEEKDAY(DATE(Календарнийрік+1,1,8),1),"aaa")</f>
        <v>Вт</v>
      </c>
      <c r="L5" s="41" t="str">
        <f>TEXT(WEEKDAY(DATE(Календарнийрік+1,1,9),1),"aaa")</f>
        <v>Ср</v>
      </c>
      <c r="M5" s="41" t="str">
        <f>TEXT(WEEKDAY(DATE(Календарнийрік+1,1,10),1),"aaa")</f>
        <v>Чт</v>
      </c>
      <c r="N5" s="41" t="str">
        <f>TEXT(WEEKDAY(DATE(Календарнийрік+1,1,11),1),"aaa")</f>
        <v>Пт</v>
      </c>
      <c r="O5" s="41" t="str">
        <f>TEXT(WEEKDAY(DATE(Календарнийрік+1,1,12),1),"aaa")</f>
        <v>Сб</v>
      </c>
      <c r="P5" s="41" t="str">
        <f>TEXT(WEEKDAY(DATE(Календарнийрік+1,1,13),1),"aaa")</f>
        <v>Нд</v>
      </c>
      <c r="Q5" s="41" t="str">
        <f>TEXT(WEEKDAY(DATE(Календарнийрік+1,1,14),1),"aaa")</f>
        <v>Пн</v>
      </c>
      <c r="R5" s="41" t="str">
        <f>TEXT(WEEKDAY(DATE(Календарнийрік+1,1,15),1),"aaa")</f>
        <v>Вт</v>
      </c>
      <c r="S5" s="41" t="str">
        <f>TEXT(WEEKDAY(DATE(Календарнийрік+1,1,16),1),"aaa")</f>
        <v>Ср</v>
      </c>
      <c r="T5" s="41" t="str">
        <f>TEXT(WEEKDAY(DATE(Календарнийрік+1,1,17),1),"aaa")</f>
        <v>Чт</v>
      </c>
      <c r="U5" s="41" t="str">
        <f>TEXT(WEEKDAY(DATE(Календарнийрік+1,1,18),1),"aaa")</f>
        <v>Пт</v>
      </c>
      <c r="V5" s="41" t="str">
        <f>TEXT(WEEKDAY(DATE(Календарнийрік+1,1,19),1),"aaa")</f>
        <v>Сб</v>
      </c>
      <c r="W5" s="41" t="str">
        <f>TEXT(WEEKDAY(DATE(Календарнийрік+1,1,20),1),"aaa")</f>
        <v>Нд</v>
      </c>
      <c r="X5" s="41" t="str">
        <f>TEXT(WEEKDAY(DATE(Календарнийрік+1,1,21),1),"aaa")</f>
        <v>Пн</v>
      </c>
      <c r="Y5" s="41" t="str">
        <f>TEXT(WEEKDAY(DATE(Календарнийрік+1,1,22),1),"aaa")</f>
        <v>Вт</v>
      </c>
      <c r="Z5" s="41" t="str">
        <f>TEXT(WEEKDAY(DATE(Календарнийрік+1,1,23),1),"aaa")</f>
        <v>Ср</v>
      </c>
      <c r="AA5" s="41" t="str">
        <f>TEXT(WEEKDAY(DATE(Календарнийрік+1,1,24),1),"aaa")</f>
        <v>Чт</v>
      </c>
      <c r="AB5" s="41" t="str">
        <f>TEXT(WEEKDAY(DATE(Календарнийрік+1,1,25),1),"aaa")</f>
        <v>Пт</v>
      </c>
      <c r="AC5" s="41" t="str">
        <f>TEXT(WEEKDAY(DATE(Календарнийрік+1,1,26),1),"aaa")</f>
        <v>Сб</v>
      </c>
      <c r="AD5" s="41" t="str">
        <f>TEXT(WEEKDAY(DATE(Календарнийрік+1,1,27),1),"aaa")</f>
        <v>Нд</v>
      </c>
      <c r="AE5" s="41" t="str">
        <f>TEXT(WEEKDAY(DATE(Календарнийрік+1,1,28),1),"aaa")</f>
        <v>Пн</v>
      </c>
      <c r="AF5" s="41" t="str">
        <f>TEXT(WEEKDAY(DATE(Календарнийрік+1,1,29),1),"aaa")</f>
        <v>Вт</v>
      </c>
      <c r="AG5" s="41" t="str">
        <f>TEXT(WEEKDAY(DATE(Календарнийрік+1,1,30),1),"aaa")</f>
        <v>Ср</v>
      </c>
      <c r="AH5" s="41" t="str">
        <f>TEXT(WEEKDAY(DATE(Календарнийрік+1,1,31),1),"aaa")</f>
        <v>Чт</v>
      </c>
      <c r="AI5" s="131" t="s">
        <v>41</v>
      </c>
      <c r="AJ5" s="131"/>
      <c r="AK5" s="131"/>
      <c r="AL5" s="131"/>
      <c r="AM5" s="131"/>
    </row>
    <row r="6" spans="1:39" ht="14.25" customHeight="1" x14ac:dyDescent="0.25">
      <c r="B6" s="24" t="s">
        <v>34</v>
      </c>
      <c r="C6" s="25" t="s">
        <v>36</v>
      </c>
      <c r="D6" s="26" t="s">
        <v>0</v>
      </c>
      <c r="E6" s="26" t="s">
        <v>1</v>
      </c>
      <c r="F6" s="26" t="s">
        <v>2</v>
      </c>
      <c r="G6" s="26" t="s">
        <v>3</v>
      </c>
      <c r="H6" s="26" t="s">
        <v>4</v>
      </c>
      <c r="I6" s="26" t="s">
        <v>5</v>
      </c>
      <c r="J6" s="26" t="s">
        <v>6</v>
      </c>
      <c r="K6" s="26" t="s">
        <v>7</v>
      </c>
      <c r="L6" s="26" t="s">
        <v>8</v>
      </c>
      <c r="M6" s="26" t="s">
        <v>9</v>
      </c>
      <c r="N6" s="26" t="s">
        <v>10</v>
      </c>
      <c r="O6" s="26" t="s">
        <v>11</v>
      </c>
      <c r="P6" s="26" t="s">
        <v>12</v>
      </c>
      <c r="Q6" s="26" t="s">
        <v>13</v>
      </c>
      <c r="R6" s="26" t="s">
        <v>14</v>
      </c>
      <c r="S6" s="26" t="s">
        <v>15</v>
      </c>
      <c r="T6" s="26" t="s">
        <v>16</v>
      </c>
      <c r="U6" s="26" t="s">
        <v>17</v>
      </c>
      <c r="V6" s="26" t="s">
        <v>18</v>
      </c>
      <c r="W6" s="26" t="s">
        <v>19</v>
      </c>
      <c r="X6" s="26" t="s">
        <v>20</v>
      </c>
      <c r="Y6" s="26" t="s">
        <v>21</v>
      </c>
      <c r="Z6" s="26" t="s">
        <v>22</v>
      </c>
      <c r="AA6" s="26" t="s">
        <v>23</v>
      </c>
      <c r="AB6" s="26" t="s">
        <v>24</v>
      </c>
      <c r="AC6" s="26" t="s">
        <v>25</v>
      </c>
      <c r="AD6" s="26" t="s">
        <v>26</v>
      </c>
      <c r="AE6" s="26" t="s">
        <v>27</v>
      </c>
      <c r="AF6" s="26" t="s">
        <v>28</v>
      </c>
      <c r="AG6" s="26" t="s">
        <v>29</v>
      </c>
      <c r="AH6" s="26" t="s">
        <v>30</v>
      </c>
      <c r="AI6" s="71" t="s">
        <v>37</v>
      </c>
      <c r="AJ6" s="35" t="s">
        <v>39</v>
      </c>
      <c r="AK6" s="34" t="s">
        <v>38</v>
      </c>
      <c r="AL6" s="32" t="s">
        <v>31</v>
      </c>
      <c r="AM6" t="s">
        <v>40</v>
      </c>
    </row>
    <row r="7" spans="1:39" ht="16.5" customHeight="1" x14ac:dyDescent="0.25">
      <c r="B7" s="23"/>
      <c r="C7" s="19" t="str">
        <f>IFERROR(VLOOKUP(Відвідуваністьзасічень[[#This Row],[Код студента]],Перелікстудентів[],18,FALSE),"")</f>
        <v/>
      </c>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2"/>
      <c r="AG7" s="3"/>
      <c r="AH7" s="3"/>
      <c r="AI7" s="33">
        <f>COUNTIF(Відвідуваністьзасічень[[#This Row],[1]:[31]],Код1)</f>
        <v>0</v>
      </c>
      <c r="AJ7" s="33">
        <f>COUNTIF(Відвідуваністьзасічень[[#This Row],[1]:[31]],Код2)</f>
        <v>0</v>
      </c>
      <c r="AK7" s="33">
        <f>COUNTIF(Відвідуваністьзасічень[[#This Row],[1]:[31]],Код3)</f>
        <v>0</v>
      </c>
      <c r="AL7" s="33">
        <f>COUNTIF(Відвідуваністьзасічень[[#This Row],[1]:[31]],Код4)</f>
        <v>0</v>
      </c>
      <c r="AM7" s="6">
        <f>SUM(Відвідуваністьзавересень[[#This Row],[ПП]:[П]])</f>
        <v>0</v>
      </c>
    </row>
    <row r="8" spans="1:39" ht="16.5" customHeight="1" x14ac:dyDescent="0.25">
      <c r="B8" s="23"/>
      <c r="C8" s="19" t="str">
        <f>IFERROR(VLOOKUP(Відвідуваністьзасічень[[#This Row],[Код студента]],Перелікстудентів[],18,FALSE),"")</f>
        <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2"/>
      <c r="AG8" s="3"/>
      <c r="AH8" s="3"/>
      <c r="AI8" s="33">
        <f>COUNTIF(Відвідуваністьзасічень[[#This Row],[1]:[31]],Код1)</f>
        <v>0</v>
      </c>
      <c r="AJ8" s="33">
        <f>COUNTIF(Відвідуваністьзасічень[[#This Row],[1]:[31]],Код2)</f>
        <v>0</v>
      </c>
      <c r="AK8" s="33">
        <f>COUNTIF(Відвідуваністьзасічень[[#This Row],[1]:[31]],Код3)</f>
        <v>0</v>
      </c>
      <c r="AL8" s="33">
        <f>COUNTIF(Відвідуваністьзасічень[[#This Row],[1]:[31]],Код4)</f>
        <v>0</v>
      </c>
      <c r="AM8" s="6">
        <f>SUM(Відвідуваністьзавересень[[#This Row],[ПП]:[П]])</f>
        <v>0</v>
      </c>
    </row>
    <row r="9" spans="1:39" ht="16.5" customHeight="1" x14ac:dyDescent="0.25">
      <c r="B9" s="23"/>
      <c r="C9" s="19" t="str">
        <f>IFERROR(VLOOKUP(Відвідуваністьзасічень[[#This Row],[Код студента]],Перелікстудентів[],18,FALSE),"")</f>
        <v/>
      </c>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2"/>
      <c r="AG9" s="3"/>
      <c r="AH9" s="3"/>
      <c r="AI9" s="33">
        <f>COUNTIF(Відвідуваністьзасічень[[#This Row],[1]:[31]],Код1)</f>
        <v>0</v>
      </c>
      <c r="AJ9" s="33">
        <f>COUNTIF(Відвідуваністьзасічень[[#This Row],[1]:[31]],Код2)</f>
        <v>0</v>
      </c>
      <c r="AK9" s="33">
        <f>COUNTIF(Відвідуваністьзасічень[[#This Row],[1]:[31]],Код3)</f>
        <v>0</v>
      </c>
      <c r="AL9" s="33">
        <f>COUNTIF(Відвідуваністьзасічень[[#This Row],[1]:[31]],Код4)</f>
        <v>0</v>
      </c>
      <c r="AM9" s="6">
        <f>SUM(Відвідуваністьзавересень[[#This Row],[ПП]:[П]])</f>
        <v>0</v>
      </c>
    </row>
    <row r="10" spans="1:39" ht="16.5" customHeight="1" x14ac:dyDescent="0.25">
      <c r="B10" s="23"/>
      <c r="C10" s="19" t="str">
        <f>IFERROR(VLOOKUP(Відвідуваністьзасічень[[#This Row],[Код студента]],Перелікстудентів[],18,FALSE),"")</f>
        <v/>
      </c>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2"/>
      <c r="AG10" s="3"/>
      <c r="AH10" s="3"/>
      <c r="AI10" s="33">
        <f>COUNTIF(Відвідуваністьзасічень[[#This Row],[1]:[31]],Код1)</f>
        <v>0</v>
      </c>
      <c r="AJ10" s="33">
        <f>COUNTIF(Відвідуваністьзасічень[[#This Row],[1]:[31]],Код2)</f>
        <v>0</v>
      </c>
      <c r="AK10" s="33">
        <f>COUNTIF(Відвідуваністьзасічень[[#This Row],[1]:[31]],Код3)</f>
        <v>0</v>
      </c>
      <c r="AL10" s="33">
        <f>COUNTIF(Відвідуваністьзасічень[[#This Row],[1]:[31]],Код4)</f>
        <v>0</v>
      </c>
      <c r="AM10" s="6">
        <f>SUM(Відвідуваністьзавересень[[#This Row],[ПП]:[П]])</f>
        <v>0</v>
      </c>
    </row>
    <row r="11" spans="1:39" ht="16.5" customHeight="1" x14ac:dyDescent="0.25">
      <c r="B11" s="23"/>
      <c r="C11" s="19" t="str">
        <f>IFERROR(VLOOKUP(Відвідуваністьзасічень[[#This Row],[Код студента]],Перелікстудентів[],18,FALSE),"")</f>
        <v/>
      </c>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2"/>
      <c r="AG11" s="3"/>
      <c r="AH11" s="3"/>
      <c r="AI11" s="33">
        <f>COUNTIF(Відвідуваністьзасічень[[#This Row],[1]:[31]],Код1)</f>
        <v>0</v>
      </c>
      <c r="AJ11" s="33">
        <f>COUNTIF(Відвідуваністьзасічень[[#This Row],[1]:[31]],Код2)</f>
        <v>0</v>
      </c>
      <c r="AK11" s="33">
        <f>COUNTIF(Відвідуваністьзасічень[[#This Row],[1]:[31]],Код3)</f>
        <v>0</v>
      </c>
      <c r="AL11" s="33">
        <f>COUNTIF(Відвідуваністьзасічень[[#This Row],[1]:[31]],Код4)</f>
        <v>0</v>
      </c>
      <c r="AM11" s="6">
        <f>SUM(Відвідуваністьзавересень[[#This Row],[ПП]:[П]])</f>
        <v>0</v>
      </c>
    </row>
    <row r="12" spans="1:39" ht="16.5" customHeight="1" x14ac:dyDescent="0.25">
      <c r="B12" s="113"/>
      <c r="C12" s="114" t="s">
        <v>118</v>
      </c>
      <c r="D12" s="115">
        <f>COUNTIF(Відвідуваністьзасічень[1],"П")+COUNTIF(Відвідуваністьзасічень[1],"ПП")</f>
        <v>0</v>
      </c>
      <c r="E12" s="115">
        <f>COUNTIF(Відвідуваністьзасічень[2],"П")+COUNTIF(Відвідуваністьзасічень[2],"ПП")</f>
        <v>0</v>
      </c>
      <c r="F12" s="115">
        <f>COUNTIF(Відвідуваністьзасічень[3],"П")+COUNTIF(Відвідуваністьзасічень[3],"ПП")</f>
        <v>0</v>
      </c>
      <c r="G12" s="115">
        <f>COUNTIF(Відвідуваністьзасічень[4],"П")+COUNTIF(Відвідуваністьзасічень[4],"ПП")</f>
        <v>0</v>
      </c>
      <c r="H12" s="115">
        <f>COUNTIF(Відвідуваністьзасічень[5],"П")+COUNTIF(Відвідуваністьзасічень[5],"ПП")</f>
        <v>0</v>
      </c>
      <c r="I12" s="115">
        <f>COUNTIF(Відвідуваністьзасічень[6],"П")+COUNTIF(Відвідуваністьзасічень[6],"ПП")</f>
        <v>0</v>
      </c>
      <c r="J12" s="115">
        <f>COUNTIF(Відвідуваністьзасічень[7],"П")+COUNTIF(Відвідуваністьзасічень[7],"ПП")</f>
        <v>0</v>
      </c>
      <c r="K12" s="115">
        <f>COUNTIF(Відвідуваністьзасічень[8],"П")+COUNTIF(Відвідуваністьзасічень[8],"ПП")</f>
        <v>0</v>
      </c>
      <c r="L12" s="115">
        <f>COUNTIF(Відвідуваністьзасічень[9],"П")+COUNTIF(Відвідуваністьзасічень[9],"ПП")</f>
        <v>0</v>
      </c>
      <c r="M12" s="115">
        <f>COUNTIF(Відвідуваністьзасічень[10],"П")+COUNTIF(Відвідуваністьзасічень[10],"ПП")</f>
        <v>0</v>
      </c>
      <c r="N12" s="115">
        <f>COUNTIF(Відвідуваністьзасічень[11],"П")+COUNTIF(Відвідуваністьзасічень[11],"ПП")</f>
        <v>0</v>
      </c>
      <c r="O12" s="115">
        <f>COUNTIF(Відвідуваністьзасічень[12],"П")+COUNTIF(Відвідуваністьзасічень[12],"ПП")</f>
        <v>0</v>
      </c>
      <c r="P12" s="115">
        <f>COUNTIF(Відвідуваністьзасічень[13],"П")+COUNTIF(Відвідуваністьзасічень[13],"ПП")</f>
        <v>0</v>
      </c>
      <c r="Q12" s="115">
        <f>COUNTIF(Відвідуваністьзасічень[14],"П")+COUNTIF(Відвідуваністьзасічень[14],"ПП")</f>
        <v>0</v>
      </c>
      <c r="R12" s="115">
        <f>COUNTIF(Відвідуваністьзасічень[15],"П")+COUNTIF(Відвідуваністьзасічень[15],"ПП")</f>
        <v>0</v>
      </c>
      <c r="S12" s="115">
        <f>COUNTIF(Відвідуваністьзасічень[16],"П")+COUNTIF(Відвідуваністьзасічень[16],"ПП")</f>
        <v>0</v>
      </c>
      <c r="T12" s="115">
        <f>COUNTIF(Відвідуваністьзасічень[17],"П")+COUNTIF(Відвідуваністьзасічень[17],"ПП")</f>
        <v>0</v>
      </c>
      <c r="U12" s="115">
        <f>COUNTIF(Відвідуваністьзасічень[18],"П")+COUNTIF(Відвідуваністьзасічень[18],"ПП")</f>
        <v>0</v>
      </c>
      <c r="V12" s="115">
        <f>COUNTIF(Відвідуваністьзасічень[19],"П")+COUNTIF(Відвідуваністьзасічень[19],"ПП")</f>
        <v>0</v>
      </c>
      <c r="W12" s="115">
        <f>COUNTIF(Відвідуваністьзасічень[20],"П")+COUNTIF(Відвідуваністьзасічень[20],"ПП")</f>
        <v>0</v>
      </c>
      <c r="X12" s="115">
        <f>COUNTIF(Відвідуваністьзасічень[21],"П")+COUNTIF(Відвідуваністьзасічень[21],"ПП")</f>
        <v>0</v>
      </c>
      <c r="Y12" s="115">
        <f>COUNTIF(Відвідуваністьзасічень[22],"П")+COUNTIF(Відвідуваністьзасічень[22],"ПП")</f>
        <v>0</v>
      </c>
      <c r="Z12" s="115">
        <f>COUNTIF(Відвідуваністьзасічень[23],"П")+COUNTIF(Відвідуваністьзасічень[23],"ПП")</f>
        <v>0</v>
      </c>
      <c r="AA12" s="115">
        <f>COUNTIF(Відвідуваністьзасічень[24],"П")+COUNTIF(Відвідуваністьзасічень[24],"ПП")</f>
        <v>0</v>
      </c>
      <c r="AB12" s="115">
        <f>COUNTIF(Відвідуваністьзасічень[25],"П")+COUNTIF(Відвідуваністьзасічень[25],"ПП")</f>
        <v>0</v>
      </c>
      <c r="AC12" s="115">
        <f>COUNTIF(Відвідуваністьзасічень[26],"П")+COUNTIF(Відвідуваністьзасічень[26],"ПП")</f>
        <v>0</v>
      </c>
      <c r="AD12" s="115">
        <f>COUNTIF(Відвідуваністьзасічень[27],"П")+COUNTIF(Відвідуваністьзасічень[27],"ПП")</f>
        <v>0</v>
      </c>
      <c r="AE12" s="115">
        <f>COUNTIF(Відвідуваністьзасічень[28],"П")+COUNTIF(Відвідуваністьзасічень[28],"ПП")</f>
        <v>0</v>
      </c>
      <c r="AF12" s="115">
        <f>COUNTIF(Відвідуваністьзасічень[29],"П")+COUNTIF(Відвідуваністьзасічень[29],"ПП")</f>
        <v>0</v>
      </c>
      <c r="AG12" s="115">
        <f>COUNTIF(Відвідуваністьзасічень[30],"П")+COUNTIF(Відвідуваністьзасічень[30],"ПП")</f>
        <v>0</v>
      </c>
      <c r="AH12" s="115">
        <f>COUNTIF(Відвідуваністьзасічень[31],"П")+COUNTIF(Відвідуваністьзасічень[31],"ПП")</f>
        <v>0</v>
      </c>
      <c r="AI12" s="115">
        <f>SUBTOTAL(109,Відвідуваністьзасічень[З])</f>
        <v>0</v>
      </c>
      <c r="AJ12" s="115">
        <f>SUBTOTAL(109,Відвідуваністьзасічень[ПП])</f>
        <v>0</v>
      </c>
      <c r="AK12" s="115">
        <f>SUBTOTAL(109,Відвідуваністьзасічень[П])</f>
        <v>0</v>
      </c>
      <c r="AL12" s="115">
        <f>SUBTOTAL(109,Відвідуваністьзасічень[Н])</f>
        <v>0</v>
      </c>
      <c r="AM12" s="115">
        <f>SUBTOTAL(109,Відвідуваністьзасічень[Відсутність, дн.])</f>
        <v>0</v>
      </c>
    </row>
    <row r="14" spans="1:39" ht="16.5" customHeight="1" x14ac:dyDescent="0.25"/>
    <row r="15" spans="1:39" ht="16.5" customHeight="1" x14ac:dyDescent="0.25"/>
    <row r="16" spans="1:39"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3">
      <dataBar>
        <cfvo type="min"/>
        <cfvo type="num" val="DATEDIF(DATE(Календарнийрік,2,1),DATE(Календарнийрік,3,1),&quot;d&quot;)"/>
        <color theme="4"/>
      </dataBar>
      <extLst>
        <ext xmlns:x14="http://schemas.microsoft.com/office/spreadsheetml/2009/9/main" uri="{B025F937-C7B1-47D3-B67F-A62EFF666E3E}">
          <x14:id>{14404821-1BA2-401A-A36D-E7C5CA142FF7}</x14:id>
        </ext>
      </extLst>
    </cfRule>
  </conditionalFormatting>
  <conditionalFormatting sqref="D7:AF11">
    <cfRule type="expression" dxfId="588" priority="4" stopIfTrue="1">
      <formula>D7=Код2</formula>
    </cfRule>
  </conditionalFormatting>
  <conditionalFormatting sqref="D7:AF11">
    <cfRule type="expression" dxfId="587" priority="5" stopIfTrue="1">
      <formula>D7=Код5</formula>
    </cfRule>
    <cfRule type="expression" dxfId="586" priority="6" stopIfTrue="1">
      <formula>D7=Код4</formula>
    </cfRule>
    <cfRule type="expression" dxfId="585" priority="7" stopIfTrue="1">
      <formula>D7=Код3</formula>
    </cfRule>
    <cfRule type="expression" dxfId="584" priority="8" stopIfTrue="1">
      <formula>D7=Код1</formula>
    </cfRule>
  </conditionalFormatting>
  <dataValidations count="1">
    <dataValidation type="list" errorStyle="warning" allowBlank="1" showInputMessage="1" showErrorMessage="1" errorTitle="Отакої!" error="У списку студентів немає введеного коду. Ви можете натиснути кнопку ''Так'' і залишити введений код, але у звіті про відвідуваність він буде недоступний." sqref="B7:B11">
      <formula1>Ідентифікаторстудента</formula1>
    </dataValidation>
  </dataValidations>
  <printOptions horizontalCentered="1"/>
  <pageMargins left="0.5" right="0.5" top="0.75" bottom="0.75" header="0.3" footer="0.3"/>
  <pageSetup paperSize="9" scale="59"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4404821-1BA2-401A-A36D-E7C5CA142FF7}">
            <x14:dataBar minLength="0" maxLength="100" border="1" negativeBarBorderColorSameAsPositive="0">
              <x14:cfvo type="autoMin"/>
              <x14:cfvo type="num">
                <xm:f>DATEDIF(DATE(Календарнийрік,2,1),DATE(Календарнийрік,3,1),"d")</xm:f>
              </x14:cfvo>
              <x14:borderColor theme="4"/>
              <x14:negativeFillColor rgb="FFFF0000"/>
              <x14:negativeBorderColor rgb="FFFF0000"/>
              <x14:axisColor rgb="FF000000"/>
            </x14:dataBar>
          </x14:cfRule>
          <xm:sqref>AM7:AM11</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84740745262"/>
    <pageSetUpPr fitToPage="1"/>
  </sheetPr>
  <dimension ref="A1:AM264"/>
  <sheetViews>
    <sheetView showGridLines="0" zoomScaleNormal="100" workbookViewId="0">
      <pane xSplit="3" ySplit="6" topLeftCell="D7" activePane="bottomRight" state="frozen"/>
      <selection pane="topRight"/>
      <selection pane="bottomLeft"/>
      <selection pane="bottomRight"/>
    </sheetView>
  </sheetViews>
  <sheetFormatPr defaultRowHeight="15" customHeight="1" x14ac:dyDescent="0.25"/>
  <cols>
    <col min="1" max="1" width="2.7109375" style="11" customWidth="1"/>
    <col min="2" max="2" width="13.42578125" style="11" bestFit="1" customWidth="1"/>
    <col min="3" max="3" width="28.85546875" style="12" customWidth="1"/>
    <col min="4" max="34" width="5" style="10" customWidth="1"/>
    <col min="35" max="35" width="4.7109375" style="9" customWidth="1"/>
    <col min="36" max="36" width="4.7109375" style="10" customWidth="1"/>
    <col min="37" max="38" width="4.7109375" style="11" customWidth="1"/>
    <col min="39" max="39" width="14.7109375" style="11" bestFit="1" customWidth="1"/>
    <col min="40" max="16384" width="9.140625" style="11"/>
  </cols>
  <sheetData>
    <row r="1" spans="1:39" s="1" customFormat="1" ht="42" customHeight="1" x14ac:dyDescent="0.25">
      <c r="A1" s="36" t="s">
        <v>89</v>
      </c>
      <c r="B1" s="37"/>
      <c r="C1" s="37"/>
      <c r="D1" s="38"/>
      <c r="E1" s="38"/>
      <c r="F1" s="38"/>
      <c r="G1" s="38"/>
      <c r="H1" s="38"/>
      <c r="I1" s="38"/>
      <c r="J1" s="38"/>
      <c r="K1" s="38"/>
      <c r="L1" s="38"/>
      <c r="M1" s="38"/>
      <c r="N1" s="38"/>
      <c r="O1" s="38"/>
      <c r="P1" s="38"/>
      <c r="Q1" s="38"/>
      <c r="R1" s="38"/>
      <c r="S1" s="38"/>
      <c r="T1" s="38"/>
      <c r="U1" s="38"/>
      <c r="V1" s="38"/>
      <c r="W1" s="38"/>
      <c r="X1" s="38"/>
      <c r="Y1" s="38"/>
      <c r="Z1" s="38"/>
      <c r="AA1" s="38"/>
      <c r="AB1" s="38"/>
      <c r="AC1" s="37"/>
      <c r="AD1" s="37"/>
      <c r="AE1" s="37"/>
      <c r="AF1" s="37"/>
      <c r="AG1" s="39"/>
      <c r="AH1" s="37"/>
      <c r="AI1" s="37"/>
      <c r="AJ1" s="40"/>
      <c r="AK1" s="37"/>
      <c r="AL1" s="56" t="s">
        <v>72</v>
      </c>
      <c r="AM1" s="57">
        <f>Календарнийрік</f>
        <v>2012</v>
      </c>
    </row>
    <row r="2" spans="1:39" customFormat="1" ht="13.5" x14ac:dyDescent="0.25"/>
    <row r="3" spans="1:39" s="28" customFormat="1" ht="12.75" customHeight="1" x14ac:dyDescent="0.25">
      <c r="C3" s="43" t="str">
        <f>Текстпоясненьдокольорів</f>
        <v>ПОЯСНЕННЯ ДО КОЛЬОРІВ</v>
      </c>
      <c r="D3" s="50" t="str">
        <f>Код1</f>
        <v>З</v>
      </c>
      <c r="E3" s="67" t="str">
        <f>Код1текст</f>
        <v>Запізнення</v>
      </c>
      <c r="F3" s="58"/>
      <c r="H3" s="51" t="str">
        <f>Код2</f>
        <v>ПП</v>
      </c>
      <c r="I3" s="55" t="str">
        <f>Код2текст</f>
        <v>Поважна причина</v>
      </c>
      <c r="M3" s="52" t="str">
        <f>Код3</f>
        <v>П</v>
      </c>
      <c r="N3" s="55" t="str">
        <f>Код3текст</f>
        <v>Прогул</v>
      </c>
      <c r="Q3" s="53" t="str">
        <f>Код4</f>
        <v>Н</v>
      </c>
      <c r="R3" s="55" t="str">
        <f>Код4текст</f>
        <v>На місці</v>
      </c>
      <c r="U3" s="54" t="str">
        <f>Код5</f>
        <v>В</v>
      </c>
      <c r="V3" s="55" t="str">
        <f>Код5текст</f>
        <v>Вихідний</v>
      </c>
      <c r="W3"/>
      <c r="X3"/>
      <c r="Y3"/>
      <c r="AD3" s="27"/>
      <c r="AE3" s="27"/>
      <c r="AH3" s="29"/>
      <c r="AI3" s="30"/>
      <c r="AK3" s="31"/>
    </row>
    <row r="4" spans="1:39" customFormat="1" ht="16.5" customHeight="1" x14ac:dyDescent="0.25"/>
    <row r="5" spans="1:39" s="2" customFormat="1" ht="18" customHeight="1" x14ac:dyDescent="0.3">
      <c r="B5" s="60">
        <f>DATE(Календарнийрік+1,2,1)</f>
        <v>41306</v>
      </c>
      <c r="C5" s="59"/>
      <c r="D5" s="41" t="str">
        <f>TEXT(WEEKDAY(DATE(Календарнийрік+1,2,1),1),"aaa")</f>
        <v>Пт</v>
      </c>
      <c r="E5" s="41" t="str">
        <f>TEXT(WEEKDAY(DATE(Календарнийрік+1,2,2),1),"aaa")</f>
        <v>Сб</v>
      </c>
      <c r="F5" s="41" t="str">
        <f>TEXT(WEEKDAY(DATE(Календарнийрік+1,2,3),1),"aaa")</f>
        <v>Нд</v>
      </c>
      <c r="G5" s="41" t="str">
        <f>TEXT(WEEKDAY(DATE(Календарнийрік+1,2,4),1),"aaa")</f>
        <v>Пн</v>
      </c>
      <c r="H5" s="41" t="str">
        <f>TEXT(WEEKDAY(DATE(Календарнийрік+1,2,5),1),"aaa")</f>
        <v>Вт</v>
      </c>
      <c r="I5" s="41" t="str">
        <f>TEXT(WEEKDAY(DATE(Календарнийрік+1,2,6),1),"aaa")</f>
        <v>Ср</v>
      </c>
      <c r="J5" s="41" t="str">
        <f>TEXT(WEEKDAY(DATE(Календарнийрік+1,2,7),1),"aaa")</f>
        <v>Чт</v>
      </c>
      <c r="K5" s="41" t="str">
        <f>TEXT(WEEKDAY(DATE(Календарнийрік+1,2,8),1),"aaa")</f>
        <v>Пт</v>
      </c>
      <c r="L5" s="41" t="str">
        <f>TEXT(WEEKDAY(DATE(Календарнийрік+1,2,9),1),"aaa")</f>
        <v>Сб</v>
      </c>
      <c r="M5" s="41" t="str">
        <f>TEXT(WEEKDAY(DATE(Календарнийрік+1,2,10),1),"aaa")</f>
        <v>Нд</v>
      </c>
      <c r="N5" s="41" t="str">
        <f>TEXT(WEEKDAY(DATE(Календарнийрік+1,2,11),1),"aaa")</f>
        <v>Пн</v>
      </c>
      <c r="O5" s="41" t="str">
        <f>TEXT(WEEKDAY(DATE(Календарнийрік+1,2,12),1),"aaa")</f>
        <v>Вт</v>
      </c>
      <c r="P5" s="41" t="str">
        <f>TEXT(WEEKDAY(DATE(Календарнийрік+1,2,13),1),"aaa")</f>
        <v>Ср</v>
      </c>
      <c r="Q5" s="41" t="str">
        <f>TEXT(WEEKDAY(DATE(Календарнийрік+1,2,14),1),"aaa")</f>
        <v>Чт</v>
      </c>
      <c r="R5" s="41" t="str">
        <f>TEXT(WEEKDAY(DATE(Календарнийрік+1,2,15),1),"aaa")</f>
        <v>Пт</v>
      </c>
      <c r="S5" s="41" t="str">
        <f>TEXT(WEEKDAY(DATE(Календарнийрік+1,2,16),1),"aaa")</f>
        <v>Сб</v>
      </c>
      <c r="T5" s="41" t="str">
        <f>TEXT(WEEKDAY(DATE(Календарнийрік+1,2,17),1),"aaa")</f>
        <v>Нд</v>
      </c>
      <c r="U5" s="41" t="str">
        <f>TEXT(WEEKDAY(DATE(Календарнийрік+1,2,18),1),"aaa")</f>
        <v>Пн</v>
      </c>
      <c r="V5" s="41" t="str">
        <f>TEXT(WEEKDAY(DATE(Календарнийрік+1,2,19),1),"aaa")</f>
        <v>Вт</v>
      </c>
      <c r="W5" s="41" t="str">
        <f>TEXT(WEEKDAY(DATE(Календарнийрік+1,2,20),1),"aaa")</f>
        <v>Ср</v>
      </c>
      <c r="X5" s="41" t="str">
        <f>TEXT(WEEKDAY(DATE(Календарнийрік+1,2,21),1),"aaa")</f>
        <v>Чт</v>
      </c>
      <c r="Y5" s="41" t="str">
        <f>TEXT(WEEKDAY(DATE(Календарнийрік+1,2,22),1),"aaa")</f>
        <v>Пт</v>
      </c>
      <c r="Z5" s="41" t="str">
        <f>TEXT(WEEKDAY(DATE(Календарнийрік+1,2,23),1),"aaa")</f>
        <v>Сб</v>
      </c>
      <c r="AA5" s="41" t="str">
        <f>TEXT(WEEKDAY(DATE(Календарнийрік+1,2,24),1),"aaa")</f>
        <v>Нд</v>
      </c>
      <c r="AB5" s="41" t="str">
        <f>TEXT(WEEKDAY(DATE(Календарнийрік+1,2,25),1),"aaa")</f>
        <v>Пн</v>
      </c>
      <c r="AC5" s="41" t="str">
        <f>TEXT(WEEKDAY(DATE(Календарнийрік+1,2,26),1),"aaa")</f>
        <v>Вт</v>
      </c>
      <c r="AD5" s="41" t="str">
        <f>TEXT(WEEKDAY(DATE(Календарнийрік+1,2,27),1),"aaa")</f>
        <v>Ср</v>
      </c>
      <c r="AE5" s="41" t="str">
        <f>TEXT(WEEKDAY(DATE(Календарнийрік+1,2,28),1),"aaa")</f>
        <v>Чт</v>
      </c>
      <c r="AF5" s="41" t="str">
        <f>TEXT(WEEKDAY(DATE(Календарнийрік+1,2,29),1),"aaa")</f>
        <v>Пт</v>
      </c>
      <c r="AG5" s="41"/>
      <c r="AH5" s="41"/>
      <c r="AI5" s="131" t="s">
        <v>41</v>
      </c>
      <c r="AJ5" s="131"/>
      <c r="AK5" s="131"/>
      <c r="AL5" s="131"/>
      <c r="AM5" s="131"/>
    </row>
    <row r="6" spans="1:39" ht="14.25" customHeight="1" x14ac:dyDescent="0.25">
      <c r="B6" s="24" t="s">
        <v>34</v>
      </c>
      <c r="C6" s="25" t="s">
        <v>36</v>
      </c>
      <c r="D6" s="26" t="s">
        <v>0</v>
      </c>
      <c r="E6" s="26" t="s">
        <v>1</v>
      </c>
      <c r="F6" s="26" t="s">
        <v>2</v>
      </c>
      <c r="G6" s="26" t="s">
        <v>3</v>
      </c>
      <c r="H6" s="26" t="s">
        <v>4</v>
      </c>
      <c r="I6" s="26" t="s">
        <v>5</v>
      </c>
      <c r="J6" s="26" t="s">
        <v>6</v>
      </c>
      <c r="K6" s="26" t="s">
        <v>7</v>
      </c>
      <c r="L6" s="26" t="s">
        <v>8</v>
      </c>
      <c r="M6" s="26" t="s">
        <v>9</v>
      </c>
      <c r="N6" s="26" t="s">
        <v>10</v>
      </c>
      <c r="O6" s="26" t="s">
        <v>11</v>
      </c>
      <c r="P6" s="26" t="s">
        <v>12</v>
      </c>
      <c r="Q6" s="26" t="s">
        <v>13</v>
      </c>
      <c r="R6" s="26" t="s">
        <v>14</v>
      </c>
      <c r="S6" s="26" t="s">
        <v>15</v>
      </c>
      <c r="T6" s="26" t="s">
        <v>16</v>
      </c>
      <c r="U6" s="26" t="s">
        <v>17</v>
      </c>
      <c r="V6" s="26" t="s">
        <v>18</v>
      </c>
      <c r="W6" s="26" t="s">
        <v>19</v>
      </c>
      <c r="X6" s="26" t="s">
        <v>20</v>
      </c>
      <c r="Y6" s="26" t="s">
        <v>21</v>
      </c>
      <c r="Z6" s="26" t="s">
        <v>22</v>
      </c>
      <c r="AA6" s="26" t="s">
        <v>23</v>
      </c>
      <c r="AB6" s="26" t="s">
        <v>24</v>
      </c>
      <c r="AC6" s="26" t="s">
        <v>25</v>
      </c>
      <c r="AD6" s="26" t="s">
        <v>26</v>
      </c>
      <c r="AE6" s="26" t="s">
        <v>27</v>
      </c>
      <c r="AF6" s="26" t="s">
        <v>28</v>
      </c>
      <c r="AG6" s="26" t="s">
        <v>29</v>
      </c>
      <c r="AH6" s="26" t="s">
        <v>30</v>
      </c>
      <c r="AI6" s="71" t="s">
        <v>37</v>
      </c>
      <c r="AJ6" s="35" t="s">
        <v>39</v>
      </c>
      <c r="AK6" s="34" t="s">
        <v>38</v>
      </c>
      <c r="AL6" s="32" t="s">
        <v>31</v>
      </c>
      <c r="AM6" t="s">
        <v>40</v>
      </c>
    </row>
    <row r="7" spans="1:39" ht="16.5" customHeight="1" x14ac:dyDescent="0.25">
      <c r="B7" s="23"/>
      <c r="C7" s="19" t="str">
        <f>IFERROR(VLOOKUP(Відвідуваністьзалютий[[#This Row],[Код студента]],Перелікстудентів[],18,FALSE),"")</f>
        <v/>
      </c>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2"/>
      <c r="AG7" s="3"/>
      <c r="AH7" s="3"/>
      <c r="AI7" s="33">
        <f>COUNTIF(Відвідуваністьзалютий[[#This Row],[1]:[31]],Код1)</f>
        <v>0</v>
      </c>
      <c r="AJ7" s="33">
        <f>COUNTIF(Відвідуваністьзалютий[[#This Row],[1]:[31]],Код2)</f>
        <v>0</v>
      </c>
      <c r="AK7" s="33">
        <f>COUNTIF(Відвідуваністьзалютий[[#This Row],[1]:[31]],Код3)</f>
        <v>0</v>
      </c>
      <c r="AL7" s="33">
        <f>COUNTIF(Відвідуваністьзалютий[[#This Row],[1]:[31]],Код4)</f>
        <v>0</v>
      </c>
      <c r="AM7" s="6">
        <f>SUM(Відвідуваністьзавересень[[#This Row],[ПП]:[П]])</f>
        <v>0</v>
      </c>
    </row>
    <row r="8" spans="1:39" ht="16.5" customHeight="1" x14ac:dyDescent="0.25">
      <c r="B8" s="23"/>
      <c r="C8" s="19" t="str">
        <f>IFERROR(VLOOKUP(Відвідуваністьзалютий[[#This Row],[Код студента]],Перелікстудентів[],18,FALSE),"")</f>
        <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2"/>
      <c r="AG8" s="3"/>
      <c r="AH8" s="3"/>
      <c r="AI8" s="33">
        <f>COUNTIF(Відвідуваністьзалютий[[#This Row],[1]:[31]],Код1)</f>
        <v>0</v>
      </c>
      <c r="AJ8" s="33">
        <f>COUNTIF(Відвідуваністьзалютий[[#This Row],[1]:[31]],Код2)</f>
        <v>0</v>
      </c>
      <c r="AK8" s="33">
        <f>COUNTIF(Відвідуваністьзалютий[[#This Row],[1]:[31]],Код3)</f>
        <v>0</v>
      </c>
      <c r="AL8" s="33">
        <f>COUNTIF(Відвідуваністьзалютий[[#This Row],[1]:[31]],Код4)</f>
        <v>0</v>
      </c>
      <c r="AM8" s="6">
        <f>SUM(Відвідуваністьзавересень[[#This Row],[ПП]:[П]])</f>
        <v>0</v>
      </c>
    </row>
    <row r="9" spans="1:39" ht="16.5" customHeight="1" x14ac:dyDescent="0.25">
      <c r="B9" s="23"/>
      <c r="C9" s="19" t="str">
        <f>IFERROR(VLOOKUP(Відвідуваністьзалютий[[#This Row],[Код студента]],Перелікстудентів[],18,FALSE),"")</f>
        <v/>
      </c>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2"/>
      <c r="AG9" s="3"/>
      <c r="AH9" s="3"/>
      <c r="AI9" s="33">
        <f>COUNTIF(Відвідуваністьзалютий[[#This Row],[1]:[31]],Код1)</f>
        <v>0</v>
      </c>
      <c r="AJ9" s="33">
        <f>COUNTIF(Відвідуваністьзалютий[[#This Row],[1]:[31]],Код2)</f>
        <v>0</v>
      </c>
      <c r="AK9" s="33">
        <f>COUNTIF(Відвідуваністьзалютий[[#This Row],[1]:[31]],Код3)</f>
        <v>0</v>
      </c>
      <c r="AL9" s="33">
        <f>COUNTIF(Відвідуваністьзалютий[[#This Row],[1]:[31]],Код4)</f>
        <v>0</v>
      </c>
      <c r="AM9" s="6">
        <f>SUM(Відвідуваністьзавересень[[#This Row],[ПП]:[П]])</f>
        <v>0</v>
      </c>
    </row>
    <row r="10" spans="1:39" ht="16.5" customHeight="1" x14ac:dyDescent="0.25">
      <c r="B10" s="23"/>
      <c r="C10" s="19" t="str">
        <f>IFERROR(VLOOKUP(Відвідуваністьзалютий[[#This Row],[Код студента]],Перелікстудентів[],18,FALSE),"")</f>
        <v/>
      </c>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2"/>
      <c r="AG10" s="3"/>
      <c r="AH10" s="3"/>
      <c r="AI10" s="33">
        <f>COUNTIF(Відвідуваністьзалютий[[#This Row],[1]:[31]],Код1)</f>
        <v>0</v>
      </c>
      <c r="AJ10" s="33">
        <f>COUNTIF(Відвідуваністьзалютий[[#This Row],[1]:[31]],Код2)</f>
        <v>0</v>
      </c>
      <c r="AK10" s="33">
        <f>COUNTIF(Відвідуваністьзалютий[[#This Row],[1]:[31]],Код3)</f>
        <v>0</v>
      </c>
      <c r="AL10" s="33">
        <f>COUNTIF(Відвідуваністьзалютий[[#This Row],[1]:[31]],Код4)</f>
        <v>0</v>
      </c>
      <c r="AM10" s="6">
        <f>SUM(Відвідуваністьзавересень[[#This Row],[ПП]:[П]])</f>
        <v>0</v>
      </c>
    </row>
    <row r="11" spans="1:39" ht="16.5" customHeight="1" x14ac:dyDescent="0.25">
      <c r="B11" s="23"/>
      <c r="C11" s="19" t="str">
        <f>IFERROR(VLOOKUP(Відвідуваністьзалютий[[#This Row],[Код студента]],Перелікстудентів[],18,FALSE),"")</f>
        <v/>
      </c>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2"/>
      <c r="AG11" s="3"/>
      <c r="AH11" s="3"/>
      <c r="AI11" s="33">
        <f>COUNTIF(Відвідуваністьзалютий[[#This Row],[1]:[31]],Код1)</f>
        <v>0</v>
      </c>
      <c r="AJ11" s="33">
        <f>COUNTIF(Відвідуваністьзалютий[[#This Row],[1]:[31]],Код2)</f>
        <v>0</v>
      </c>
      <c r="AK11" s="33">
        <f>COUNTIF(Відвідуваністьзалютий[[#This Row],[1]:[31]],Код3)</f>
        <v>0</v>
      </c>
      <c r="AL11" s="33">
        <f>COUNTIF(Відвідуваністьзалютий[[#This Row],[1]:[31]],Код4)</f>
        <v>0</v>
      </c>
      <c r="AM11" s="6">
        <f>SUM(Відвідуваністьзавересень[[#This Row],[ПП]:[П]])</f>
        <v>0</v>
      </c>
    </row>
    <row r="12" spans="1:39" ht="16.5" customHeight="1" x14ac:dyDescent="0.25">
      <c r="B12" s="113"/>
      <c r="C12" s="114" t="s">
        <v>118</v>
      </c>
      <c r="D12" s="115">
        <f>COUNTIF(Відвідуваністьзалютий[1],"П")+COUNTIF(Відвідуваністьзалютий[1],"ПП")</f>
        <v>0</v>
      </c>
      <c r="E12" s="115">
        <f>COUNTIF(Відвідуваністьзалютий[2],"П")+COUNTIF(Відвідуваністьзалютий[2],"ПП")</f>
        <v>0</v>
      </c>
      <c r="F12" s="115">
        <f>COUNTIF(Відвідуваністьзалютий[3],"П")+COUNTIF(Відвідуваністьзалютий[3],"ПП")</f>
        <v>0</v>
      </c>
      <c r="G12" s="115">
        <f>COUNTIF(Відвідуваністьзалютий[4],"П")+COUNTIF(Відвідуваністьзалютий[4],"ПП")</f>
        <v>0</v>
      </c>
      <c r="H12" s="115">
        <f>COUNTIF(Відвідуваністьзалютий[5],"П")+COUNTIF(Відвідуваністьзалютий[5],"ПП")</f>
        <v>0</v>
      </c>
      <c r="I12" s="115">
        <f>COUNTIF(Відвідуваністьзалютий[6],"П")+COUNTIF(Відвідуваністьзалютий[6],"ПП")</f>
        <v>0</v>
      </c>
      <c r="J12" s="115">
        <f>COUNTIF(Відвідуваністьзалютий[7],"П")+COUNTIF(Відвідуваністьзалютий[7],"ПП")</f>
        <v>0</v>
      </c>
      <c r="K12" s="115">
        <f>COUNTIF(Відвідуваністьзалютий[8],"П")+COUNTIF(Відвідуваністьзалютий[8],"ПП")</f>
        <v>0</v>
      </c>
      <c r="L12" s="115">
        <f>COUNTIF(Відвідуваністьзалютий[9],"П")+COUNTIF(Відвідуваністьзалютий[9],"ПП")</f>
        <v>0</v>
      </c>
      <c r="M12" s="115">
        <f>COUNTIF(Відвідуваністьзалютий[10],"П")+COUNTIF(Відвідуваністьзалютий[10],"ПП")</f>
        <v>0</v>
      </c>
      <c r="N12" s="115">
        <f>COUNTIF(Відвідуваністьзалютий[11],"П")+COUNTIF(Відвідуваністьзалютий[11],"ПП")</f>
        <v>0</v>
      </c>
      <c r="O12" s="115">
        <f>COUNTIF(Відвідуваністьзалютий[12],"П")+COUNTIF(Відвідуваністьзалютий[12],"ПП")</f>
        <v>0</v>
      </c>
      <c r="P12" s="115">
        <f>COUNTIF(Відвідуваністьзалютий[13],"П")+COUNTIF(Відвідуваністьзалютий[13],"ПП")</f>
        <v>0</v>
      </c>
      <c r="Q12" s="115">
        <f>COUNTIF(Відвідуваністьзалютий[14],"П")+COUNTIF(Відвідуваністьзалютий[14],"ПП")</f>
        <v>0</v>
      </c>
      <c r="R12" s="115">
        <f>COUNTIF(Відвідуваністьзалютий[15],"П")+COUNTIF(Відвідуваністьзалютий[15],"ПП")</f>
        <v>0</v>
      </c>
      <c r="S12" s="115">
        <f>COUNTIF(Відвідуваністьзалютий[16],"П")+COUNTIF(Відвідуваністьзалютий[16],"ПП")</f>
        <v>0</v>
      </c>
      <c r="T12" s="115">
        <f>COUNTIF(Відвідуваністьзалютий[17],"П")+COUNTIF(Відвідуваністьзалютий[17],"ПП")</f>
        <v>0</v>
      </c>
      <c r="U12" s="115">
        <f>COUNTIF(Відвідуваністьзалютий[18],"П")+COUNTIF(Відвідуваністьзалютий[18],"ПП")</f>
        <v>0</v>
      </c>
      <c r="V12" s="115">
        <f>COUNTIF(Відвідуваністьзалютий[19],"П")+COUNTIF(Відвідуваністьзалютий[19],"ПП")</f>
        <v>0</v>
      </c>
      <c r="W12" s="115">
        <f>COUNTIF(Відвідуваністьзалютий[20],"П")+COUNTIF(Відвідуваністьзалютий[20],"ПП")</f>
        <v>0</v>
      </c>
      <c r="X12" s="115">
        <f>COUNTIF(Відвідуваністьзалютий[21],"П")+COUNTIF(Відвідуваністьзалютий[21],"ПП")</f>
        <v>0</v>
      </c>
      <c r="Y12" s="115">
        <f>COUNTIF(Відвідуваністьзалютий[22],"П")+COUNTIF(Відвідуваністьзалютий[22],"ПП")</f>
        <v>0</v>
      </c>
      <c r="Z12" s="115">
        <f>COUNTIF(Відвідуваністьзалютий[23],"П")+COUNTIF(Відвідуваністьзалютий[23],"ПП")</f>
        <v>0</v>
      </c>
      <c r="AA12" s="115">
        <f>COUNTIF(Відвідуваністьзалютий[24],"П")+COUNTIF(Відвідуваністьзалютий[24],"ПП")</f>
        <v>0</v>
      </c>
      <c r="AB12" s="115">
        <f>COUNTIF(Відвідуваністьзалютий[25],"П")+COUNTIF(Відвідуваністьзалютий[25],"ПП")</f>
        <v>0</v>
      </c>
      <c r="AC12" s="115">
        <f>COUNTIF(Відвідуваністьзалютий[26],"П")+COUNTIF(Відвідуваністьзалютий[26],"ПП")</f>
        <v>0</v>
      </c>
      <c r="AD12" s="115">
        <f>COUNTIF(Відвідуваністьзалютий[27],"П")+COUNTIF(Відвідуваністьзалютий[27],"ПП")</f>
        <v>0</v>
      </c>
      <c r="AE12" s="115">
        <f>COUNTIF(Відвідуваністьзалютий[28],"П")+COUNTIF(Відвідуваністьзалютий[28],"ПП")</f>
        <v>0</v>
      </c>
      <c r="AF12" s="115">
        <f>COUNTIF(Відвідуваністьзалютий[29],"П")+COUNTIF(Відвідуваністьзалютий[29],"ПП")</f>
        <v>0</v>
      </c>
      <c r="AG12" s="115">
        <f>COUNTIF(Відвідуваністьзалютий[30],"П")+COUNTIF(Відвідуваністьзалютий[30],"ПП")</f>
        <v>0</v>
      </c>
      <c r="AH12" s="115">
        <f>COUNTIF(Відвідуваністьзалютий[31],"П")+COUNTIF(Відвідуваністьзалютий[31],"ПП")</f>
        <v>0</v>
      </c>
      <c r="AI12" s="115">
        <f>SUBTOTAL(109,Відвідуваністьзалютий[З])</f>
        <v>0</v>
      </c>
      <c r="AJ12" s="115">
        <f>SUBTOTAL(109,Відвідуваністьзалютий[ПП])</f>
        <v>0</v>
      </c>
      <c r="AK12" s="115">
        <f>SUBTOTAL(109,Відвідуваністьзалютий[П])</f>
        <v>0</v>
      </c>
      <c r="AL12" s="115">
        <f>SUBTOTAL(109,Відвідуваністьзалютий[Н])</f>
        <v>0</v>
      </c>
      <c r="AM12" s="115">
        <f>SUBTOTAL(109,Відвідуваністьзалютий[Відсутність, дн.])</f>
        <v>0</v>
      </c>
    </row>
    <row r="14" spans="1:39" ht="16.5" customHeight="1" x14ac:dyDescent="0.25"/>
    <row r="15" spans="1:39" ht="16.5" customHeight="1" x14ac:dyDescent="0.25"/>
    <row r="16" spans="1:39"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sheetData>
  <sheetProtection formatCells="0" formatColumns="0" formatRows="0" insertColumns="0" insertRows="0" insertHyperlinks="0" deleteColumns="0" deleteRows="0" sort="0" autoFilter="0" pivotTables="0"/>
  <mergeCells count="1">
    <mergeCell ref="AI5:AM5"/>
  </mergeCells>
  <conditionalFormatting sqref="AM7:AM11">
    <cfRule type="dataBar" priority="3">
      <dataBar>
        <cfvo type="min"/>
        <cfvo type="num" val="DATEDIF(DATE(Календарнийрік,2,1),DATE(Календарнийрік,3,1),&quot;d&quot;)"/>
        <color theme="4"/>
      </dataBar>
      <extLst>
        <ext xmlns:x14="http://schemas.microsoft.com/office/spreadsheetml/2009/9/main" uri="{B025F937-C7B1-47D3-B67F-A62EFF666E3E}">
          <x14:id>{AB18F5F5-27F6-438D-8C1C-359FFE3EF7E4}</x14:id>
        </ext>
      </extLst>
    </cfRule>
  </conditionalFormatting>
  <conditionalFormatting sqref="AF5:AH5">
    <cfRule type="expression" dxfId="505" priority="2">
      <formula>DATE(Календарнийрік+1,2,AF6)&gt;EOMONTH(DATE(Календарнийрік+1,1,1),1)</formula>
    </cfRule>
  </conditionalFormatting>
  <conditionalFormatting sqref="D7:AF11">
    <cfRule type="expression" dxfId="504" priority="5" stopIfTrue="1">
      <formula>D7=Код2</formula>
    </cfRule>
  </conditionalFormatting>
  <conditionalFormatting sqref="D7:AF11">
    <cfRule type="expression" dxfId="503" priority="6" stopIfTrue="1">
      <formula>D7=Код5</formula>
    </cfRule>
    <cfRule type="expression" dxfId="502" priority="7" stopIfTrue="1">
      <formula>D7=Код4</formula>
    </cfRule>
    <cfRule type="expression" dxfId="501" priority="8" stopIfTrue="1">
      <formula>D7=Код3</formula>
    </cfRule>
    <cfRule type="expression" dxfId="500" priority="9" stopIfTrue="1">
      <formula>D7=Код1</formula>
    </cfRule>
  </conditionalFormatting>
  <conditionalFormatting sqref="AF6:AH6">
    <cfRule type="expression" dxfId="499" priority="1">
      <formula>DATE(Календарнийрік+1,2,AF6)&gt;EOMONTH(DATE(Календарнийрік+1,1,1),1)</formula>
    </cfRule>
  </conditionalFormatting>
  <dataValidations count="1">
    <dataValidation type="list" errorStyle="warning" allowBlank="1" showInputMessage="1" showErrorMessage="1" errorTitle="Отакої!" error="У списку студентів немає введеного коду. Ви можете натиснути кнопку ''Так'' і залишити введений код, але у звіті про відвідуваність він буде недоступний." sqref="B7:B11">
      <formula1>Ідентифікаторстудента</formula1>
    </dataValidation>
  </dataValidations>
  <printOptions horizontalCentered="1"/>
  <pageMargins left="0.5" right="0.5" top="0.75" bottom="0.75" header="0.3" footer="0.3"/>
  <pageSetup paperSize="9" scale="59" fitToHeight="0" orientation="landscape"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AB18F5F5-27F6-438D-8C1C-359FFE3EF7E4}">
            <x14:dataBar minLength="0" maxLength="100" border="1" negativeBarBorderColorSameAsPositive="0">
              <x14:cfvo type="autoMin"/>
              <x14:cfvo type="num">
                <xm:f>DATEDIF(DATE(Календарнийрік,2,1),DATE(Календарнийрік,3,1),"d")</xm:f>
              </x14:cfvo>
              <x14:borderColor theme="4"/>
              <x14:negativeFillColor rgb="FFFF0000"/>
              <x14:negativeBorderColor rgb="FFFF0000"/>
              <x14:axisColor rgb="FF000000"/>
            </x14:dataBar>
          </x14:cfRule>
          <xm:sqref>AM7:AM11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irectSourceMarket xmlns="360401dd-760e-448c-b001-b4002b6d12d2">english</DirectSourceMarket>
    <ApprovalStatus xmlns="360401dd-760e-448c-b001-b4002b6d12d2">InProgress</ApprovalStatus>
    <MarketSpecific xmlns="360401dd-760e-448c-b001-b4002b6d12d2">false</MarketSpecific>
    <LocComments xmlns="360401dd-760e-448c-b001-b4002b6d12d2" xsi:nil="true"/>
    <ThumbnailAssetId xmlns="360401dd-760e-448c-b001-b4002b6d12d2" xsi:nil="true"/>
    <PrimaryImageGen xmlns="360401dd-760e-448c-b001-b4002b6d12d2">true</PrimaryImageGen>
    <LegacyData xmlns="360401dd-760e-448c-b001-b4002b6d12d2" xsi:nil="true"/>
    <LocRecommendedHandoff xmlns="360401dd-760e-448c-b001-b4002b6d12d2" xsi:nil="true"/>
    <BusinessGroup xmlns="360401dd-760e-448c-b001-b4002b6d12d2" xsi:nil="true"/>
    <BlockPublish xmlns="360401dd-760e-448c-b001-b4002b6d12d2">false</BlockPublish>
    <TPFriendlyName xmlns="360401dd-760e-448c-b001-b4002b6d12d2" xsi:nil="true"/>
    <NumericId xmlns="360401dd-760e-448c-b001-b4002b6d12d2" xsi:nil="true"/>
    <APEditor xmlns="360401dd-760e-448c-b001-b4002b6d12d2">
      <UserInfo>
        <DisplayName/>
        <AccountId xsi:nil="true"/>
        <AccountType/>
      </UserInfo>
    </APEditor>
    <SourceTitle xmlns="360401dd-760e-448c-b001-b4002b6d12d2" xsi:nil="true"/>
    <OpenTemplate xmlns="360401dd-760e-448c-b001-b4002b6d12d2">true</OpenTemplate>
    <UALocComments xmlns="360401dd-760e-448c-b001-b4002b6d12d2" xsi:nil="true"/>
    <ParentAssetId xmlns="360401dd-760e-448c-b001-b4002b6d12d2" xsi:nil="true"/>
    <IntlLangReviewDate xmlns="360401dd-760e-448c-b001-b4002b6d12d2" xsi:nil="true"/>
    <FeatureTagsTaxHTField0 xmlns="360401dd-760e-448c-b001-b4002b6d12d2">
      <Terms xmlns="http://schemas.microsoft.com/office/infopath/2007/PartnerControls"/>
    </FeatureTagsTaxHTField0>
    <PublishStatusLookup xmlns="360401dd-760e-448c-b001-b4002b6d12d2">
      <Value>199329</Value>
    </PublishStatusLookup>
    <Providers xmlns="360401dd-760e-448c-b001-b4002b6d12d2" xsi:nil="true"/>
    <MachineTranslated xmlns="360401dd-760e-448c-b001-b4002b6d12d2">false</MachineTranslated>
    <OriginalSourceMarket xmlns="360401dd-760e-448c-b001-b4002b6d12d2">english</OriginalSourceMarket>
    <APDescription xmlns="360401dd-760e-448c-b001-b4002b6d12d2">Teachers can use this handy template to track the attendance of all their students by month and year. Detailed instructions are included.
</APDescription>
    <ClipArtFilename xmlns="360401dd-760e-448c-b001-b4002b6d12d2" xsi:nil="true"/>
    <ContentItem xmlns="360401dd-760e-448c-b001-b4002b6d12d2" xsi:nil="true"/>
    <TPInstallLocation xmlns="360401dd-760e-448c-b001-b4002b6d12d2" xsi:nil="true"/>
    <PublishTargets xmlns="360401dd-760e-448c-b001-b4002b6d12d2">OfficeOnlineVNext</PublishTargets>
    <TimesCloned xmlns="360401dd-760e-448c-b001-b4002b6d12d2" xsi:nil="true"/>
    <AssetStart xmlns="360401dd-760e-448c-b001-b4002b6d12d2">2011-12-15T00:32:00+00:00</AssetStart>
    <Provider xmlns="360401dd-760e-448c-b001-b4002b6d12d2" xsi:nil="true"/>
    <AcquiredFrom xmlns="360401dd-760e-448c-b001-b4002b6d12d2">Internal MS</AcquiredFrom>
    <FriendlyTitle xmlns="360401dd-760e-448c-b001-b4002b6d12d2" xsi:nil="true"/>
    <LastHandOff xmlns="360401dd-760e-448c-b001-b4002b6d12d2" xsi:nil="true"/>
    <TPClientViewer xmlns="360401dd-760e-448c-b001-b4002b6d12d2" xsi:nil="true"/>
    <UACurrentWords xmlns="360401dd-760e-448c-b001-b4002b6d12d2" xsi:nil="true"/>
    <ArtSampleDocs xmlns="360401dd-760e-448c-b001-b4002b6d12d2" xsi:nil="true"/>
    <UALocRecommendation xmlns="360401dd-760e-448c-b001-b4002b6d12d2">Localize</UALocRecommendation>
    <Manager xmlns="360401dd-760e-448c-b001-b4002b6d12d2" xsi:nil="true"/>
    <ShowIn xmlns="360401dd-760e-448c-b001-b4002b6d12d2">Show everywhere</ShowIn>
    <UANotes xmlns="360401dd-760e-448c-b001-b4002b6d12d2" xsi:nil="true"/>
    <TemplateStatus xmlns="360401dd-760e-448c-b001-b4002b6d12d2">Complete</TemplateStatus>
    <InternalTagsTaxHTField0 xmlns="360401dd-760e-448c-b001-b4002b6d12d2">
      <Terms xmlns="http://schemas.microsoft.com/office/infopath/2007/PartnerControls"/>
    </InternalTagsTaxHTField0>
    <CSXHash xmlns="360401dd-760e-448c-b001-b4002b6d12d2" xsi:nil="true"/>
    <Downloads xmlns="360401dd-760e-448c-b001-b4002b6d12d2">0</Downloads>
    <VoteCount xmlns="360401dd-760e-448c-b001-b4002b6d12d2" xsi:nil="true"/>
    <OOCacheId xmlns="360401dd-760e-448c-b001-b4002b6d12d2" xsi:nil="true"/>
    <IsDeleted xmlns="360401dd-760e-448c-b001-b4002b6d12d2">false</IsDeleted>
    <AssetExpire xmlns="360401dd-760e-448c-b001-b4002b6d12d2">2035-01-01T08:00:00+00:00</AssetExpire>
    <DSATActionTaken xmlns="360401dd-760e-448c-b001-b4002b6d12d2" xsi:nil="true"/>
    <CSXSubmissionMarket xmlns="360401dd-760e-448c-b001-b4002b6d12d2" xsi:nil="true"/>
    <TPExecutable xmlns="360401dd-760e-448c-b001-b4002b6d12d2" xsi:nil="true"/>
    <SubmitterId xmlns="360401dd-760e-448c-b001-b4002b6d12d2" xsi:nil="true"/>
    <EditorialTags xmlns="360401dd-760e-448c-b001-b4002b6d12d2" xsi:nil="true"/>
    <ApprovalLog xmlns="360401dd-760e-448c-b001-b4002b6d12d2" xsi:nil="true"/>
    <AssetType xmlns="360401dd-760e-448c-b001-b4002b6d12d2">TP</AssetType>
    <BugNumber xmlns="360401dd-760e-448c-b001-b4002b6d12d2" xsi:nil="true"/>
    <CSXSubmissionDate xmlns="360401dd-760e-448c-b001-b4002b6d12d2" xsi:nil="true"/>
    <CSXUpdate xmlns="360401dd-760e-448c-b001-b4002b6d12d2">false</CSXUpdate>
    <Milestone xmlns="360401dd-760e-448c-b001-b4002b6d12d2" xsi:nil="true"/>
    <RecommendationsModifier xmlns="360401dd-760e-448c-b001-b4002b6d12d2" xsi:nil="true"/>
    <OriginAsset xmlns="360401dd-760e-448c-b001-b4002b6d12d2" xsi:nil="true"/>
    <TPComponent xmlns="360401dd-760e-448c-b001-b4002b6d12d2" xsi:nil="true"/>
    <AssetId xmlns="360401dd-760e-448c-b001-b4002b6d12d2">TP102802368</AssetId>
    <IntlLocPriority xmlns="360401dd-760e-448c-b001-b4002b6d12d2" xsi:nil="true"/>
    <PolicheckWords xmlns="360401dd-760e-448c-b001-b4002b6d12d2" xsi:nil="true"/>
    <TPLaunchHelpLink xmlns="360401dd-760e-448c-b001-b4002b6d12d2" xsi:nil="true"/>
    <TPApplication xmlns="360401dd-760e-448c-b001-b4002b6d12d2" xsi:nil="true"/>
    <CrawlForDependencies xmlns="360401dd-760e-448c-b001-b4002b6d12d2">false</CrawlForDependencies>
    <HandoffToMSDN xmlns="360401dd-760e-448c-b001-b4002b6d12d2" xsi:nil="true"/>
    <PlannedPubDate xmlns="360401dd-760e-448c-b001-b4002b6d12d2" xsi:nil="true"/>
    <IntlLangReviewer xmlns="360401dd-760e-448c-b001-b4002b6d12d2" xsi:nil="true"/>
    <TrustLevel xmlns="360401dd-760e-448c-b001-b4002b6d12d2">1 Microsoft Managed Content</TrustLevel>
    <LocLastLocAttemptVersionLookup xmlns="360401dd-760e-448c-b001-b4002b6d12d2">712809</LocLastLocAttemptVersionLookup>
    <IsSearchable xmlns="360401dd-760e-448c-b001-b4002b6d12d2">true</IsSearchable>
    <TemplateTemplateType xmlns="360401dd-760e-448c-b001-b4002b6d12d2">Excel 2007 Default</TemplateTemplateType>
    <CampaignTagsTaxHTField0 xmlns="360401dd-760e-448c-b001-b4002b6d12d2">
      <Terms xmlns="http://schemas.microsoft.com/office/infopath/2007/PartnerControls"/>
    </CampaignTagsTaxHTField0>
    <TPNamespace xmlns="360401dd-760e-448c-b001-b4002b6d12d2" xsi:nil="true"/>
    <TaxCatchAll xmlns="360401dd-760e-448c-b001-b4002b6d12d2"/>
    <Markets xmlns="360401dd-760e-448c-b001-b4002b6d12d2"/>
    <UAProjectedTotalWords xmlns="360401dd-760e-448c-b001-b4002b6d12d2" xsi:nil="true"/>
    <IntlLangReview xmlns="360401dd-760e-448c-b001-b4002b6d12d2">false</IntlLangReview>
    <OutputCachingOn xmlns="360401dd-760e-448c-b001-b4002b6d12d2">false</OutputCachingOn>
    <APAuthor xmlns="360401dd-760e-448c-b001-b4002b6d12d2">
      <UserInfo>
        <DisplayName>REDMOND\v-aptall</DisplayName>
        <AccountId>2566</AccountId>
        <AccountType/>
      </UserInfo>
    </APAuthor>
    <LocManualTestRequired xmlns="360401dd-760e-448c-b001-b4002b6d12d2">false</LocManualTestRequired>
    <TPCommandLine xmlns="360401dd-760e-448c-b001-b4002b6d12d2" xsi:nil="true"/>
    <TPAppVersion xmlns="360401dd-760e-448c-b001-b4002b6d12d2" xsi:nil="true"/>
    <EditorialStatus xmlns="360401dd-760e-448c-b001-b4002b6d12d2">Complete</EditorialStatus>
    <LastModifiedDateTime xmlns="360401dd-760e-448c-b001-b4002b6d12d2" xsi:nil="true"/>
    <ScenarioTagsTaxHTField0 xmlns="360401dd-760e-448c-b001-b4002b6d12d2">
      <Terms xmlns="http://schemas.microsoft.com/office/infopath/2007/PartnerControls"/>
    </ScenarioTagsTaxHTField0>
    <OriginalRelease xmlns="360401dd-760e-448c-b001-b4002b6d12d2">14</OriginalRelease>
    <TPLaunchHelpLinkType xmlns="360401dd-760e-448c-b001-b4002b6d12d2">Template</TPLaunchHelpLinkType>
    <LocalizationTagsTaxHTField0 xmlns="360401dd-760e-448c-b001-b4002b6d12d2">
      <Terms xmlns="http://schemas.microsoft.com/office/infopath/2007/PartnerControls"/>
    </LocalizationTagsTaxHTField0>
    <LocMarketGroupTiers2 xmlns="360401dd-760e-448c-b001-b4002b6d12d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98F566CBBF44DA4180A6A1C2AF3AC0E104001C4FC99F8281AF45831A18891735BEB6" ma:contentTypeVersion="56" ma:contentTypeDescription="Create a new document." ma:contentTypeScope="" ma:versionID="b7173fa2c26ba86d94d6d27ce81b110f">
  <xsd:schema xmlns:xsd="http://www.w3.org/2001/XMLSchema" xmlns:xs="http://www.w3.org/2001/XMLSchema" xmlns:p="http://schemas.microsoft.com/office/2006/metadata/properties" xmlns:ns2="360401dd-760e-448c-b001-b4002b6d12d2" targetNamespace="http://schemas.microsoft.com/office/2006/metadata/properties" ma:root="true" ma:fieldsID="d16d50da2b575352b2e7d1822738bf13" ns2:_="">
    <xsd:import namespace="360401dd-760e-448c-b001-b4002b6d12d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0401dd-760e-448c-b001-b4002b6d12d2"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e291684f-a575-4d2a-8581-55941586852b}"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B6C589C3-3D56-4FD6-8F98-0F9A787DEEB7}" ma:internalName="CSXSubmissionMarket" ma:readOnly="false" ma:showField="MarketName" ma:web="360401dd-760e-448c-b001-b4002b6d12d2">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1abb3a9a-b7ee-4322-bd60-6ec3d570fe67}"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05613A9F-690E-47A3-AFA9-4EF05BD38A9E}" ma:internalName="InProjectListLookup" ma:readOnly="true" ma:showField="InProjectList"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6a228ecf-473b-4323-b0cc-83b2fdc4e093}"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05613A9F-690E-47A3-AFA9-4EF05BD38A9E}" ma:internalName="LastCompleteVersionLookup" ma:readOnly="true" ma:showField="LastCompleteVersion"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05613A9F-690E-47A3-AFA9-4EF05BD38A9E}" ma:internalName="LastPreviewErrorLookup" ma:readOnly="true" ma:showField="LastPreviewError"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05613A9F-690E-47A3-AFA9-4EF05BD38A9E}" ma:internalName="LastPreviewResultLookup" ma:readOnly="true" ma:showField="LastPreviewResult"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05613A9F-690E-47A3-AFA9-4EF05BD38A9E}" ma:internalName="LastPreviewAttemptDateLookup" ma:readOnly="true" ma:showField="LastPreviewAttemptDate"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05613A9F-690E-47A3-AFA9-4EF05BD38A9E}" ma:internalName="LastPreviewedByLookup" ma:readOnly="true" ma:showField="LastPreviewedBy"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05613A9F-690E-47A3-AFA9-4EF05BD38A9E}" ma:internalName="LastPreviewTimeLookup" ma:readOnly="true" ma:showField="LastPreviewTime"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05613A9F-690E-47A3-AFA9-4EF05BD38A9E}" ma:internalName="LastPreviewVersionLookup" ma:readOnly="true" ma:showField="LastPreviewVersion"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05613A9F-690E-47A3-AFA9-4EF05BD38A9E}" ma:internalName="LastPublishErrorLookup" ma:readOnly="true" ma:showField="LastPublishError"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05613A9F-690E-47A3-AFA9-4EF05BD38A9E}" ma:internalName="LastPublishResultLookup" ma:readOnly="true" ma:showField="LastPublishResult"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05613A9F-690E-47A3-AFA9-4EF05BD38A9E}" ma:internalName="LastPublishAttemptDateLookup" ma:readOnly="true" ma:showField="LastPublishAttemptDate"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05613A9F-690E-47A3-AFA9-4EF05BD38A9E}" ma:internalName="LastPublishedByLookup" ma:readOnly="true" ma:showField="LastPublishedBy"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05613A9F-690E-47A3-AFA9-4EF05BD38A9E}" ma:internalName="LastPublishTimeLookup" ma:readOnly="true" ma:showField="LastPublishTime"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05613A9F-690E-47A3-AFA9-4EF05BD38A9E}" ma:internalName="LastPublishVersionLookup" ma:readOnly="true" ma:showField="LastPublishVersion"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9C267394-8C53-48FF-B8CE-2725993CFF14}" ma:internalName="LocLastLocAttemptVersionLookup" ma:readOnly="false" ma:showField="LastLocAttemptVersion" ma:web="360401dd-760e-448c-b001-b4002b6d12d2">
      <xsd:simpleType>
        <xsd:restriction base="dms:Lookup"/>
      </xsd:simpleType>
    </xsd:element>
    <xsd:element name="LocLastLocAttemptVersionTypeLookup" ma:index="71" nillable="true" ma:displayName="Loc Last Loc Attempt Version Type" ma:default="" ma:list="{9C267394-8C53-48FF-B8CE-2725993CFF14}" ma:internalName="LocLastLocAttemptVersionTypeLookup" ma:readOnly="true" ma:showField="LastLocAttemptVersionType" ma:web="360401dd-760e-448c-b001-b4002b6d12d2">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9C267394-8C53-48FF-B8CE-2725993CFF14}" ma:internalName="LocNewPublishedVersionLookup" ma:readOnly="true" ma:showField="NewPublishedVersion" ma:web="360401dd-760e-448c-b001-b4002b6d12d2">
      <xsd:simpleType>
        <xsd:restriction base="dms:Lookup"/>
      </xsd:simpleType>
    </xsd:element>
    <xsd:element name="LocOverallHandbackStatusLookup" ma:index="75" nillable="true" ma:displayName="Loc Overall Handback Status" ma:default="" ma:list="{9C267394-8C53-48FF-B8CE-2725993CFF14}" ma:internalName="LocOverallHandbackStatusLookup" ma:readOnly="true" ma:showField="OverallHandbackStatus" ma:web="360401dd-760e-448c-b001-b4002b6d12d2">
      <xsd:simpleType>
        <xsd:restriction base="dms:Lookup"/>
      </xsd:simpleType>
    </xsd:element>
    <xsd:element name="LocOverallLocStatusLookup" ma:index="76" nillable="true" ma:displayName="Loc Overall Localize Status" ma:default="" ma:list="{9C267394-8C53-48FF-B8CE-2725993CFF14}" ma:internalName="LocOverallLocStatusLookup" ma:readOnly="true" ma:showField="OverallLocStatus" ma:web="360401dd-760e-448c-b001-b4002b6d12d2">
      <xsd:simpleType>
        <xsd:restriction base="dms:Lookup"/>
      </xsd:simpleType>
    </xsd:element>
    <xsd:element name="LocOverallPreviewStatusLookup" ma:index="77" nillable="true" ma:displayName="Loc Overall Preview Status" ma:default="" ma:list="{9C267394-8C53-48FF-B8CE-2725993CFF14}" ma:internalName="LocOverallPreviewStatusLookup" ma:readOnly="true" ma:showField="OverallPreviewStatus" ma:web="360401dd-760e-448c-b001-b4002b6d12d2">
      <xsd:simpleType>
        <xsd:restriction base="dms:Lookup"/>
      </xsd:simpleType>
    </xsd:element>
    <xsd:element name="LocOverallPublishStatusLookup" ma:index="78" nillable="true" ma:displayName="Loc Overall Publish Status" ma:default="" ma:list="{9C267394-8C53-48FF-B8CE-2725993CFF14}" ma:internalName="LocOverallPublishStatusLookup" ma:readOnly="true" ma:showField="OverallPublishStatus" ma:web="360401dd-760e-448c-b001-b4002b6d12d2">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9C267394-8C53-48FF-B8CE-2725993CFF14}" ma:internalName="LocProcessedForHandoffsLookup" ma:readOnly="true" ma:showField="ProcessedForHandoffs" ma:web="360401dd-760e-448c-b001-b4002b6d12d2">
      <xsd:simpleType>
        <xsd:restriction base="dms:Lookup"/>
      </xsd:simpleType>
    </xsd:element>
    <xsd:element name="LocProcessedForMarketsLookup" ma:index="81" nillable="true" ma:displayName="Loc Processed For Markets" ma:default="" ma:list="{9C267394-8C53-48FF-B8CE-2725993CFF14}" ma:internalName="LocProcessedForMarketsLookup" ma:readOnly="true" ma:showField="ProcessedForMarkets" ma:web="360401dd-760e-448c-b001-b4002b6d12d2">
      <xsd:simpleType>
        <xsd:restriction base="dms:Lookup"/>
      </xsd:simpleType>
    </xsd:element>
    <xsd:element name="LocPublishedDependentAssetsLookup" ma:index="82" nillable="true" ma:displayName="Loc Published Dependent Assets" ma:default="" ma:list="{9C267394-8C53-48FF-B8CE-2725993CFF14}" ma:internalName="LocPublishedDependentAssetsLookup" ma:readOnly="true" ma:showField="PublishedDependentAssets" ma:web="360401dd-760e-448c-b001-b4002b6d12d2">
      <xsd:simpleType>
        <xsd:restriction base="dms:Lookup"/>
      </xsd:simpleType>
    </xsd:element>
    <xsd:element name="LocPublishedLinkedAssetsLookup" ma:index="83" nillable="true" ma:displayName="Loc Published Linked Assets" ma:default="" ma:list="{9C267394-8C53-48FF-B8CE-2725993CFF14}" ma:internalName="LocPublishedLinkedAssetsLookup" ma:readOnly="true" ma:showField="PublishedLinkedAssets" ma:web="360401dd-760e-448c-b001-b4002b6d12d2">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97b61706-47a0-414d-b446-69da6b820605}"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B6C589C3-3D56-4FD6-8F98-0F9A787DEEB7}" ma:internalName="Markets" ma:readOnly="false" ma:showField="MarketName"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05613A9F-690E-47A3-AFA9-4EF05BD38A9E}" ma:internalName="NumOfRatingsLookup" ma:readOnly="true" ma:showField="NumOfRatings"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05613A9F-690E-47A3-AFA9-4EF05BD38A9E}" ma:internalName="PublishStatusLookup" ma:readOnly="false" ma:showField="PublishStatus"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61ed4a50-5893-45d9-8a2e-7533c7e8710a}"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53ab5541-2daf-4611-96fd-62a823f4d569}" ma:internalName="TaxCatchAll" ma:showField="CatchAllData"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53ab5541-2daf-4611-96fd-62a823f4d569}" ma:internalName="TaxCatchAllLabel" ma:readOnly="true" ma:showField="CatchAllDataLabel" ma:web="360401dd-760e-448c-b001-b4002b6d12d2">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CD18CD-13F4-472B-B1AB-DDBE2AC449C0}"/>
</file>

<file path=customXml/itemProps2.xml><?xml version="1.0" encoding="utf-8"?>
<ds:datastoreItem xmlns:ds="http://schemas.openxmlformats.org/officeDocument/2006/customXml" ds:itemID="{E8F49177-07E4-4945-8B2E-E6385401DEBD}"/>
</file>

<file path=customXml/itemProps3.xml><?xml version="1.0" encoding="utf-8"?>
<ds:datastoreItem xmlns:ds="http://schemas.openxmlformats.org/officeDocument/2006/customXml" ds:itemID="{F1232730-2D4F-4761-A1B1-5C7C56ADE8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15</vt:i4>
      </vt:variant>
      <vt:variant>
        <vt:lpstr>Іменовані діапазони</vt:lpstr>
      </vt:variant>
      <vt:variant>
        <vt:i4>15</vt:i4>
      </vt:variant>
    </vt:vector>
  </HeadingPairs>
  <TitlesOfParts>
    <vt:vector size="30" baseType="lpstr">
      <vt:lpstr>ІНСТРУКЦІЇ</vt:lpstr>
      <vt:lpstr>Список студентів</vt:lpstr>
      <vt:lpstr>Серпень</vt:lpstr>
      <vt:lpstr>Вересень</vt:lpstr>
      <vt:lpstr>Жовтень</vt:lpstr>
      <vt:lpstr>Листопад</vt:lpstr>
      <vt:lpstr>Грудень</vt:lpstr>
      <vt:lpstr>Січень</vt:lpstr>
      <vt:lpstr>Лютий</vt:lpstr>
      <vt:lpstr>Березень</vt:lpstr>
      <vt:lpstr>Квітень</vt:lpstr>
      <vt:lpstr>Травень</vt:lpstr>
      <vt:lpstr>Червень</vt:lpstr>
      <vt:lpstr>Липень</vt:lpstr>
      <vt:lpstr>Звіт про відвідуваність</vt:lpstr>
      <vt:lpstr>Ідентифікаторстудента</vt:lpstr>
      <vt:lpstr>Ім’ястудента</vt:lpstr>
      <vt:lpstr>Календарнийрік</vt:lpstr>
      <vt:lpstr>Код1</vt:lpstr>
      <vt:lpstr>Код1текст</vt:lpstr>
      <vt:lpstr>Код2</vt:lpstr>
      <vt:lpstr>Код2текст</vt:lpstr>
      <vt:lpstr>Код3</vt:lpstr>
      <vt:lpstr>Код3текст</vt:lpstr>
      <vt:lpstr>Код4</vt:lpstr>
      <vt:lpstr>Код4текст</vt:lpstr>
      <vt:lpstr>Код5</vt:lpstr>
      <vt:lpstr>Код5текст</vt:lpstr>
      <vt:lpstr>Пошукстудента</vt:lpstr>
      <vt:lpstr>Текстпоясненьдокольорів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Petr Barborik</cp:lastModifiedBy>
  <dcterms:created xsi:type="dcterms:W3CDTF">2011-04-01T16:06:21Z</dcterms:created>
  <dcterms:modified xsi:type="dcterms:W3CDTF">2013-04-17T13:43:15Z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0x01010098F566CBBF44DA4180A6A1C2AF3AC0E104001C4FC99F8281AF45831A18891735BEB6</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ies>
</file>