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6"/>
  <workbookPr/>
  <mc:AlternateContent xmlns:mc="http://schemas.openxmlformats.org/markup-compatibility/2006">
    <mc:Choice Requires="x15">
      <x15ac:absPath xmlns:x15ac="http://schemas.microsoft.com/office/spreadsheetml/2010/11/ac" url="https://bcsloctest5-my.sharepoint.com/personal/pubmed_templates_bcsloctest5_onmicrosoft_com/Documents/WordTech_20190719_Excel_Word_Win32_Q1_P2/04_PreDTP_Done/tr-TR/"/>
    </mc:Choice>
  </mc:AlternateContent>
  <xr:revisionPtr revIDLastSave="15" documentId="13_ncr:1_{655A847D-B4B7-4EAD-AA8F-7F2F5E029215}" xr6:coauthVersionLast="44" xr6:coauthVersionMax="44" xr10:uidLastSave="{1C221746-E838-47AF-A72B-0A847BE372D8}"/>
  <bookViews>
    <workbookView xWindow="-120" yWindow="-120" windowWidth="28770" windowHeight="14280" tabRatio="686" xr2:uid="{00000000-000D-0000-FFFF-FFFF00000000}"/>
  </bookViews>
  <sheets>
    <sheet name="Ocak" sheetId="4" r:id="rId1"/>
    <sheet name="Şubat" sheetId="5" r:id="rId2"/>
    <sheet name="Mart" sheetId="17" r:id="rId3"/>
    <sheet name="Nisan" sheetId="18" r:id="rId4"/>
    <sheet name="Mayıs" sheetId="19" r:id="rId5"/>
    <sheet name="Haziran" sheetId="20" r:id="rId6"/>
    <sheet name="Temmuz" sheetId="21" r:id="rId7"/>
    <sheet name="Ağustos" sheetId="22" r:id="rId8"/>
    <sheet name="Eylül" sheetId="23" r:id="rId9"/>
    <sheet name="Ekim" sheetId="24" r:id="rId10"/>
    <sheet name="Kasım" sheetId="25" r:id="rId11"/>
    <sheet name="Aralık" sheetId="15" r:id="rId12"/>
    <sheet name="Çalışan Adları" sheetId="16" r:id="rId13"/>
  </sheets>
  <definedNames>
    <definedName name="AnahtarHasta">Ocak!$K$2</definedName>
    <definedName name="AnahtarHastaEtiketi">Ocak!$L$2</definedName>
    <definedName name="AnahtarKişisel">Ocak!$G$2</definedName>
    <definedName name="AnahtarKişiselEtiketi">Ocak!$H$2</definedName>
    <definedName name="AnahtarÖzel1">Ocak!$N$2</definedName>
    <definedName name="AnahtarÖzel1Etiketi">Ocak!$O$2</definedName>
    <definedName name="AnahtarÖzel2">Ocak!$R$2</definedName>
    <definedName name="AnahtarÖzel2Etiketi">Ocak!$S$2</definedName>
    <definedName name="AnahtarTatil">Ocak!$C$2</definedName>
    <definedName name="AnahtarTatilEtiketi">Ocak!$D$2</definedName>
    <definedName name="AyAdı" localSheetId="7">Ağustos!$B$4</definedName>
    <definedName name="AyAdı" localSheetId="11">Aralık!$B$4</definedName>
    <definedName name="AyAdı" localSheetId="9">Ekim!$B$4</definedName>
    <definedName name="AyAdı" localSheetId="8">Eylül!$B$4</definedName>
    <definedName name="AyAdı" localSheetId="5">Haziran!$B$4</definedName>
    <definedName name="AyAdı" localSheetId="10">Kasım!$B$4</definedName>
    <definedName name="AyAdı" localSheetId="2">Mart!$B$4</definedName>
    <definedName name="AyAdı" localSheetId="4">Mayıs!$B$4</definedName>
    <definedName name="AyAdı" localSheetId="3">Nisan!$B$4</definedName>
    <definedName name="AyAdı" localSheetId="0">Ocak!$B$4</definedName>
    <definedName name="AyAdı" localSheetId="1">Şubat!$B$4</definedName>
    <definedName name="AyAdı" localSheetId="6">Temmuz!$B$4</definedName>
    <definedName name="Başlık1">Ocak[[#Headers],[Çalışan Adı]]</definedName>
    <definedName name="Başlık10">Ekim[[#Headers],[Çalışan Adı]]</definedName>
    <definedName name="Başlık11">Kasım[[#Headers],[Çalışan Adı]]</definedName>
    <definedName name="Başlık12">Aralık[[#Headers],[Çalışan Adı]]</definedName>
    <definedName name="Başlık2">Şubat[[#Headers],[Çalışan Adı]]</definedName>
    <definedName name="Başlık3">Mart[[#Headers],[Çalışan Adı]]</definedName>
    <definedName name="Başlık4">Nisan[[#Headers],[Çalışan Adı]]</definedName>
    <definedName name="Başlık5">Mayıs[[#Headers],[Çalışan Adı]]</definedName>
    <definedName name="Başlık6">Haziran[[#Headers],[Çalışan Adı]]</definedName>
    <definedName name="Başlık7">Temmuz[[#Headers],[Çalışan Adı]]</definedName>
    <definedName name="Başlık8">Ağustos[[#Headers],[Çalışan Adı]]</definedName>
    <definedName name="Başlık9">Eylül[[#Headers],[Çalışan Adı]]</definedName>
    <definedName name="Employee_Absence_Title">Ocak!$B$1</definedName>
    <definedName name="Key_name">Ocak!$B$2</definedName>
    <definedName name="SütunBaşlığı13">ÇalışanAdı[[#Headers],[Çalışan Adları]]</definedName>
    <definedName name="TakvimYılı">Ocak!$AH$4</definedName>
    <definedName name="_xlnm.Print_Titles" localSheetId="7">Ağustos!$4:$6</definedName>
    <definedName name="_xlnm.Print_Titles" localSheetId="11">Aralık!$4:$6</definedName>
    <definedName name="_xlnm.Print_Titles" localSheetId="9">Ekim!$4:$6</definedName>
    <definedName name="_xlnm.Print_Titles" localSheetId="8">Eylül!$4:$6</definedName>
    <definedName name="_xlnm.Print_Titles" localSheetId="5">Haziran!$4:$6</definedName>
    <definedName name="_xlnm.Print_Titles" localSheetId="10">Kasım!$4:$6</definedName>
    <definedName name="_xlnm.Print_Titles" localSheetId="2">Mart!$4:$6</definedName>
    <definedName name="_xlnm.Print_Titles" localSheetId="4">Mayıs!$4:$6</definedName>
    <definedName name="_xlnm.Print_Titles" localSheetId="3">Nisan!$4:$6</definedName>
    <definedName name="_xlnm.Print_Titles" localSheetId="0">Ocak!$4:$6</definedName>
    <definedName name="_xlnm.Print_Titles" localSheetId="1">Şubat!$4:$6</definedName>
    <definedName name="_xlnm.Print_Titles" localSheetId="6">Temmuz!$4:$6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4"/>
  <c r="B12" i="23"/>
  <c r="B12" i="22"/>
  <c r="B12" i="21"/>
  <c r="B12" i="20"/>
  <c r="B12" i="19"/>
  <c r="B12" i="18"/>
  <c r="B12" i="17"/>
  <c r="B12" i="5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12" i="4"/>
  <c r="B12" i="25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D12" i="25" l="1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21" l="1"/>
  <c r="AH12" i="17"/>
  <c r="AH12" i="22"/>
  <c r="AH12" i="25"/>
  <c r="AH12" i="20"/>
  <c r="AH12" i="19"/>
  <c r="AH12" i="24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H12" i="5" l="1"/>
  <c r="AH7" i="4"/>
  <c r="AH8" i="4"/>
  <c r="AH12" i="4" l="1"/>
</calcChain>
</file>

<file path=xl/sharedStrings.xml><?xml version="1.0" encoding="utf-8"?>
<sst xmlns="http://schemas.openxmlformats.org/spreadsheetml/2006/main" count="643" uniqueCount="65">
  <si>
    <t>Çalışan Devamsızlığı Zaman Çizelgesi</t>
  </si>
  <si>
    <t>Devamsızlık Türü Anahtarı</t>
  </si>
  <si>
    <t>Ocak</t>
  </si>
  <si>
    <t>Çalışan Adı</t>
  </si>
  <si>
    <t>Çalışan 1</t>
  </si>
  <si>
    <t>Çalışan 2</t>
  </si>
  <si>
    <t>Çalışan 3</t>
  </si>
  <si>
    <t>Çalışan 4</t>
  </si>
  <si>
    <t>Çalışan 5</t>
  </si>
  <si>
    <t>T</t>
  </si>
  <si>
    <t>Devamsızlık Tarihleri</t>
  </si>
  <si>
    <t>1</t>
  </si>
  <si>
    <t>Tatil</t>
  </si>
  <si>
    <t>2</t>
  </si>
  <si>
    <t>3</t>
  </si>
  <si>
    <t>K</t>
  </si>
  <si>
    <t>4</t>
  </si>
  <si>
    <t>H</t>
  </si>
  <si>
    <t>5</t>
  </si>
  <si>
    <t>Kişisel</t>
  </si>
  <si>
    <t>6</t>
  </si>
  <si>
    <t>7</t>
  </si>
  <si>
    <t>8</t>
  </si>
  <si>
    <t>9</t>
  </si>
  <si>
    <t>Hastalık</t>
  </si>
  <si>
    <t>10</t>
  </si>
  <si>
    <t>11</t>
  </si>
  <si>
    <t>12</t>
  </si>
  <si>
    <t>Özel 1</t>
  </si>
  <si>
    <t>13</t>
  </si>
  <si>
    <t>14</t>
  </si>
  <si>
    <t>15</t>
  </si>
  <si>
    <t>16</t>
  </si>
  <si>
    <t>Özel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</si>
  <si>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</si>
  <si>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</si>
  <si>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</si>
  <si>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</si>
  <si>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</si>
  <si>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</si>
  <si>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</si>
  <si>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</si>
  <si>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</si>
  <si>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</si>
  <si>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</si>
  <si>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</si>
  <si>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</si>
  <si>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</si>
  <si>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</si>
  <si>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Yılı girin:</t>
  </si>
  <si>
    <t>Toplam Gün</t>
  </si>
  <si>
    <t>Şubat</t>
  </si>
  <si>
    <t xml:space="preserve"> </t>
  </si>
  <si>
    <t xml:space="preserve">  </t>
  </si>
  <si>
    <t>Mart</t>
  </si>
  <si>
    <t>Nisan</t>
  </si>
  <si>
    <t>May</t>
  </si>
  <si>
    <t>Haziran</t>
  </si>
  <si>
    <t>Temmuz</t>
  </si>
  <si>
    <t>Ağustos</t>
  </si>
  <si>
    <t>Eylül</t>
  </si>
  <si>
    <t>Ekim</t>
  </si>
  <si>
    <t>Kasım</t>
  </si>
  <si>
    <t>Aralık</t>
  </si>
  <si>
    <t>Çalışan Adları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</si>
</sst>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0;0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49">
    <cellStyle name="%20 - Vurgu1" xfId="15" builtinId="30" customBuiltin="1"/>
    <cellStyle name="%20 - Vurgu2" xfId="44" builtinId="34" customBuiltin="1"/>
    <cellStyle name="%20 - Vurgu3" xfId="21" builtinId="38" customBuiltin="1"/>
    <cellStyle name="%20 - Vurgu4" xfId="7" builtinId="42" customBuiltin="1"/>
    <cellStyle name="%20 - Vurgu5" xfId="47" builtinId="46" customBuiltin="1"/>
    <cellStyle name="%20 - Vurgu6" xfId="11" builtinId="50" customBuiltin="1"/>
    <cellStyle name="%40 - Vurgu1" xfId="16" builtinId="31" customBuiltin="1"/>
    <cellStyle name="%40 - Vurgu2" xfId="19" builtinId="35" customBuiltin="1"/>
    <cellStyle name="%40 - Vurgu3" xfId="22" builtinId="39" customBuiltin="1"/>
    <cellStyle name="%40 - Vurgu4" xfId="8" builtinId="43" customBuiltin="1"/>
    <cellStyle name="%40 - Vurgu5" xfId="24" builtinId="47" customBuiltin="1"/>
    <cellStyle name="%40 - Vurgu6" xfId="12" builtinId="51" customBuiltin="1"/>
    <cellStyle name="%60 - Vurgu1" xfId="17" builtinId="32" customBuiltin="1"/>
    <cellStyle name="%60 - Vurgu2" xfId="45" builtinId="36" customBuiltin="1"/>
    <cellStyle name="%60 - Vurgu3" xfId="23" builtinId="40" customBuiltin="1"/>
    <cellStyle name="%60 - Vurgu4" xfId="9" builtinId="44" customBuiltin="1"/>
    <cellStyle name="%60 - Vurgu5" xfId="48" builtinId="48" customBuiltin="1"/>
    <cellStyle name="%60 - Vurgu6" xfId="13" builtinId="52" customBuiltin="1"/>
    <cellStyle name="Açıklama Metni" xfId="43" builtinId="53" customBuiltin="1"/>
    <cellStyle name="Ana Başlık" xfId="1" builtinId="15" customBuiltin="1"/>
    <cellStyle name="Bağlı Hücre" xfId="3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29" builtinId="6" customBuiltin="1"/>
    <cellStyle name="Çalışan" xfId="26" xr:uid="{00000000-0005-0000-0000-000013000000}"/>
    <cellStyle name="Çıkış" xfId="37" builtinId="21" customBuiltin="1"/>
    <cellStyle name="Etiket" xfId="27" xr:uid="{00000000-0005-0000-0000-000018000000}"/>
    <cellStyle name="Giriş" xfId="36" builtinId="20" customBuiltin="1"/>
    <cellStyle name="Hesaplama" xfId="38" builtinId="22" customBuiltin="1"/>
    <cellStyle name="İşaretli Hücre" xfId="40" builtinId="23" customBuiltin="1"/>
    <cellStyle name="İyi" xfId="33" builtinId="26" customBuiltin="1"/>
    <cellStyle name="Kötü" xfId="34" builtinId="27" customBuiltin="1"/>
    <cellStyle name="Normal" xfId="0" builtinId="0" customBuiltin="1"/>
    <cellStyle name="Not" xfId="42" builtinId="10" customBuiltin="1"/>
    <cellStyle name="Nötr" xfId="35" builtinId="28" customBuiltin="1"/>
    <cellStyle name="ParaBirimi" xfId="30" builtinId="4" customBuiltin="1"/>
    <cellStyle name="ParaBirimi [0]" xfId="31" builtinId="7" customBuiltin="1"/>
    <cellStyle name="Toplam" xfId="25" builtinId="25" customBuiltin="1"/>
    <cellStyle name="Uyarı Metni" xfId="41" builtinId="11" customBuiltin="1"/>
    <cellStyle name="Virgül" xfId="28" builtinId="3" customBuiltin="1"/>
    <cellStyle name="Vurgu1" xfId="14" builtinId="29" customBuiltin="1"/>
    <cellStyle name="Vurgu2" xfId="18" builtinId="33" customBuiltin="1"/>
    <cellStyle name="Vurgu3" xfId="20" builtinId="37" customBuiltin="1"/>
    <cellStyle name="Vurgu4" xfId="6" builtinId="41" customBuiltin="1"/>
    <cellStyle name="Vurgu5" xfId="46" builtinId="45" customBuiltin="1"/>
    <cellStyle name="Vurgu6" xfId="10" builtinId="49" customBuiltin="1"/>
    <cellStyle name="Yüzde" xfId="32" builtinId="5" customBuiltin="1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Çalışan Devamsızlık Tablosu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Ocak" displayName="Ocak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Çalışan Adı" totalsRowFunction="custom" dataDxfId="885" totalsRowDxfId="362" dataCellStyle="Çalışan">
      <totalsRowFormula>AyAdı&amp;" Toplamı"</totalsRowFormula>
    </tableColumn>
    <tableColumn id="2" xr3:uid="{00000000-0010-0000-0000-000002000000}" name="1" totalsRowFunction="custom" dataDxfId="884" totalsRowDxfId="361">
      <totalsRowFormula>SUBTOTAL(103,Ocak!$C$7:$C$11)</totalsRowFormula>
    </tableColumn>
    <tableColumn id="3" xr3:uid="{00000000-0010-0000-0000-000003000000}" name="2" totalsRowFunction="custom" dataDxfId="883" totalsRowDxfId="360">
      <totalsRowFormula>SUBTOTAL(103,Ocak!$D$7:$D$11)</totalsRowFormula>
    </tableColumn>
    <tableColumn id="4" xr3:uid="{00000000-0010-0000-0000-000004000000}" name="3" totalsRowFunction="custom" dataDxfId="882" totalsRowDxfId="359">
      <totalsRowFormula>SUBTOTAL(103,Ocak!$E$7:$E$11)</totalsRowFormula>
    </tableColumn>
    <tableColumn id="5" xr3:uid="{00000000-0010-0000-0000-000005000000}" name="4" totalsRowFunction="custom" dataDxfId="881" totalsRowDxfId="358">
      <totalsRowFormula>SUBTOTAL(103,Ocak!$F$7:$F$11)</totalsRowFormula>
    </tableColumn>
    <tableColumn id="6" xr3:uid="{00000000-0010-0000-0000-000006000000}" name="5" totalsRowFunction="custom" totalsRowDxfId="357">
      <totalsRowFormula>SUBTOTAL(103,Ocak!$G$7:$G$11)</totalsRowFormula>
    </tableColumn>
    <tableColumn id="7" xr3:uid="{00000000-0010-0000-0000-000007000000}" name="6" totalsRowFunction="custom" dataDxfId="880" totalsRowDxfId="356">
      <totalsRowFormula>SUBTOTAL(103,Ocak!$H$7:$H$11)</totalsRowFormula>
    </tableColumn>
    <tableColumn id="8" xr3:uid="{00000000-0010-0000-0000-000008000000}" name="7" totalsRowFunction="custom" dataDxfId="879" totalsRowDxfId="355">
      <totalsRowFormula>SUBTOTAL(103,Ocak!$I$7:$I$11)</totalsRowFormula>
    </tableColumn>
    <tableColumn id="9" xr3:uid="{00000000-0010-0000-0000-000009000000}" name="8" totalsRowFunction="custom" dataDxfId="878" totalsRowDxfId="354">
      <totalsRowFormula>SUBTOTAL(103,Ocak!$J$7:$J$11)</totalsRowFormula>
    </tableColumn>
    <tableColumn id="10" xr3:uid="{00000000-0010-0000-0000-00000A000000}" name="9" totalsRowFunction="custom" dataDxfId="877" totalsRowDxfId="353">
      <totalsRowFormula>SUBTOTAL(103,Ocak!$K$7:$K$11)</totalsRowFormula>
    </tableColumn>
    <tableColumn id="11" xr3:uid="{00000000-0010-0000-0000-00000B000000}" name="10" totalsRowFunction="custom" dataDxfId="876" totalsRowDxfId="352">
      <totalsRowFormula>SUBTOTAL(103,Ocak!$L$7:$L$11)</totalsRowFormula>
    </tableColumn>
    <tableColumn id="12" xr3:uid="{00000000-0010-0000-0000-00000C000000}" name="11" totalsRowFunction="custom" dataDxfId="875" totalsRowDxfId="351">
      <totalsRowFormula>SUBTOTAL(103,Ocak!$M$7:$M$11)</totalsRowFormula>
    </tableColumn>
    <tableColumn id="13" xr3:uid="{00000000-0010-0000-0000-00000D000000}" name="12" totalsRowFunction="custom" dataDxfId="874" totalsRowDxfId="350">
      <totalsRowFormula>SUBTOTAL(103,Ocak!$N$7:$N$11)</totalsRowFormula>
    </tableColumn>
    <tableColumn id="14" xr3:uid="{00000000-0010-0000-0000-00000E000000}" name="13" totalsRowFunction="custom" dataDxfId="873" totalsRowDxfId="349">
      <totalsRowFormula>SUBTOTAL(103,Ocak!$O$7:$O$11)</totalsRowFormula>
    </tableColumn>
    <tableColumn id="15" xr3:uid="{00000000-0010-0000-0000-00000F000000}" name="14" totalsRowFunction="custom" dataDxfId="872" totalsRowDxfId="348">
      <totalsRowFormula>SUBTOTAL(103,Ocak!$P$7:$P$11)</totalsRowFormula>
    </tableColumn>
    <tableColumn id="16" xr3:uid="{00000000-0010-0000-0000-000010000000}" name="15" totalsRowFunction="custom" dataDxfId="871" totalsRowDxfId="347">
      <totalsRowFormula>SUBTOTAL(103,Ocak!$Q$7:$Q$11)</totalsRowFormula>
    </tableColumn>
    <tableColumn id="17" xr3:uid="{00000000-0010-0000-0000-000011000000}" name="16" totalsRowFunction="custom" dataDxfId="870" totalsRowDxfId="346">
      <totalsRowFormula>SUBTOTAL(103,Ocak!$R$7:$R$11)</totalsRowFormula>
    </tableColumn>
    <tableColumn id="18" xr3:uid="{00000000-0010-0000-0000-000012000000}" name="17" totalsRowFunction="custom" dataDxfId="869" totalsRowDxfId="345">
      <totalsRowFormula>SUBTOTAL(103,Ocak!$S$7:$S$11)</totalsRowFormula>
    </tableColumn>
    <tableColumn id="19" xr3:uid="{00000000-0010-0000-0000-000013000000}" name="18" totalsRowFunction="custom" dataDxfId="868" totalsRowDxfId="344">
      <totalsRowFormula>SUBTOTAL(103,Ocak!$T$7:$T$11)</totalsRowFormula>
    </tableColumn>
    <tableColumn id="20" xr3:uid="{00000000-0010-0000-0000-000014000000}" name="19" totalsRowFunction="custom" dataDxfId="867" totalsRowDxfId="343">
      <totalsRowFormula>SUBTOTAL(103,Ocak!$U$7:$U$11)</totalsRowFormula>
    </tableColumn>
    <tableColumn id="21" xr3:uid="{00000000-0010-0000-0000-000015000000}" name="20" totalsRowFunction="custom" dataDxfId="866" totalsRowDxfId="342">
      <totalsRowFormula>SUBTOTAL(103,Ocak!$V$7:$V$11)</totalsRowFormula>
    </tableColumn>
    <tableColumn id="22" xr3:uid="{00000000-0010-0000-0000-000016000000}" name="21" totalsRowFunction="custom" dataDxfId="865" totalsRowDxfId="341">
      <totalsRowFormula>SUBTOTAL(103,Ocak!$W$7:$W$11)</totalsRowFormula>
    </tableColumn>
    <tableColumn id="23" xr3:uid="{00000000-0010-0000-0000-000017000000}" name="22" totalsRowFunction="custom" dataDxfId="864" totalsRowDxfId="340">
      <totalsRowFormula>SUBTOTAL(103,Ocak!$X$7:$X$11)</totalsRowFormula>
    </tableColumn>
    <tableColumn id="24" xr3:uid="{00000000-0010-0000-0000-000018000000}" name="23" totalsRowFunction="custom" dataDxfId="863" totalsRowDxfId="339">
      <totalsRowFormula>SUBTOTAL(103,Ocak!$Y$7:$Y$11)</totalsRowFormula>
    </tableColumn>
    <tableColumn id="25" xr3:uid="{00000000-0010-0000-0000-000019000000}" name="24" totalsRowFunction="custom" dataDxfId="862" totalsRowDxfId="338">
      <totalsRowFormula>SUBTOTAL(103,Ocak!$Z$7:$Z$11)</totalsRowFormula>
    </tableColumn>
    <tableColumn id="26" xr3:uid="{00000000-0010-0000-0000-00001A000000}" name="25" totalsRowFunction="custom" dataDxfId="861" totalsRowDxfId="337">
      <totalsRowFormula>SUBTOTAL(103,Ocak!$AA$7:$AA$11)</totalsRowFormula>
    </tableColumn>
    <tableColumn id="27" xr3:uid="{00000000-0010-0000-0000-00001B000000}" name="26" totalsRowFunction="custom" dataDxfId="860" totalsRowDxfId="336">
      <totalsRowFormula>SUBTOTAL(103,Ocak!$AB$7:$AB$11)</totalsRowFormula>
    </tableColumn>
    <tableColumn id="28" xr3:uid="{00000000-0010-0000-0000-00001C000000}" name="27" totalsRowFunction="custom" dataDxfId="859" totalsRowDxfId="335">
      <totalsRowFormula>SUBTOTAL(103,Ocak!$AC$7:$AC$11)</totalsRowFormula>
    </tableColumn>
    <tableColumn id="29" xr3:uid="{00000000-0010-0000-0000-00001D000000}" name="28" totalsRowFunction="custom" dataDxfId="858" totalsRowDxfId="334">
      <totalsRowFormula>SUBTOTAL(103,Ocak!$AD$7:$AD$11)</totalsRowFormula>
    </tableColumn>
    <tableColumn id="30" xr3:uid="{00000000-0010-0000-0000-00001E000000}" name="29" totalsRowFunction="custom" dataDxfId="857" totalsRowDxfId="333">
      <totalsRowFormula>SUBTOTAL(103,Ocak!$AE$7:$AE$11)</totalsRowFormula>
    </tableColumn>
    <tableColumn id="31" xr3:uid="{00000000-0010-0000-0000-00001F000000}" name="30" totalsRowFunction="custom" dataDxfId="856" totalsRowDxfId="332">
      <totalsRowFormula>SUBTOTAL(103,Ocak!$AF$7:$AF$11)</totalsRowFormula>
    </tableColumn>
    <tableColumn id="32" xr3:uid="{00000000-0010-0000-0000-000020000000}" name="31" totalsRowFunction="custom" dataDxfId="855" totalsRowDxfId="331">
      <totalsRowFormula>SUBTOTAL(103,Ocak!$AG$7:$AG$11)</totalsRowFormula>
    </tableColumn>
    <tableColumn id="33" xr3:uid="{00000000-0010-0000-0000-000021000000}" name="Toplam Gün" totalsRowFunction="sum" dataDxfId="854" totalsRowDxfId="330">
      <calculatedColumnFormula>COUNTA(Ocak!$C7:$AG7)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Ekim" displayName="Ekim" ref="B6:AH12" totalsRowCount="1" headerRowDxfId="565" dataDxfId="564" totalsRowDxfId="563">
  <tableColumns count="33">
    <tableColumn id="1" xr3:uid="{00000000-0010-0000-0900-000001000000}" name="Çalışan Adı" totalsRowFunction="custom" dataDxfId="562" totalsRowDxfId="65" dataCellStyle="Çalışan">
      <totalsRowFormula>AyAdı&amp;" Toplamı"</totalsRowFormula>
    </tableColumn>
    <tableColumn id="2" xr3:uid="{00000000-0010-0000-0900-000002000000}" name="1" totalsRowFunction="count" dataDxfId="561" totalsRowDxfId="64"/>
    <tableColumn id="3" xr3:uid="{00000000-0010-0000-0900-000003000000}" name="2" totalsRowFunction="count" dataDxfId="560" totalsRowDxfId="63"/>
    <tableColumn id="4" xr3:uid="{00000000-0010-0000-0900-000004000000}" name="3" totalsRowFunction="count" dataDxfId="559" totalsRowDxfId="62"/>
    <tableColumn id="5" xr3:uid="{00000000-0010-0000-0900-000005000000}" name="4" totalsRowFunction="count" dataDxfId="558" totalsRowDxfId="61"/>
    <tableColumn id="6" xr3:uid="{00000000-0010-0000-0900-000006000000}" name="5" totalsRowFunction="count" dataDxfId="557" totalsRowDxfId="60"/>
    <tableColumn id="7" xr3:uid="{00000000-0010-0000-0900-000007000000}" name="6" totalsRowFunction="count" dataDxfId="556" totalsRowDxfId="59"/>
    <tableColumn id="8" xr3:uid="{00000000-0010-0000-0900-000008000000}" name="7" totalsRowFunction="count" dataDxfId="555" totalsRowDxfId="58"/>
    <tableColumn id="9" xr3:uid="{00000000-0010-0000-0900-000009000000}" name="8" totalsRowFunction="count" dataDxfId="554" totalsRowDxfId="57"/>
    <tableColumn id="10" xr3:uid="{00000000-0010-0000-0900-00000A000000}" name="9" totalsRowFunction="count" dataDxfId="553" totalsRowDxfId="56"/>
    <tableColumn id="11" xr3:uid="{00000000-0010-0000-0900-00000B000000}" name="10" totalsRowFunction="count" dataDxfId="552" totalsRowDxfId="55"/>
    <tableColumn id="12" xr3:uid="{00000000-0010-0000-0900-00000C000000}" name="11" totalsRowFunction="count" dataDxfId="551" totalsRowDxfId="54"/>
    <tableColumn id="13" xr3:uid="{00000000-0010-0000-0900-00000D000000}" name="12" totalsRowFunction="count" dataDxfId="550" totalsRowDxfId="53"/>
    <tableColumn id="14" xr3:uid="{00000000-0010-0000-0900-00000E000000}" name="13" totalsRowFunction="count" dataDxfId="549" totalsRowDxfId="52"/>
    <tableColumn id="15" xr3:uid="{00000000-0010-0000-0900-00000F000000}" name="14" totalsRowFunction="count" dataDxfId="548" totalsRowDxfId="51"/>
    <tableColumn id="16" xr3:uid="{00000000-0010-0000-0900-000010000000}" name="15" totalsRowFunction="count" dataDxfId="547" totalsRowDxfId="50"/>
    <tableColumn id="17" xr3:uid="{00000000-0010-0000-0900-000011000000}" name="16" totalsRowFunction="count" dataDxfId="546" totalsRowDxfId="49"/>
    <tableColumn id="18" xr3:uid="{00000000-0010-0000-0900-000012000000}" name="17" totalsRowFunction="count" dataDxfId="545" totalsRowDxfId="48"/>
    <tableColumn id="19" xr3:uid="{00000000-0010-0000-0900-000013000000}" name="18" totalsRowFunction="count" dataDxfId="544" totalsRowDxfId="47"/>
    <tableColumn id="20" xr3:uid="{00000000-0010-0000-0900-000014000000}" name="19" totalsRowFunction="count" dataDxfId="543" totalsRowDxfId="46"/>
    <tableColumn id="21" xr3:uid="{00000000-0010-0000-0900-000015000000}" name="20" totalsRowFunction="count" dataDxfId="542" totalsRowDxfId="45"/>
    <tableColumn id="22" xr3:uid="{00000000-0010-0000-0900-000016000000}" name="21" totalsRowFunction="count" dataDxfId="541" totalsRowDxfId="44"/>
    <tableColumn id="23" xr3:uid="{00000000-0010-0000-0900-000017000000}" name="22" totalsRowFunction="count" dataDxfId="540" totalsRowDxfId="43"/>
    <tableColumn id="24" xr3:uid="{00000000-0010-0000-0900-000018000000}" name="23" totalsRowFunction="count" dataDxfId="539" totalsRowDxfId="42"/>
    <tableColumn id="25" xr3:uid="{00000000-0010-0000-0900-000019000000}" name="24" totalsRowFunction="count" dataDxfId="538" totalsRowDxfId="41"/>
    <tableColumn id="26" xr3:uid="{00000000-0010-0000-0900-00001A000000}" name="25" totalsRowFunction="count" dataDxfId="537" totalsRowDxfId="40"/>
    <tableColumn id="27" xr3:uid="{00000000-0010-0000-0900-00001B000000}" name="26" totalsRowFunction="count" dataDxfId="536" totalsRowDxfId="39"/>
    <tableColumn id="28" xr3:uid="{00000000-0010-0000-0900-00001C000000}" name="27" totalsRowFunction="count" dataDxfId="535" totalsRowDxfId="38"/>
    <tableColumn id="29" xr3:uid="{00000000-0010-0000-0900-00001D000000}" name="28" totalsRowFunction="count" dataDxfId="534" totalsRowDxfId="37"/>
    <tableColumn id="30" xr3:uid="{00000000-0010-0000-0900-00001E000000}" name="29" totalsRowFunction="count" dataDxfId="533" totalsRowDxfId="36"/>
    <tableColumn id="31" xr3:uid="{00000000-0010-0000-0900-00001F000000}" name="30" totalsRowFunction="count" dataDxfId="532" totalsRowDxfId="35"/>
    <tableColumn id="32" xr3:uid="{00000000-0010-0000-0900-000020000000}" name="31" totalsRowFunction="count" dataDxfId="531" totalsRowDxfId="34"/>
    <tableColumn id="33" xr3:uid="{00000000-0010-0000-0900-000021000000}" name="Toplam Gün" totalsRowFunction="sum" dataDxfId="530" totalsRowDxfId="33">
      <calculatedColumnFormula>COUNTA(Ekim[[#This Row],[1]:[31]])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Kasım" displayName="Kasım" ref="B6:AH12" totalsRowCount="1" headerRowDxfId="529" dataDxfId="528" totalsRowDxfId="527">
  <tableColumns count="33">
    <tableColumn id="1" xr3:uid="{00000000-0010-0000-0A00-000001000000}" name="Çalışan Adı" totalsRowFunction="custom" dataDxfId="526" totalsRowDxfId="457" dataCellStyle="Çalışan">
      <totalsRowFormula>AyAdı&amp;" Toplamı"</totalsRowFormula>
    </tableColumn>
    <tableColumn id="2" xr3:uid="{00000000-0010-0000-0A00-000002000000}" name="1" totalsRowFunction="count" dataDxfId="525" totalsRowDxfId="456"/>
    <tableColumn id="3" xr3:uid="{00000000-0010-0000-0A00-000003000000}" name="2" totalsRowFunction="count" dataDxfId="524" totalsRowDxfId="455"/>
    <tableColumn id="4" xr3:uid="{00000000-0010-0000-0A00-000004000000}" name="3" totalsRowFunction="count" dataDxfId="523" totalsRowDxfId="454"/>
    <tableColumn id="5" xr3:uid="{00000000-0010-0000-0A00-000005000000}" name="4" totalsRowFunction="count" dataDxfId="522" totalsRowDxfId="453"/>
    <tableColumn id="6" xr3:uid="{00000000-0010-0000-0A00-000006000000}" name="5" totalsRowFunction="count" dataDxfId="521" totalsRowDxfId="452"/>
    <tableColumn id="7" xr3:uid="{00000000-0010-0000-0A00-000007000000}" name="6" totalsRowFunction="count" dataDxfId="520" totalsRowDxfId="451"/>
    <tableColumn id="8" xr3:uid="{00000000-0010-0000-0A00-000008000000}" name="7" totalsRowFunction="count" dataDxfId="519" totalsRowDxfId="450"/>
    <tableColumn id="9" xr3:uid="{00000000-0010-0000-0A00-000009000000}" name="8" totalsRowFunction="count" dataDxfId="518" totalsRowDxfId="449"/>
    <tableColumn id="10" xr3:uid="{00000000-0010-0000-0A00-00000A000000}" name="9" totalsRowFunction="count" dataDxfId="517" totalsRowDxfId="448"/>
    <tableColumn id="11" xr3:uid="{00000000-0010-0000-0A00-00000B000000}" name="10" totalsRowFunction="count" dataDxfId="516" totalsRowDxfId="447"/>
    <tableColumn id="12" xr3:uid="{00000000-0010-0000-0A00-00000C000000}" name="11" totalsRowFunction="count" dataDxfId="515" totalsRowDxfId="446"/>
    <tableColumn id="13" xr3:uid="{00000000-0010-0000-0A00-00000D000000}" name="12" totalsRowFunction="count" dataDxfId="514" totalsRowDxfId="445"/>
    <tableColumn id="14" xr3:uid="{00000000-0010-0000-0A00-00000E000000}" name="13" totalsRowFunction="count" dataDxfId="513" totalsRowDxfId="444"/>
    <tableColumn id="15" xr3:uid="{00000000-0010-0000-0A00-00000F000000}" name="14" totalsRowFunction="count" dataDxfId="512" totalsRowDxfId="443"/>
    <tableColumn id="16" xr3:uid="{00000000-0010-0000-0A00-000010000000}" name="15" totalsRowFunction="count" dataDxfId="511" totalsRowDxfId="442"/>
    <tableColumn id="17" xr3:uid="{00000000-0010-0000-0A00-000011000000}" name="16" totalsRowFunction="count" dataDxfId="510" totalsRowDxfId="441"/>
    <tableColumn id="18" xr3:uid="{00000000-0010-0000-0A00-000012000000}" name="17" totalsRowFunction="count" dataDxfId="509" totalsRowDxfId="440"/>
    <tableColumn id="19" xr3:uid="{00000000-0010-0000-0A00-000013000000}" name="18" totalsRowFunction="count" dataDxfId="508" totalsRowDxfId="439"/>
    <tableColumn id="20" xr3:uid="{00000000-0010-0000-0A00-000014000000}" name="19" totalsRowFunction="count" dataDxfId="507" totalsRowDxfId="438"/>
    <tableColumn id="21" xr3:uid="{00000000-0010-0000-0A00-000015000000}" name="20" totalsRowFunction="count" dataDxfId="506" totalsRowDxfId="437"/>
    <tableColumn id="22" xr3:uid="{00000000-0010-0000-0A00-000016000000}" name="21" totalsRowFunction="count" dataDxfId="505" totalsRowDxfId="436"/>
    <tableColumn id="23" xr3:uid="{00000000-0010-0000-0A00-000017000000}" name="22" totalsRowFunction="count" dataDxfId="504" totalsRowDxfId="435"/>
    <tableColumn id="24" xr3:uid="{00000000-0010-0000-0A00-000018000000}" name="23" totalsRowFunction="count" dataDxfId="503" totalsRowDxfId="434"/>
    <tableColumn id="25" xr3:uid="{00000000-0010-0000-0A00-000019000000}" name="24" totalsRowFunction="count" dataDxfId="502" totalsRowDxfId="433"/>
    <tableColumn id="26" xr3:uid="{00000000-0010-0000-0A00-00001A000000}" name="25" totalsRowFunction="count" dataDxfId="501" totalsRowDxfId="432"/>
    <tableColumn id="27" xr3:uid="{00000000-0010-0000-0A00-00001B000000}" name="26" totalsRowFunction="count" dataDxfId="500" totalsRowDxfId="431"/>
    <tableColumn id="28" xr3:uid="{00000000-0010-0000-0A00-00001C000000}" name="27" totalsRowFunction="count" dataDxfId="499" totalsRowDxfId="430"/>
    <tableColumn id="29" xr3:uid="{00000000-0010-0000-0A00-00001D000000}" name="28" totalsRowFunction="count" dataDxfId="498" totalsRowDxfId="429"/>
    <tableColumn id="30" xr3:uid="{00000000-0010-0000-0A00-00001E000000}" name="29" totalsRowFunction="count" dataDxfId="497" totalsRowDxfId="428"/>
    <tableColumn id="31" xr3:uid="{00000000-0010-0000-0A00-00001F000000}" name="30" totalsRowFunction="count" dataDxfId="496" totalsRowDxfId="427"/>
    <tableColumn id="32" xr3:uid="{00000000-0010-0000-0A00-000020000000}" name=" " totalsRowFunction="count" dataDxfId="495" totalsRowDxfId="426"/>
    <tableColumn id="33" xr3:uid="{00000000-0010-0000-0A00-000021000000}" name="Toplam Gün" totalsRowFunction="sum" dataDxfId="494" totalsRowDxfId="425">
      <calculatedColumnFormula>COUNTA(Kasım[[#This Row],[1]:[30]])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Aralık" displayName="Aralık" ref="B6:AH12" totalsRowCount="1" headerRowDxfId="493" dataDxfId="492" totalsRowDxfId="491">
  <tableColumns count="33">
    <tableColumn id="1" xr3:uid="{00000000-0010-0000-0B00-000001000000}" name="Çalışan Adı" totalsRowFunction="custom" dataDxfId="490" totalsRowDxfId="32" dataCellStyle="Çalışan">
      <totalsRowFormula>AyAdı&amp;" Toplamı"</totalsRowFormula>
    </tableColumn>
    <tableColumn id="2" xr3:uid="{00000000-0010-0000-0B00-000002000000}" name="1" totalsRowFunction="count" dataDxfId="489" totalsRowDxfId="31"/>
    <tableColumn id="3" xr3:uid="{00000000-0010-0000-0B00-000003000000}" name="2" totalsRowFunction="count" dataDxfId="488" totalsRowDxfId="30"/>
    <tableColumn id="4" xr3:uid="{00000000-0010-0000-0B00-000004000000}" name="3" totalsRowFunction="count" dataDxfId="487" totalsRowDxfId="29"/>
    <tableColumn id="5" xr3:uid="{00000000-0010-0000-0B00-000005000000}" name="4" totalsRowFunction="count" dataDxfId="486" totalsRowDxfId="28"/>
    <tableColumn id="6" xr3:uid="{00000000-0010-0000-0B00-000006000000}" name="5" totalsRowFunction="count" dataDxfId="485" totalsRowDxfId="27"/>
    <tableColumn id="7" xr3:uid="{00000000-0010-0000-0B00-000007000000}" name="6" totalsRowFunction="count" dataDxfId="484" totalsRowDxfId="26"/>
    <tableColumn id="8" xr3:uid="{00000000-0010-0000-0B00-000008000000}" name="7" totalsRowFunction="count" dataDxfId="483" totalsRowDxfId="25"/>
    <tableColumn id="9" xr3:uid="{00000000-0010-0000-0B00-000009000000}" name="8" totalsRowFunction="count" dataDxfId="482" totalsRowDxfId="24"/>
    <tableColumn id="10" xr3:uid="{00000000-0010-0000-0B00-00000A000000}" name="9" totalsRowFunction="count" dataDxfId="481" totalsRowDxfId="23"/>
    <tableColumn id="11" xr3:uid="{00000000-0010-0000-0B00-00000B000000}" name="10" totalsRowFunction="count" dataDxfId="480" totalsRowDxfId="22"/>
    <tableColumn id="12" xr3:uid="{00000000-0010-0000-0B00-00000C000000}" name="11" totalsRowFunction="count" dataDxfId="479" totalsRowDxfId="21"/>
    <tableColumn id="13" xr3:uid="{00000000-0010-0000-0B00-00000D000000}" name="12" totalsRowFunction="count" dataDxfId="478" totalsRowDxfId="20"/>
    <tableColumn id="14" xr3:uid="{00000000-0010-0000-0B00-00000E000000}" name="13" totalsRowFunction="count" dataDxfId="477" totalsRowDxfId="19"/>
    <tableColumn id="15" xr3:uid="{00000000-0010-0000-0B00-00000F000000}" name="14" totalsRowFunction="count" dataDxfId="476" totalsRowDxfId="18"/>
    <tableColumn id="16" xr3:uid="{00000000-0010-0000-0B00-000010000000}" name="15" totalsRowFunction="count" dataDxfId="475" totalsRowDxfId="17"/>
    <tableColumn id="17" xr3:uid="{00000000-0010-0000-0B00-000011000000}" name="16" totalsRowFunction="count" dataDxfId="474" totalsRowDxfId="16"/>
    <tableColumn id="18" xr3:uid="{00000000-0010-0000-0B00-000012000000}" name="17" totalsRowFunction="count" dataDxfId="473" totalsRowDxfId="15"/>
    <tableColumn id="19" xr3:uid="{00000000-0010-0000-0B00-000013000000}" name="18" totalsRowFunction="count" dataDxfId="472" totalsRowDxfId="14"/>
    <tableColumn id="20" xr3:uid="{00000000-0010-0000-0B00-000014000000}" name="19" totalsRowFunction="count" dataDxfId="471" totalsRowDxfId="13"/>
    <tableColumn id="21" xr3:uid="{00000000-0010-0000-0B00-000015000000}" name="20" totalsRowFunction="count" dataDxfId="470" totalsRowDxfId="12"/>
    <tableColumn id="22" xr3:uid="{00000000-0010-0000-0B00-000016000000}" name="21" totalsRowFunction="count" dataDxfId="469" totalsRowDxfId="11"/>
    <tableColumn id="23" xr3:uid="{00000000-0010-0000-0B00-000017000000}" name="22" totalsRowFunction="count" dataDxfId="468" totalsRowDxfId="10"/>
    <tableColumn id="24" xr3:uid="{00000000-0010-0000-0B00-000018000000}" name="23" totalsRowFunction="count" dataDxfId="467" totalsRowDxfId="9"/>
    <tableColumn id="25" xr3:uid="{00000000-0010-0000-0B00-000019000000}" name="24" totalsRowFunction="count" dataDxfId="466" totalsRowDxfId="8"/>
    <tableColumn id="26" xr3:uid="{00000000-0010-0000-0B00-00001A000000}" name="25" totalsRowFunction="count" dataDxfId="465" totalsRowDxfId="7"/>
    <tableColumn id="27" xr3:uid="{00000000-0010-0000-0B00-00001B000000}" name="26" totalsRowFunction="count" dataDxfId="464" totalsRowDxfId="6"/>
    <tableColumn id="28" xr3:uid="{00000000-0010-0000-0B00-00001C000000}" name="27" totalsRowFunction="count" dataDxfId="463" totalsRowDxfId="5"/>
    <tableColumn id="29" xr3:uid="{00000000-0010-0000-0B00-00001D000000}" name="28" totalsRowFunction="count" dataDxfId="462" totalsRowDxfId="4"/>
    <tableColumn id="30" xr3:uid="{00000000-0010-0000-0B00-00001E000000}" name="29" totalsRowFunction="count" dataDxfId="461" totalsRowDxfId="3"/>
    <tableColumn id="31" xr3:uid="{00000000-0010-0000-0B00-00001F000000}" name="30" totalsRowFunction="count" dataDxfId="460" totalsRowDxfId="2"/>
    <tableColumn id="32" xr3:uid="{00000000-0010-0000-0B00-000020000000}" name="31" totalsRowFunction="count" dataDxfId="459" totalsRowDxfId="1"/>
    <tableColumn id="33" xr3:uid="{00000000-0010-0000-0B00-000021000000}" name="Toplam Gün" totalsRowFunction="sum" dataDxfId="458" totalsRowDxfId="0">
      <calculatedColumnFormula>COUNTA(Aralık[[#This Row],[1]:[31]])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ların devamsızlık durumunu ve tam devamsızlık nedenini (V=Tatil, S=Hastalık, P=Kişisel ve özel girdiler için iki yer tutucu) izlemek için bir ad ve tarih listesi sağlar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ÇalışanAdı" displayName="ÇalışanAdı" ref="B3:B8" totalsRowShown="0">
  <autoFilter ref="B3:B8" xr:uid="{00000000-0009-0000-0100-00000D000000}"/>
  <tableColumns count="1">
    <tableColumn id="1" xr3:uid="{00000000-0010-0000-0C00-000001000000}" name="Çalışan Adları" dataCellStyle="Çalışan"/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Bu tabloya çalışan adlarını girin. Bu adlar, her ayın devamsızlık zaman çizelgesinde B sütunundaki seçenekler olarak kullanıl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Şubat" displayName="Şubat" ref="B6:AH12" totalsRowCount="1" headerRowDxfId="853" dataDxfId="852" totalsRowDxfId="851">
  <tableColumns count="33">
    <tableColumn id="1" xr3:uid="{00000000-0010-0000-0100-000001000000}" name="Çalışan Adı" totalsRowFunction="custom" dataDxfId="850" totalsRowDxfId="329" dataCellStyle="Çalışan">
      <totalsRowFormula>AyAdı&amp;" Toplamı"</totalsRowFormula>
    </tableColumn>
    <tableColumn id="2" xr3:uid="{00000000-0010-0000-0100-000002000000}" name="1" totalsRowFunction="count" dataDxfId="849" totalsRowDxfId="328"/>
    <tableColumn id="3" xr3:uid="{00000000-0010-0000-0100-000003000000}" name="2" totalsRowFunction="count" dataDxfId="848" totalsRowDxfId="327"/>
    <tableColumn id="4" xr3:uid="{00000000-0010-0000-0100-000004000000}" name="3" totalsRowFunction="count" dataDxfId="847" totalsRowDxfId="326"/>
    <tableColumn id="5" xr3:uid="{00000000-0010-0000-0100-000005000000}" name="4" totalsRowFunction="count" dataDxfId="846" totalsRowDxfId="325"/>
    <tableColumn id="6" xr3:uid="{00000000-0010-0000-0100-000006000000}" name="5" totalsRowFunction="count" dataDxfId="845" totalsRowDxfId="324"/>
    <tableColumn id="7" xr3:uid="{00000000-0010-0000-0100-000007000000}" name="6" totalsRowFunction="count" dataDxfId="844" totalsRowDxfId="323"/>
    <tableColumn id="8" xr3:uid="{00000000-0010-0000-0100-000008000000}" name="7" totalsRowFunction="count" dataDxfId="843" totalsRowDxfId="322"/>
    <tableColumn id="9" xr3:uid="{00000000-0010-0000-0100-000009000000}" name="8" totalsRowFunction="count" dataDxfId="842" totalsRowDxfId="321"/>
    <tableColumn id="10" xr3:uid="{00000000-0010-0000-0100-00000A000000}" name="9" totalsRowFunction="count" dataDxfId="841" totalsRowDxfId="320"/>
    <tableColumn id="11" xr3:uid="{00000000-0010-0000-0100-00000B000000}" name="10" totalsRowFunction="count" dataDxfId="840" totalsRowDxfId="319"/>
    <tableColumn id="12" xr3:uid="{00000000-0010-0000-0100-00000C000000}" name="11" totalsRowFunction="count" dataDxfId="839" totalsRowDxfId="318"/>
    <tableColumn id="13" xr3:uid="{00000000-0010-0000-0100-00000D000000}" name="12" totalsRowFunction="count" dataDxfId="838" totalsRowDxfId="317"/>
    <tableColumn id="14" xr3:uid="{00000000-0010-0000-0100-00000E000000}" name="13" totalsRowFunction="count" dataDxfId="837" totalsRowDxfId="316"/>
    <tableColumn id="15" xr3:uid="{00000000-0010-0000-0100-00000F000000}" name="14" totalsRowFunction="count" dataDxfId="836" totalsRowDxfId="315"/>
    <tableColumn id="16" xr3:uid="{00000000-0010-0000-0100-000010000000}" name="15" totalsRowFunction="count" dataDxfId="835" totalsRowDxfId="314"/>
    <tableColumn id="17" xr3:uid="{00000000-0010-0000-0100-000011000000}" name="16" totalsRowFunction="count" dataDxfId="834" totalsRowDxfId="313"/>
    <tableColumn id="18" xr3:uid="{00000000-0010-0000-0100-000012000000}" name="17" totalsRowFunction="count" dataDxfId="833" totalsRowDxfId="312"/>
    <tableColumn id="19" xr3:uid="{00000000-0010-0000-0100-000013000000}" name="18" totalsRowFunction="count" dataDxfId="832" totalsRowDxfId="311"/>
    <tableColumn id="20" xr3:uid="{00000000-0010-0000-0100-000014000000}" name="19" totalsRowFunction="count" dataDxfId="831" totalsRowDxfId="310"/>
    <tableColumn id="21" xr3:uid="{00000000-0010-0000-0100-000015000000}" name="20" totalsRowFunction="count" dataDxfId="830" totalsRowDxfId="309"/>
    <tableColumn id="22" xr3:uid="{00000000-0010-0000-0100-000016000000}" name="21" totalsRowFunction="count" dataDxfId="829" totalsRowDxfId="308"/>
    <tableColumn id="23" xr3:uid="{00000000-0010-0000-0100-000017000000}" name="22" totalsRowFunction="count" dataDxfId="828" totalsRowDxfId="307"/>
    <tableColumn id="24" xr3:uid="{00000000-0010-0000-0100-000018000000}" name="23" totalsRowFunction="count" dataDxfId="827" totalsRowDxfId="306"/>
    <tableColumn id="25" xr3:uid="{00000000-0010-0000-0100-000019000000}" name="24" totalsRowFunction="count" dataDxfId="826" totalsRowDxfId="305"/>
    <tableColumn id="26" xr3:uid="{00000000-0010-0000-0100-00001A000000}" name="25" totalsRowFunction="count" dataDxfId="825" totalsRowDxfId="304"/>
    <tableColumn id="27" xr3:uid="{00000000-0010-0000-0100-00001B000000}" name="26" totalsRowFunction="count" dataDxfId="824" totalsRowDxfId="303"/>
    <tableColumn id="28" xr3:uid="{00000000-0010-0000-0100-00001C000000}" name="27" totalsRowFunction="count" dataDxfId="823" totalsRowDxfId="302"/>
    <tableColumn id="29" xr3:uid="{00000000-0010-0000-0100-00001D000000}" name="28" totalsRowFunction="count" dataDxfId="822" totalsRowDxfId="301"/>
    <tableColumn id="30" xr3:uid="{00000000-0010-0000-0100-00001E000000}" name="29" totalsRowFunction="count" dataDxfId="821" totalsRowDxfId="300"/>
    <tableColumn id="31" xr3:uid="{00000000-0010-0000-0100-00001F000000}" name=" " dataDxfId="820" totalsRowDxfId="299"/>
    <tableColumn id="32" xr3:uid="{00000000-0010-0000-0100-000020000000}" name="  " dataDxfId="819" totalsRowDxfId="298"/>
    <tableColumn id="33" xr3:uid="{00000000-0010-0000-0100-000021000000}" name="Toplam Gün" totalsRowFunction="sum" dataDxfId="818" totalsRowDxfId="297">
      <calculatedColumnFormula>COUNTA(Şubat[[#This Row],[1]:[29]])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Mart" displayName="Mart" ref="B6:AH12" totalsRowCount="1" headerRowDxfId="817" dataDxfId="816" totalsRowDxfId="815">
  <tableColumns count="33">
    <tableColumn id="1" xr3:uid="{00000000-0010-0000-0200-000001000000}" name="Çalışan Adı" totalsRowFunction="custom" dataDxfId="814" totalsRowDxfId="296" dataCellStyle="Çalışan">
      <totalsRowFormula>AyAdı&amp;" Toplamı"</totalsRowFormula>
    </tableColumn>
    <tableColumn id="2" xr3:uid="{00000000-0010-0000-0200-000002000000}" name="1" totalsRowFunction="count" dataDxfId="813" totalsRowDxfId="295"/>
    <tableColumn id="3" xr3:uid="{00000000-0010-0000-0200-000003000000}" name="2" totalsRowFunction="count" dataDxfId="812" totalsRowDxfId="294"/>
    <tableColumn id="4" xr3:uid="{00000000-0010-0000-0200-000004000000}" name="3" totalsRowFunction="count" dataDxfId="811" totalsRowDxfId="293"/>
    <tableColumn id="5" xr3:uid="{00000000-0010-0000-0200-000005000000}" name="4" totalsRowFunction="count" dataDxfId="810" totalsRowDxfId="292"/>
    <tableColumn id="6" xr3:uid="{00000000-0010-0000-0200-000006000000}" name="5" totalsRowFunction="count" dataDxfId="809" totalsRowDxfId="291"/>
    <tableColumn id="7" xr3:uid="{00000000-0010-0000-0200-000007000000}" name="6" totalsRowFunction="count" dataDxfId="808" totalsRowDxfId="290"/>
    <tableColumn id="8" xr3:uid="{00000000-0010-0000-0200-000008000000}" name="7" totalsRowFunction="count" dataDxfId="807" totalsRowDxfId="289"/>
    <tableColumn id="9" xr3:uid="{00000000-0010-0000-0200-000009000000}" name="8" totalsRowFunction="count" dataDxfId="806" totalsRowDxfId="288"/>
    <tableColumn id="10" xr3:uid="{00000000-0010-0000-0200-00000A000000}" name="9" totalsRowFunction="count" dataDxfId="805" totalsRowDxfId="287"/>
    <tableColumn id="11" xr3:uid="{00000000-0010-0000-0200-00000B000000}" name="10" totalsRowFunction="count" dataDxfId="804" totalsRowDxfId="286"/>
    <tableColumn id="12" xr3:uid="{00000000-0010-0000-0200-00000C000000}" name="11" totalsRowFunction="count" dataDxfId="803" totalsRowDxfId="285"/>
    <tableColumn id="13" xr3:uid="{00000000-0010-0000-0200-00000D000000}" name="12" totalsRowFunction="count" dataDxfId="802" totalsRowDxfId="284"/>
    <tableColumn id="14" xr3:uid="{00000000-0010-0000-0200-00000E000000}" name="13" totalsRowFunction="count" dataDxfId="801" totalsRowDxfId="283"/>
    <tableColumn id="15" xr3:uid="{00000000-0010-0000-0200-00000F000000}" name="14" totalsRowFunction="count" dataDxfId="800" totalsRowDxfId="282"/>
    <tableColumn id="16" xr3:uid="{00000000-0010-0000-0200-000010000000}" name="15" totalsRowFunction="count" dataDxfId="799" totalsRowDxfId="281"/>
    <tableColumn id="17" xr3:uid="{00000000-0010-0000-0200-000011000000}" name="16" totalsRowFunction="count" dataDxfId="798" totalsRowDxfId="280"/>
    <tableColumn id="18" xr3:uid="{00000000-0010-0000-0200-000012000000}" name="17" totalsRowFunction="count" dataDxfId="797" totalsRowDxfId="279"/>
    <tableColumn id="19" xr3:uid="{00000000-0010-0000-0200-000013000000}" name="18" totalsRowFunction="count" dataDxfId="796" totalsRowDxfId="278"/>
    <tableColumn id="20" xr3:uid="{00000000-0010-0000-0200-000014000000}" name="19" totalsRowFunction="count" dataDxfId="795" totalsRowDxfId="277"/>
    <tableColumn id="21" xr3:uid="{00000000-0010-0000-0200-000015000000}" name="20" totalsRowFunction="count" dataDxfId="794" totalsRowDxfId="276"/>
    <tableColumn id="22" xr3:uid="{00000000-0010-0000-0200-000016000000}" name="21" totalsRowFunction="count" dataDxfId="793" totalsRowDxfId="275"/>
    <tableColumn id="23" xr3:uid="{00000000-0010-0000-0200-000017000000}" name="22" totalsRowFunction="count" dataDxfId="792" totalsRowDxfId="274"/>
    <tableColumn id="24" xr3:uid="{00000000-0010-0000-0200-000018000000}" name="23" totalsRowFunction="count" dataDxfId="791" totalsRowDxfId="273"/>
    <tableColumn id="25" xr3:uid="{00000000-0010-0000-0200-000019000000}" name="24" totalsRowFunction="count" dataDxfId="790" totalsRowDxfId="272"/>
    <tableColumn id="26" xr3:uid="{00000000-0010-0000-0200-00001A000000}" name="25" totalsRowFunction="count" dataDxfId="789" totalsRowDxfId="271"/>
    <tableColumn id="27" xr3:uid="{00000000-0010-0000-0200-00001B000000}" name="26" totalsRowFunction="count" dataDxfId="788" totalsRowDxfId="270"/>
    <tableColumn id="28" xr3:uid="{00000000-0010-0000-0200-00001C000000}" name="27" totalsRowFunction="count" dataDxfId="787" totalsRowDxfId="269"/>
    <tableColumn id="29" xr3:uid="{00000000-0010-0000-0200-00001D000000}" name="28" totalsRowFunction="count" dataDxfId="786" totalsRowDxfId="268"/>
    <tableColumn id="30" xr3:uid="{00000000-0010-0000-0200-00001E000000}" name="29" totalsRowFunction="count" dataDxfId="785" totalsRowDxfId="267"/>
    <tableColumn id="31" xr3:uid="{00000000-0010-0000-0200-00001F000000}" name="30" totalsRowFunction="count" dataDxfId="784" totalsRowDxfId="266"/>
    <tableColumn id="32" xr3:uid="{00000000-0010-0000-0200-000020000000}" name="31" totalsRowFunction="count" dataDxfId="783" totalsRowDxfId="265"/>
    <tableColumn id="33" xr3:uid="{00000000-0010-0000-0200-000021000000}" name="Toplam Gün" totalsRowFunction="sum" dataDxfId="782" totalsRowDxfId="264">
      <calculatedColumnFormula>COUNTA(Mart[[#This Row],[1]:[31]])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Nisan" displayName="Nisan" ref="B6:AH12" totalsRowCount="1" headerRowDxfId="781" dataDxfId="780" totalsRowDxfId="779">
  <tableColumns count="33">
    <tableColumn id="1" xr3:uid="{00000000-0010-0000-0300-000001000000}" name="Çalışan Adı" totalsRowFunction="custom" dataDxfId="778" totalsRowDxfId="263" dataCellStyle="Çalışan">
      <totalsRowFormula>AyAdı&amp;" Toplamı"</totalsRowFormula>
    </tableColumn>
    <tableColumn id="2" xr3:uid="{00000000-0010-0000-0300-000002000000}" name="1" totalsRowFunction="count" dataDxfId="777" totalsRowDxfId="262"/>
    <tableColumn id="3" xr3:uid="{00000000-0010-0000-0300-000003000000}" name="2" totalsRowFunction="count" dataDxfId="776" totalsRowDxfId="261"/>
    <tableColumn id="4" xr3:uid="{00000000-0010-0000-0300-000004000000}" name="3" totalsRowFunction="count" dataDxfId="775" totalsRowDxfId="260"/>
    <tableColumn id="5" xr3:uid="{00000000-0010-0000-0300-000005000000}" name="4" totalsRowFunction="count" dataDxfId="774" totalsRowDxfId="259"/>
    <tableColumn id="6" xr3:uid="{00000000-0010-0000-0300-000006000000}" name="5" totalsRowFunction="count" dataDxfId="773" totalsRowDxfId="258"/>
    <tableColumn id="7" xr3:uid="{00000000-0010-0000-0300-000007000000}" name="6" totalsRowFunction="count" dataDxfId="772" totalsRowDxfId="257"/>
    <tableColumn id="8" xr3:uid="{00000000-0010-0000-0300-000008000000}" name="7" totalsRowFunction="count" dataDxfId="771" totalsRowDxfId="256"/>
    <tableColumn id="9" xr3:uid="{00000000-0010-0000-0300-000009000000}" name="8" totalsRowFunction="count" dataDxfId="770" totalsRowDxfId="255"/>
    <tableColumn id="10" xr3:uid="{00000000-0010-0000-0300-00000A000000}" name="9" totalsRowFunction="count" dataDxfId="769" totalsRowDxfId="254"/>
    <tableColumn id="11" xr3:uid="{00000000-0010-0000-0300-00000B000000}" name="10" totalsRowFunction="count" dataDxfId="768" totalsRowDxfId="253"/>
    <tableColumn id="12" xr3:uid="{00000000-0010-0000-0300-00000C000000}" name="11" totalsRowFunction="count" dataDxfId="767" totalsRowDxfId="252"/>
    <tableColumn id="13" xr3:uid="{00000000-0010-0000-0300-00000D000000}" name="12" totalsRowFunction="count" dataDxfId="766" totalsRowDxfId="251"/>
    <tableColumn id="14" xr3:uid="{00000000-0010-0000-0300-00000E000000}" name="13" totalsRowFunction="count" dataDxfId="765" totalsRowDxfId="250"/>
    <tableColumn id="15" xr3:uid="{00000000-0010-0000-0300-00000F000000}" name="14" totalsRowFunction="count" dataDxfId="764" totalsRowDxfId="249"/>
    <tableColumn id="16" xr3:uid="{00000000-0010-0000-0300-000010000000}" name="15" totalsRowFunction="count" dataDxfId="763" totalsRowDxfId="248"/>
    <tableColumn id="17" xr3:uid="{00000000-0010-0000-0300-000011000000}" name="16" totalsRowFunction="count" dataDxfId="762" totalsRowDxfId="247"/>
    <tableColumn id="18" xr3:uid="{00000000-0010-0000-0300-000012000000}" name="17" totalsRowFunction="count" dataDxfId="761" totalsRowDxfId="246"/>
    <tableColumn id="19" xr3:uid="{00000000-0010-0000-0300-000013000000}" name="18" totalsRowFunction="count" dataDxfId="760" totalsRowDxfId="245"/>
    <tableColumn id="20" xr3:uid="{00000000-0010-0000-0300-000014000000}" name="19" totalsRowFunction="count" dataDxfId="759" totalsRowDxfId="244"/>
    <tableColumn id="21" xr3:uid="{00000000-0010-0000-0300-000015000000}" name="20" totalsRowFunction="count" dataDxfId="758" totalsRowDxfId="243"/>
    <tableColumn id="22" xr3:uid="{00000000-0010-0000-0300-000016000000}" name="21" totalsRowFunction="count" dataDxfId="757" totalsRowDxfId="242"/>
    <tableColumn id="23" xr3:uid="{00000000-0010-0000-0300-000017000000}" name="22" totalsRowFunction="count" dataDxfId="756" totalsRowDxfId="241"/>
    <tableColumn id="24" xr3:uid="{00000000-0010-0000-0300-000018000000}" name="23" totalsRowFunction="count" dataDxfId="755" totalsRowDxfId="240"/>
    <tableColumn id="25" xr3:uid="{00000000-0010-0000-0300-000019000000}" name="24" totalsRowFunction="count" dataDxfId="754" totalsRowDxfId="239"/>
    <tableColumn id="26" xr3:uid="{00000000-0010-0000-0300-00001A000000}" name="25" totalsRowFunction="count" dataDxfId="753" totalsRowDxfId="238"/>
    <tableColumn id="27" xr3:uid="{00000000-0010-0000-0300-00001B000000}" name="26" totalsRowFunction="count" dataDxfId="752" totalsRowDxfId="237"/>
    <tableColumn id="28" xr3:uid="{00000000-0010-0000-0300-00001C000000}" name="27" totalsRowFunction="count" dataDxfId="751" totalsRowDxfId="236"/>
    <tableColumn id="29" xr3:uid="{00000000-0010-0000-0300-00001D000000}" name="28" totalsRowFunction="count" dataDxfId="750" totalsRowDxfId="235"/>
    <tableColumn id="30" xr3:uid="{00000000-0010-0000-0300-00001E000000}" name="29" totalsRowFunction="count" dataDxfId="749" totalsRowDxfId="234"/>
    <tableColumn id="31" xr3:uid="{00000000-0010-0000-0300-00001F000000}" name="30" totalsRowFunction="count" dataDxfId="748" totalsRowDxfId="233"/>
    <tableColumn id="32" xr3:uid="{00000000-0010-0000-0300-000020000000}" name=" " totalsRowFunction="custom" dataDxfId="747" totalsRowDxfId="232">
      <totalsRowFormula>SUBTOTAL(103,Nisan[30])</totalsRowFormula>
    </tableColumn>
    <tableColumn id="33" xr3:uid="{00000000-0010-0000-0300-000021000000}" name="Toplam Gün" totalsRowFunction="sum" dataDxfId="746" totalsRowDxfId="231">
      <calculatedColumnFormula>COUNTA(Nisan[[#This Row],[1]:[30]])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Mayıs" displayName="Mayıs" ref="B6:AH12" totalsRowCount="1" headerRowDxfId="745" dataDxfId="744" totalsRowDxfId="743">
  <tableColumns count="33">
    <tableColumn id="1" xr3:uid="{00000000-0010-0000-0400-000001000000}" name="Çalışan Adı" totalsRowFunction="custom" dataDxfId="742" totalsRowDxfId="230" dataCellStyle="Çalışan">
      <totalsRowFormula>AyAdı&amp;" Toplamı"</totalsRowFormula>
    </tableColumn>
    <tableColumn id="2" xr3:uid="{00000000-0010-0000-0400-000002000000}" name="1" totalsRowFunction="count" dataDxfId="741" totalsRowDxfId="229"/>
    <tableColumn id="3" xr3:uid="{00000000-0010-0000-0400-000003000000}" name="2" totalsRowFunction="count" dataDxfId="740" totalsRowDxfId="228"/>
    <tableColumn id="4" xr3:uid="{00000000-0010-0000-0400-000004000000}" name="3" totalsRowFunction="count" dataDxfId="739" totalsRowDxfId="227"/>
    <tableColumn id="5" xr3:uid="{00000000-0010-0000-0400-000005000000}" name="4" totalsRowFunction="count" dataDxfId="738" totalsRowDxfId="226"/>
    <tableColumn id="6" xr3:uid="{00000000-0010-0000-0400-000006000000}" name="5" totalsRowFunction="count" dataDxfId="737" totalsRowDxfId="225"/>
    <tableColumn id="7" xr3:uid="{00000000-0010-0000-0400-000007000000}" name="6" totalsRowFunction="count" dataDxfId="736" totalsRowDxfId="224"/>
    <tableColumn id="8" xr3:uid="{00000000-0010-0000-0400-000008000000}" name="7" totalsRowFunction="count" dataDxfId="735" totalsRowDxfId="223"/>
    <tableColumn id="9" xr3:uid="{00000000-0010-0000-0400-000009000000}" name="8" totalsRowFunction="count" dataDxfId="734" totalsRowDxfId="222"/>
    <tableColumn id="10" xr3:uid="{00000000-0010-0000-0400-00000A000000}" name="9" totalsRowFunction="count" dataDxfId="733" totalsRowDxfId="221"/>
    <tableColumn id="11" xr3:uid="{00000000-0010-0000-0400-00000B000000}" name="10" totalsRowFunction="count" dataDxfId="732" totalsRowDxfId="220"/>
    <tableColumn id="12" xr3:uid="{00000000-0010-0000-0400-00000C000000}" name="11" totalsRowFunction="count" dataDxfId="731" totalsRowDxfId="219"/>
    <tableColumn id="13" xr3:uid="{00000000-0010-0000-0400-00000D000000}" name="12" totalsRowFunction="count" dataDxfId="730" totalsRowDxfId="218"/>
    <tableColumn id="14" xr3:uid="{00000000-0010-0000-0400-00000E000000}" name="13" totalsRowFunction="count" dataDxfId="729" totalsRowDxfId="217"/>
    <tableColumn id="15" xr3:uid="{00000000-0010-0000-0400-00000F000000}" name="14" totalsRowFunction="count" dataDxfId="728" totalsRowDxfId="216"/>
    <tableColumn id="16" xr3:uid="{00000000-0010-0000-0400-000010000000}" name="15" totalsRowFunction="count" dataDxfId="727" totalsRowDxfId="215"/>
    <tableColumn id="17" xr3:uid="{00000000-0010-0000-0400-000011000000}" name="16" totalsRowFunction="count" dataDxfId="726" totalsRowDxfId="214"/>
    <tableColumn id="18" xr3:uid="{00000000-0010-0000-0400-000012000000}" name="17" totalsRowFunction="count" dataDxfId="725" totalsRowDxfId="213"/>
    <tableColumn id="19" xr3:uid="{00000000-0010-0000-0400-000013000000}" name="18" totalsRowFunction="count" dataDxfId="724" totalsRowDxfId="212"/>
    <tableColumn id="20" xr3:uid="{00000000-0010-0000-0400-000014000000}" name="19" totalsRowFunction="count" dataDxfId="723" totalsRowDxfId="211"/>
    <tableColumn id="21" xr3:uid="{00000000-0010-0000-0400-000015000000}" name="20" totalsRowFunction="count" dataDxfId="722" totalsRowDxfId="210"/>
    <tableColumn id="22" xr3:uid="{00000000-0010-0000-0400-000016000000}" name="21" totalsRowFunction="count" dataDxfId="721" totalsRowDxfId="209"/>
    <tableColumn id="23" xr3:uid="{00000000-0010-0000-0400-000017000000}" name="22" totalsRowFunction="count" dataDxfId="720" totalsRowDxfId="208"/>
    <tableColumn id="24" xr3:uid="{00000000-0010-0000-0400-000018000000}" name="23" totalsRowFunction="count" dataDxfId="719" totalsRowDxfId="207"/>
    <tableColumn id="25" xr3:uid="{00000000-0010-0000-0400-000019000000}" name="24" totalsRowFunction="count" dataDxfId="718" totalsRowDxfId="206"/>
    <tableColumn id="26" xr3:uid="{00000000-0010-0000-0400-00001A000000}" name="25" totalsRowFunction="count" dataDxfId="717" totalsRowDxfId="205"/>
    <tableColumn id="27" xr3:uid="{00000000-0010-0000-0400-00001B000000}" name="26" totalsRowFunction="count" dataDxfId="716" totalsRowDxfId="204"/>
    <tableColumn id="28" xr3:uid="{00000000-0010-0000-0400-00001C000000}" name="27" totalsRowFunction="count" dataDxfId="715" totalsRowDxfId="203"/>
    <tableColumn id="29" xr3:uid="{00000000-0010-0000-0400-00001D000000}" name="28" totalsRowFunction="count" dataDxfId="714" totalsRowDxfId="202"/>
    <tableColumn id="30" xr3:uid="{00000000-0010-0000-0400-00001E000000}" name="29" totalsRowFunction="count" dataDxfId="713" totalsRowDxfId="201"/>
    <tableColumn id="31" xr3:uid="{00000000-0010-0000-0400-00001F000000}" name="30" totalsRowFunction="count" dataDxfId="712" totalsRowDxfId="200"/>
    <tableColumn id="32" xr3:uid="{00000000-0010-0000-0400-000020000000}" name="31" totalsRowFunction="count" dataDxfId="711" totalsRowDxfId="199"/>
    <tableColumn id="33" xr3:uid="{00000000-0010-0000-0400-000021000000}" name="Toplam Gün" totalsRowFunction="sum" dataDxfId="710" totalsRowDxfId="198">
      <calculatedColumnFormula>COUNTA(Mayıs[[#This Row],[1]:[31]])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Haziran" displayName="Haziran" ref="B6:AH12" totalsRowCount="1" headerRowDxfId="709" dataDxfId="708" totalsRowDxfId="707">
  <tableColumns count="33">
    <tableColumn id="1" xr3:uid="{00000000-0010-0000-0500-000001000000}" name="Çalışan Adı" totalsRowFunction="custom" dataDxfId="706" totalsRowDxfId="197" dataCellStyle="Çalışan">
      <totalsRowFormula>AyAdı&amp;" Toplamı"</totalsRowFormula>
    </tableColumn>
    <tableColumn id="2" xr3:uid="{00000000-0010-0000-0500-000002000000}" name="1" totalsRowFunction="count" dataDxfId="705" totalsRowDxfId="196"/>
    <tableColumn id="3" xr3:uid="{00000000-0010-0000-0500-000003000000}" name="2" totalsRowFunction="count" dataDxfId="704" totalsRowDxfId="195"/>
    <tableColumn id="4" xr3:uid="{00000000-0010-0000-0500-000004000000}" name="3" totalsRowFunction="count" dataDxfId="703" totalsRowDxfId="194"/>
    <tableColumn id="5" xr3:uid="{00000000-0010-0000-0500-000005000000}" name="4" totalsRowFunction="count" dataDxfId="702" totalsRowDxfId="193"/>
    <tableColumn id="6" xr3:uid="{00000000-0010-0000-0500-000006000000}" name="5" totalsRowFunction="count" dataDxfId="701" totalsRowDxfId="192"/>
    <tableColumn id="7" xr3:uid="{00000000-0010-0000-0500-000007000000}" name="6" totalsRowFunction="count" dataDxfId="700" totalsRowDxfId="191"/>
    <tableColumn id="8" xr3:uid="{00000000-0010-0000-0500-000008000000}" name="7" totalsRowFunction="count" dataDxfId="699" totalsRowDxfId="190"/>
    <tableColumn id="9" xr3:uid="{00000000-0010-0000-0500-000009000000}" name="8" totalsRowFunction="count" dataDxfId="698" totalsRowDxfId="189"/>
    <tableColumn id="10" xr3:uid="{00000000-0010-0000-0500-00000A000000}" name="9" totalsRowFunction="count" dataDxfId="697" totalsRowDxfId="188"/>
    <tableColumn id="11" xr3:uid="{00000000-0010-0000-0500-00000B000000}" name="10" totalsRowFunction="count" dataDxfId="696" totalsRowDxfId="187"/>
    <tableColumn id="12" xr3:uid="{00000000-0010-0000-0500-00000C000000}" name="11" totalsRowFunction="count" dataDxfId="695" totalsRowDxfId="186"/>
    <tableColumn id="13" xr3:uid="{00000000-0010-0000-0500-00000D000000}" name="12" totalsRowFunction="count" dataDxfId="694" totalsRowDxfId="185"/>
    <tableColumn id="14" xr3:uid="{00000000-0010-0000-0500-00000E000000}" name="13" totalsRowFunction="count" dataDxfId="693" totalsRowDxfId="184"/>
    <tableColumn id="15" xr3:uid="{00000000-0010-0000-0500-00000F000000}" name="14" totalsRowFunction="count" dataDxfId="692" totalsRowDxfId="183"/>
    <tableColumn id="16" xr3:uid="{00000000-0010-0000-0500-000010000000}" name="15" totalsRowFunction="count" dataDxfId="691" totalsRowDxfId="182"/>
    <tableColumn id="17" xr3:uid="{00000000-0010-0000-0500-000011000000}" name="16" totalsRowFunction="count" dataDxfId="690" totalsRowDxfId="181"/>
    <tableColumn id="18" xr3:uid="{00000000-0010-0000-0500-000012000000}" name="17" totalsRowFunction="count" dataDxfId="689" totalsRowDxfId="180"/>
    <tableColumn id="19" xr3:uid="{00000000-0010-0000-0500-000013000000}" name="18" totalsRowFunction="count" dataDxfId="688" totalsRowDxfId="179"/>
    <tableColumn id="20" xr3:uid="{00000000-0010-0000-0500-000014000000}" name="19" totalsRowFunction="count" dataDxfId="687" totalsRowDxfId="178"/>
    <tableColumn id="21" xr3:uid="{00000000-0010-0000-0500-000015000000}" name="20" totalsRowFunction="count" dataDxfId="686" totalsRowDxfId="177"/>
    <tableColumn id="22" xr3:uid="{00000000-0010-0000-0500-000016000000}" name="21" totalsRowFunction="count" dataDxfId="685" totalsRowDxfId="176"/>
    <tableColumn id="23" xr3:uid="{00000000-0010-0000-0500-000017000000}" name="22" totalsRowFunction="count" dataDxfId="684" totalsRowDxfId="175"/>
    <tableColumn id="24" xr3:uid="{00000000-0010-0000-0500-000018000000}" name="23" totalsRowFunction="count" dataDxfId="683" totalsRowDxfId="174"/>
    <tableColumn id="25" xr3:uid="{00000000-0010-0000-0500-000019000000}" name="24" totalsRowFunction="count" dataDxfId="682" totalsRowDxfId="173"/>
    <tableColumn id="26" xr3:uid="{00000000-0010-0000-0500-00001A000000}" name="25" totalsRowFunction="count" dataDxfId="681" totalsRowDxfId="172"/>
    <tableColumn id="27" xr3:uid="{00000000-0010-0000-0500-00001B000000}" name="26" totalsRowFunction="count" dataDxfId="680" totalsRowDxfId="171"/>
    <tableColumn id="28" xr3:uid="{00000000-0010-0000-0500-00001C000000}" name="27" totalsRowFunction="count" dataDxfId="679" totalsRowDxfId="170"/>
    <tableColumn id="29" xr3:uid="{00000000-0010-0000-0500-00001D000000}" name="28" totalsRowFunction="count" dataDxfId="678" totalsRowDxfId="169"/>
    <tableColumn id="30" xr3:uid="{00000000-0010-0000-0500-00001E000000}" name="29" totalsRowFunction="count" dataDxfId="677" totalsRowDxfId="168"/>
    <tableColumn id="31" xr3:uid="{00000000-0010-0000-0500-00001F000000}" name="30" totalsRowFunction="count" dataDxfId="676" totalsRowDxfId="167"/>
    <tableColumn id="32" xr3:uid="{00000000-0010-0000-0500-000020000000}" name=" " totalsRowFunction="count" dataDxfId="675" totalsRowDxfId="166"/>
    <tableColumn id="33" xr3:uid="{00000000-0010-0000-0500-000021000000}" name="Toplam Gün" totalsRowFunction="sum" dataDxfId="674" totalsRowDxfId="165">
      <calculatedColumnFormula>COUNTA(Haziran[[#This Row],[1]:[30]])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emmuz" displayName="Temmuz" ref="B6:AH12" totalsRowCount="1" headerRowDxfId="673" dataDxfId="672" totalsRowDxfId="671">
  <tableColumns count="33">
    <tableColumn id="1" xr3:uid="{00000000-0010-0000-0600-000001000000}" name="Çalışan Adı" totalsRowFunction="custom" dataDxfId="670" totalsRowDxfId="164" dataCellStyle="Çalışan">
      <totalsRowFormula>AyAdı&amp;" Toplamı"</totalsRowFormula>
    </tableColumn>
    <tableColumn id="2" xr3:uid="{00000000-0010-0000-0600-000002000000}" name="1" totalsRowFunction="count" dataDxfId="669" totalsRowDxfId="163"/>
    <tableColumn id="3" xr3:uid="{00000000-0010-0000-0600-000003000000}" name="2" totalsRowFunction="count" dataDxfId="668" totalsRowDxfId="162"/>
    <tableColumn id="4" xr3:uid="{00000000-0010-0000-0600-000004000000}" name="3" totalsRowFunction="count" dataDxfId="667" totalsRowDxfId="161"/>
    <tableColumn id="5" xr3:uid="{00000000-0010-0000-0600-000005000000}" name="4" totalsRowFunction="count" dataDxfId="666" totalsRowDxfId="160"/>
    <tableColumn id="6" xr3:uid="{00000000-0010-0000-0600-000006000000}" name="5" totalsRowFunction="count" dataDxfId="665" totalsRowDxfId="159"/>
    <tableColumn id="7" xr3:uid="{00000000-0010-0000-0600-000007000000}" name="6" totalsRowFunction="count" dataDxfId="664" totalsRowDxfId="158"/>
    <tableColumn id="8" xr3:uid="{00000000-0010-0000-0600-000008000000}" name="7" totalsRowFunction="count" dataDxfId="663" totalsRowDxfId="157"/>
    <tableColumn id="9" xr3:uid="{00000000-0010-0000-0600-000009000000}" name="8" totalsRowFunction="count" dataDxfId="662" totalsRowDxfId="156"/>
    <tableColumn id="10" xr3:uid="{00000000-0010-0000-0600-00000A000000}" name="9" totalsRowFunction="count" dataDxfId="661" totalsRowDxfId="155"/>
    <tableColumn id="11" xr3:uid="{00000000-0010-0000-0600-00000B000000}" name="10" totalsRowFunction="count" dataDxfId="660" totalsRowDxfId="154"/>
    <tableColumn id="12" xr3:uid="{00000000-0010-0000-0600-00000C000000}" name="11" totalsRowFunction="count" dataDxfId="659" totalsRowDxfId="153"/>
    <tableColumn id="13" xr3:uid="{00000000-0010-0000-0600-00000D000000}" name="12" totalsRowFunction="count" dataDxfId="658" totalsRowDxfId="152"/>
    <tableColumn id="14" xr3:uid="{00000000-0010-0000-0600-00000E000000}" name="13" totalsRowFunction="count" dataDxfId="657" totalsRowDxfId="151"/>
    <tableColumn id="15" xr3:uid="{00000000-0010-0000-0600-00000F000000}" name="14" totalsRowFunction="count" dataDxfId="656" totalsRowDxfId="150"/>
    <tableColumn id="16" xr3:uid="{00000000-0010-0000-0600-000010000000}" name="15" totalsRowFunction="count" dataDxfId="655" totalsRowDxfId="149"/>
    <tableColumn id="17" xr3:uid="{00000000-0010-0000-0600-000011000000}" name="16" totalsRowFunction="count" dataDxfId="654" totalsRowDxfId="148"/>
    <tableColumn id="18" xr3:uid="{00000000-0010-0000-0600-000012000000}" name="17" totalsRowFunction="count" dataDxfId="653" totalsRowDxfId="147"/>
    <tableColumn id="19" xr3:uid="{00000000-0010-0000-0600-000013000000}" name="18" totalsRowFunction="count" dataDxfId="652" totalsRowDxfId="146"/>
    <tableColumn id="20" xr3:uid="{00000000-0010-0000-0600-000014000000}" name="19" totalsRowFunction="count" dataDxfId="651" totalsRowDxfId="145"/>
    <tableColumn id="21" xr3:uid="{00000000-0010-0000-0600-000015000000}" name="20" totalsRowFunction="count" dataDxfId="650" totalsRowDxfId="144"/>
    <tableColumn id="22" xr3:uid="{00000000-0010-0000-0600-000016000000}" name="21" totalsRowFunction="count" dataDxfId="649" totalsRowDxfId="143"/>
    <tableColumn id="23" xr3:uid="{00000000-0010-0000-0600-000017000000}" name="22" totalsRowFunction="count" dataDxfId="648" totalsRowDxfId="142"/>
    <tableColumn id="24" xr3:uid="{00000000-0010-0000-0600-000018000000}" name="23" totalsRowFunction="count" dataDxfId="647" totalsRowDxfId="141"/>
    <tableColumn id="25" xr3:uid="{00000000-0010-0000-0600-000019000000}" name="24" totalsRowFunction="count" dataDxfId="646" totalsRowDxfId="140"/>
    <tableColumn id="26" xr3:uid="{00000000-0010-0000-0600-00001A000000}" name="25" totalsRowFunction="count" dataDxfId="645" totalsRowDxfId="139"/>
    <tableColumn id="27" xr3:uid="{00000000-0010-0000-0600-00001B000000}" name="26" totalsRowFunction="count" dataDxfId="644" totalsRowDxfId="138"/>
    <tableColumn id="28" xr3:uid="{00000000-0010-0000-0600-00001C000000}" name="27" totalsRowFunction="count" dataDxfId="643" totalsRowDxfId="137"/>
    <tableColumn id="29" xr3:uid="{00000000-0010-0000-0600-00001D000000}" name="28" totalsRowFunction="count" dataDxfId="642" totalsRowDxfId="136"/>
    <tableColumn id="30" xr3:uid="{00000000-0010-0000-0600-00001E000000}" name="29" totalsRowFunction="count" dataDxfId="641" totalsRowDxfId="135"/>
    <tableColumn id="31" xr3:uid="{00000000-0010-0000-0600-00001F000000}" name="30" totalsRowFunction="count" dataDxfId="640" totalsRowDxfId="134"/>
    <tableColumn id="32" xr3:uid="{00000000-0010-0000-0600-000020000000}" name="31" totalsRowFunction="count" dataDxfId="639" totalsRowDxfId="133"/>
    <tableColumn id="33" xr3:uid="{00000000-0010-0000-0600-000021000000}" name="Toplam Gün" totalsRowFunction="sum" dataDxfId="638" totalsRowDxfId="132">
      <calculatedColumnFormula>COUNTA(Temmuz[[#This Row],[1]:[31]])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Ağustos" displayName="Ağustos" ref="B6:AH12" totalsRowCount="1" headerRowDxfId="637" dataDxfId="636" totalsRowDxfId="635">
  <tableColumns count="33">
    <tableColumn id="1" xr3:uid="{00000000-0010-0000-0700-000001000000}" name="Çalışan Adı" totalsRowFunction="custom" dataDxfId="634" totalsRowDxfId="131" dataCellStyle="Çalışan">
      <totalsRowFormula>AyAdı&amp;" Toplamı"</totalsRowFormula>
    </tableColumn>
    <tableColumn id="2" xr3:uid="{00000000-0010-0000-0700-000002000000}" name="1" totalsRowFunction="count" dataDxfId="633" totalsRowDxfId="130"/>
    <tableColumn id="3" xr3:uid="{00000000-0010-0000-0700-000003000000}" name="2" totalsRowFunction="count" dataDxfId="632" totalsRowDxfId="129"/>
    <tableColumn id="4" xr3:uid="{00000000-0010-0000-0700-000004000000}" name="3" totalsRowFunction="count" dataDxfId="631" totalsRowDxfId="128"/>
    <tableColumn id="5" xr3:uid="{00000000-0010-0000-0700-000005000000}" name="4" totalsRowFunction="count" dataDxfId="630" totalsRowDxfId="127"/>
    <tableColumn id="6" xr3:uid="{00000000-0010-0000-0700-000006000000}" name="5" totalsRowFunction="count" dataDxfId="629" totalsRowDxfId="126"/>
    <tableColumn id="7" xr3:uid="{00000000-0010-0000-0700-000007000000}" name="6" totalsRowFunction="count" dataDxfId="628" totalsRowDxfId="125"/>
    <tableColumn id="8" xr3:uid="{00000000-0010-0000-0700-000008000000}" name="7" totalsRowFunction="count" dataDxfId="627" totalsRowDxfId="124"/>
    <tableColumn id="9" xr3:uid="{00000000-0010-0000-0700-000009000000}" name="8" totalsRowFunction="count" dataDxfId="626" totalsRowDxfId="123"/>
    <tableColumn id="10" xr3:uid="{00000000-0010-0000-0700-00000A000000}" name="9" totalsRowFunction="count" dataDxfId="625" totalsRowDxfId="122"/>
    <tableColumn id="11" xr3:uid="{00000000-0010-0000-0700-00000B000000}" name="10" totalsRowFunction="count" dataDxfId="624" totalsRowDxfId="121"/>
    <tableColumn id="12" xr3:uid="{00000000-0010-0000-0700-00000C000000}" name="11" totalsRowFunction="count" dataDxfId="623" totalsRowDxfId="120"/>
    <tableColumn id="13" xr3:uid="{00000000-0010-0000-0700-00000D000000}" name="12" totalsRowFunction="count" dataDxfId="622" totalsRowDxfId="119"/>
    <tableColumn id="14" xr3:uid="{00000000-0010-0000-0700-00000E000000}" name="13" totalsRowFunction="count" dataDxfId="621" totalsRowDxfId="118"/>
    <tableColumn id="15" xr3:uid="{00000000-0010-0000-0700-00000F000000}" name="14" totalsRowFunction="count" dataDxfId="620" totalsRowDxfId="117"/>
    <tableColumn id="16" xr3:uid="{00000000-0010-0000-0700-000010000000}" name="15" totalsRowFunction="count" dataDxfId="619" totalsRowDxfId="116"/>
    <tableColumn id="17" xr3:uid="{00000000-0010-0000-0700-000011000000}" name="16" totalsRowFunction="count" dataDxfId="618" totalsRowDxfId="115"/>
    <tableColumn id="18" xr3:uid="{00000000-0010-0000-0700-000012000000}" name="17" totalsRowFunction="count" dataDxfId="617" totalsRowDxfId="114"/>
    <tableColumn id="19" xr3:uid="{00000000-0010-0000-0700-000013000000}" name="18" totalsRowFunction="count" dataDxfId="616" totalsRowDxfId="113"/>
    <tableColumn id="20" xr3:uid="{00000000-0010-0000-0700-000014000000}" name="19" totalsRowFunction="count" dataDxfId="615" totalsRowDxfId="112"/>
    <tableColumn id="21" xr3:uid="{00000000-0010-0000-0700-000015000000}" name="20" totalsRowFunction="count" dataDxfId="614" totalsRowDxfId="111"/>
    <tableColumn id="22" xr3:uid="{00000000-0010-0000-0700-000016000000}" name="21" totalsRowFunction="count" dataDxfId="613" totalsRowDxfId="110"/>
    <tableColumn id="23" xr3:uid="{00000000-0010-0000-0700-000017000000}" name="22" totalsRowFunction="count" dataDxfId="612" totalsRowDxfId="109"/>
    <tableColumn id="24" xr3:uid="{00000000-0010-0000-0700-000018000000}" name="23" totalsRowFunction="count" dataDxfId="611" totalsRowDxfId="108"/>
    <tableColumn id="25" xr3:uid="{00000000-0010-0000-0700-000019000000}" name="24" totalsRowFunction="count" dataDxfId="610" totalsRowDxfId="107"/>
    <tableColumn id="26" xr3:uid="{00000000-0010-0000-0700-00001A000000}" name="25" totalsRowFunction="count" dataDxfId="609" totalsRowDxfId="106"/>
    <tableColumn id="27" xr3:uid="{00000000-0010-0000-0700-00001B000000}" name="26" totalsRowFunction="count" dataDxfId="608" totalsRowDxfId="105"/>
    <tableColumn id="28" xr3:uid="{00000000-0010-0000-0700-00001C000000}" name="27" totalsRowFunction="count" dataDxfId="607" totalsRowDxfId="104"/>
    <tableColumn id="29" xr3:uid="{00000000-0010-0000-0700-00001D000000}" name="28" totalsRowFunction="count" dataDxfId="606" totalsRowDxfId="103"/>
    <tableColumn id="30" xr3:uid="{00000000-0010-0000-0700-00001E000000}" name="29" totalsRowFunction="count" dataDxfId="605" totalsRowDxfId="102"/>
    <tableColumn id="31" xr3:uid="{00000000-0010-0000-0700-00001F000000}" name="30" totalsRowFunction="count" dataDxfId="604" totalsRowDxfId="101"/>
    <tableColumn id="32" xr3:uid="{00000000-0010-0000-0700-000020000000}" name="31" totalsRowFunction="count" dataDxfId="603" totalsRowDxfId="100"/>
    <tableColumn id="33" xr3:uid="{00000000-0010-0000-0700-000021000000}" name="Toplam Gün" totalsRowFunction="sum" dataDxfId="602" totalsRowDxfId="99">
      <calculatedColumnFormula>COUNTA(Ağustos[[#This Row],[1]:[31]])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Eylül" displayName="Eylül" ref="B6:AH12" totalsRowCount="1" headerRowDxfId="601" dataDxfId="600" totalsRowDxfId="599">
  <tableColumns count="33">
    <tableColumn id="1" xr3:uid="{00000000-0010-0000-0800-000001000000}" name="Çalışan Adı" totalsRowFunction="custom" dataDxfId="598" totalsRowDxfId="98" dataCellStyle="Çalışan">
      <totalsRowFormula>AyAdı&amp;" Toplamı"</totalsRowFormula>
    </tableColumn>
    <tableColumn id="2" xr3:uid="{00000000-0010-0000-0800-000002000000}" name="1" totalsRowFunction="count" dataDxfId="597" totalsRowDxfId="97"/>
    <tableColumn id="3" xr3:uid="{00000000-0010-0000-0800-000003000000}" name="2" totalsRowFunction="count" dataDxfId="596" totalsRowDxfId="96"/>
    <tableColumn id="4" xr3:uid="{00000000-0010-0000-0800-000004000000}" name="3" totalsRowFunction="count" dataDxfId="595" totalsRowDxfId="95"/>
    <tableColumn id="5" xr3:uid="{00000000-0010-0000-0800-000005000000}" name="4" totalsRowFunction="count" dataDxfId="594" totalsRowDxfId="94"/>
    <tableColumn id="6" xr3:uid="{00000000-0010-0000-0800-000006000000}" name="5" totalsRowFunction="count" dataDxfId="593" totalsRowDxfId="93"/>
    <tableColumn id="7" xr3:uid="{00000000-0010-0000-0800-000007000000}" name="6" totalsRowFunction="count" dataDxfId="592" totalsRowDxfId="92"/>
    <tableColumn id="8" xr3:uid="{00000000-0010-0000-0800-000008000000}" name="7" totalsRowFunction="count" dataDxfId="591" totalsRowDxfId="91"/>
    <tableColumn id="9" xr3:uid="{00000000-0010-0000-0800-000009000000}" name="8" totalsRowFunction="count" dataDxfId="590" totalsRowDxfId="90"/>
    <tableColumn id="10" xr3:uid="{00000000-0010-0000-0800-00000A000000}" name="9" totalsRowFunction="count" dataDxfId="589" totalsRowDxfId="89"/>
    <tableColumn id="11" xr3:uid="{00000000-0010-0000-0800-00000B000000}" name="10" totalsRowFunction="count" dataDxfId="588" totalsRowDxfId="88"/>
    <tableColumn id="12" xr3:uid="{00000000-0010-0000-0800-00000C000000}" name="11" totalsRowFunction="count" dataDxfId="587" totalsRowDxfId="87"/>
    <tableColumn id="13" xr3:uid="{00000000-0010-0000-0800-00000D000000}" name="12" totalsRowFunction="count" dataDxfId="586" totalsRowDxfId="86"/>
    <tableColumn id="14" xr3:uid="{00000000-0010-0000-0800-00000E000000}" name="13" totalsRowFunction="count" dataDxfId="585" totalsRowDxfId="85"/>
    <tableColumn id="15" xr3:uid="{00000000-0010-0000-0800-00000F000000}" name="14" totalsRowFunction="count" dataDxfId="584" totalsRowDxfId="84"/>
    <tableColumn id="16" xr3:uid="{00000000-0010-0000-0800-000010000000}" name="15" totalsRowFunction="count" dataDxfId="583" totalsRowDxfId="83"/>
    <tableColumn id="17" xr3:uid="{00000000-0010-0000-0800-000011000000}" name="16" totalsRowFunction="count" dataDxfId="582" totalsRowDxfId="82"/>
    <tableColumn id="18" xr3:uid="{00000000-0010-0000-0800-000012000000}" name="17" totalsRowFunction="count" dataDxfId="581" totalsRowDxfId="81"/>
    <tableColumn id="19" xr3:uid="{00000000-0010-0000-0800-000013000000}" name="18" totalsRowFunction="count" dataDxfId="580" totalsRowDxfId="80"/>
    <tableColumn id="20" xr3:uid="{00000000-0010-0000-0800-000014000000}" name="19" totalsRowFunction="count" dataDxfId="579" totalsRowDxfId="79"/>
    <tableColumn id="21" xr3:uid="{00000000-0010-0000-0800-000015000000}" name="20" totalsRowFunction="count" dataDxfId="578" totalsRowDxfId="78"/>
    <tableColumn id="22" xr3:uid="{00000000-0010-0000-0800-000016000000}" name="21" totalsRowFunction="count" dataDxfId="577" totalsRowDxfId="77"/>
    <tableColumn id="23" xr3:uid="{00000000-0010-0000-0800-000017000000}" name="22" totalsRowFunction="count" dataDxfId="576" totalsRowDxfId="76"/>
    <tableColumn id="24" xr3:uid="{00000000-0010-0000-0800-000018000000}" name="23" totalsRowFunction="count" dataDxfId="575" totalsRowDxfId="75"/>
    <tableColumn id="25" xr3:uid="{00000000-0010-0000-0800-000019000000}" name="24" totalsRowFunction="count" dataDxfId="574" totalsRowDxfId="74"/>
    <tableColumn id="26" xr3:uid="{00000000-0010-0000-0800-00001A000000}" name="25" totalsRowFunction="count" dataDxfId="573" totalsRowDxfId="73"/>
    <tableColumn id="27" xr3:uid="{00000000-0010-0000-0800-00001B000000}" name="26" totalsRowFunction="count" dataDxfId="572" totalsRowDxfId="72"/>
    <tableColumn id="28" xr3:uid="{00000000-0010-0000-0800-00001C000000}" name="27" totalsRowFunction="count" dataDxfId="571" totalsRowDxfId="71"/>
    <tableColumn id="29" xr3:uid="{00000000-0010-0000-0800-00001D000000}" name="28" totalsRowFunction="count" dataDxfId="570" totalsRowDxfId="70"/>
    <tableColumn id="30" xr3:uid="{00000000-0010-0000-0800-00001E000000}" name="29" totalsRowFunction="count" dataDxfId="569" totalsRowDxfId="69"/>
    <tableColumn id="31" xr3:uid="{00000000-0010-0000-0800-00001F000000}" name="30" totalsRowFunction="count" dataDxfId="568" totalsRowDxfId="68"/>
    <tableColumn id="32" xr3:uid="{00000000-0010-0000-0800-000020000000}" name=" " totalsRowFunction="count" dataDxfId="567" totalsRowDxfId="67"/>
    <tableColumn id="33" xr3:uid="{00000000-0010-0000-0800-000021000000}" name="Toplam Gün" totalsRowFunction="sum" dataDxfId="566" totalsRowDxfId="66">
      <calculatedColumnFormula>COUNTA(Eylül[[#This Row],[1]:[30]])</calculatedColumnFormula>
    </tableColumn>
  </tableColumns>
  <tableStyleInfo name="Çalışan Devamsızlık Tablosu" showFirstColumn="1" showLastColumn="1" showRowStripes="1" showColumnStripes="0"/>
  <extLst>
    <ext xmlns:x14="http://schemas.microsoft.com/office/spreadsheetml/2009/9/main" uri="{504A1905-F514-4f6f-8877-14C23A59335A}">
      <x14:table altTextSummary="Çalışan adlarını ve devamsızlık tarihlerini girin. Anahtara göre ifade edilen devamsızlık türünü 12. satırda kaydedin: T=Tatil, H=Hastalık, K=Kişisel ve özel girdiler için iki yer tutucu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1:34" ht="15" customHeight="1" x14ac:dyDescent="0.25">
      <c r="AH3" s="20" t="s">
        <v>49</v>
      </c>
    </row>
    <row r="4" spans="1:34" ht="30" customHeight="1" x14ac:dyDescent="0.25">
      <c r="B4" s="12" t="s">
        <v>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TEXT(WEEKDAY(DATE(TakvimYılı,1,1),1),"ggg")</f>
        <v>Sal</v>
      </c>
      <c r="D5" s="2" t="str">
        <f>TEXT(WEEKDAY(DATE(TakvimYılı,1,2),1),"ggg")</f>
        <v>Çar</v>
      </c>
      <c r="E5" s="2" t="str">
        <f>TEXT(WEEKDAY(DATE(TakvimYılı,1,3),1),"ggg")</f>
        <v>Per</v>
      </c>
      <c r="F5" s="2" t="str">
        <f>TEXT(WEEKDAY(DATE(TakvimYılı,1,4),1),"ggg")</f>
        <v>Cum</v>
      </c>
      <c r="G5" s="2" t="str">
        <f>TEXT(WEEKDAY(DATE(TakvimYılı,1,5),1),"ggg")</f>
        <v>Cmt</v>
      </c>
      <c r="H5" s="2" t="str">
        <f>TEXT(WEEKDAY(DATE(TakvimYılı,1,6),1),"ggg")</f>
        <v>Paz</v>
      </c>
      <c r="I5" s="2" t="str">
        <f>TEXT(WEEKDAY(DATE(TakvimYılı,1,7),1),"ggg")</f>
        <v>Pzt</v>
      </c>
      <c r="J5" s="2" t="str">
        <f>TEXT(WEEKDAY(DATE(TakvimYılı,1,8),1),"ggg")</f>
        <v>Sal</v>
      </c>
      <c r="K5" s="2" t="str">
        <f>TEXT(WEEKDAY(DATE(TakvimYılı,1,9),1),"ggg")</f>
        <v>Çar</v>
      </c>
      <c r="L5" s="2" t="str">
        <f>TEXT(WEEKDAY(DATE(TakvimYılı,1,10),1),"ggg")</f>
        <v>Per</v>
      </c>
      <c r="M5" s="2" t="str">
        <f>TEXT(WEEKDAY(DATE(TakvimYılı,1,11),1),"ggg")</f>
        <v>Cum</v>
      </c>
      <c r="N5" s="2" t="str">
        <f>TEXT(WEEKDAY(DATE(TakvimYılı,1,12),1),"ggg")</f>
        <v>Cmt</v>
      </c>
      <c r="O5" s="2" t="str">
        <f>TEXT(WEEKDAY(DATE(TakvimYılı,1,13),1),"ggg")</f>
        <v>Paz</v>
      </c>
      <c r="P5" s="2" t="str">
        <f>TEXT(WEEKDAY(DATE(TakvimYılı,1,14),1),"ggg")</f>
        <v>Pzt</v>
      </c>
      <c r="Q5" s="2" t="str">
        <f>TEXT(WEEKDAY(DATE(TakvimYılı,1,15),1),"ggg")</f>
        <v>Sal</v>
      </c>
      <c r="R5" s="2" t="str">
        <f>TEXT(WEEKDAY(DATE(TakvimYılı,1,16),1),"ggg")</f>
        <v>Çar</v>
      </c>
      <c r="S5" s="2" t="str">
        <f>TEXT(WEEKDAY(DATE(TakvimYılı,1,17),1),"ggg")</f>
        <v>Per</v>
      </c>
      <c r="T5" s="2" t="str">
        <f>TEXT(WEEKDAY(DATE(TakvimYılı,1,18),1),"ggg")</f>
        <v>Cum</v>
      </c>
      <c r="U5" s="2" t="str">
        <f>TEXT(WEEKDAY(DATE(TakvimYılı,1,19),1),"ggg")</f>
        <v>Cmt</v>
      </c>
      <c r="V5" s="2" t="str">
        <f>TEXT(WEEKDAY(DATE(TakvimYılı,1,20),1),"ggg")</f>
        <v>Paz</v>
      </c>
      <c r="W5" s="2" t="str">
        <f>TEXT(WEEKDAY(DATE(TakvimYılı,1,21),1),"ggg")</f>
        <v>Pzt</v>
      </c>
      <c r="X5" s="2" t="str">
        <f>TEXT(WEEKDAY(DATE(TakvimYılı,1,22),1),"ggg")</f>
        <v>Sal</v>
      </c>
      <c r="Y5" s="2" t="str">
        <f>TEXT(WEEKDAY(DATE(TakvimYılı,1,23),1),"ggg")</f>
        <v>Çar</v>
      </c>
      <c r="Z5" s="2" t="str">
        <f>TEXT(WEEKDAY(DATE(TakvimYılı,1,24),1),"ggg")</f>
        <v>Per</v>
      </c>
      <c r="AA5" s="2" t="str">
        <f>TEXT(WEEKDAY(DATE(TakvimYılı,1,25),1),"ggg")</f>
        <v>Cum</v>
      </c>
      <c r="AB5" s="2" t="str">
        <f>TEXT(WEEKDAY(DATE(TakvimYılı,1,26),1),"ggg")</f>
        <v>Cmt</v>
      </c>
      <c r="AC5" s="2" t="str">
        <f>TEXT(WEEKDAY(DATE(TakvimYılı,1,27),1),"ggg")</f>
        <v>Paz</v>
      </c>
      <c r="AD5" s="2" t="str">
        <f>TEXT(WEEKDAY(DATE(TakvimYılı,1,28),1),"ggg")</f>
        <v>Pzt</v>
      </c>
      <c r="AE5" s="2" t="str">
        <f>TEXT(WEEKDAY(DATE(TakvimYılı,1,29),1),"ggg")</f>
        <v>Sal</v>
      </c>
      <c r="AF5" s="2" t="str">
        <f>TEXT(WEEKDAY(DATE(TakvimYılı,1,30),1),"ggg")</f>
        <v>Çar</v>
      </c>
      <c r="AG5" s="2" t="str">
        <f>TEXT(WEEKDAY(DATE(TakvimYılı,1,31),1),"ggg")</f>
        <v>Per</v>
      </c>
      <c r="AH5" s="12"/>
    </row>
    <row r="6" spans="1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1:34" ht="30" customHeight="1" x14ac:dyDescent="0.25">
      <c r="B7" s="9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COUNTA(Ocak!$C7:$AG7)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17</v>
      </c>
      <c r="H8" s="3" t="s">
        <v>17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17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COUNTA(Ocak!$C8:$AG8)</f>
        <v>7</v>
      </c>
    </row>
    <row r="9" spans="1:34" ht="30" customHeight="1" x14ac:dyDescent="0.25">
      <c r="B9" s="9" t="s">
        <v>6</v>
      </c>
      <c r="C9" s="3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17</v>
      </c>
      <c r="AF9" s="3"/>
      <c r="AG9" s="3"/>
      <c r="AH9" s="10">
        <f>COUNTA(Ocak!$C9:$AG9)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9</v>
      </c>
      <c r="V10" s="3" t="s">
        <v>9</v>
      </c>
      <c r="W10" s="3" t="s">
        <v>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COUNTA(Ocak!$C10:$AG10)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17</v>
      </c>
      <c r="G11" s="3" t="s">
        <v>9</v>
      </c>
      <c r="H11" s="3" t="s">
        <v>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17</v>
      </c>
      <c r="T11" s="3"/>
      <c r="U11" s="3"/>
      <c r="V11" s="3"/>
      <c r="W11" s="3"/>
      <c r="X11" s="3"/>
      <c r="Y11" s="3"/>
      <c r="Z11" s="3" t="s">
        <v>17</v>
      </c>
      <c r="AA11" s="3"/>
      <c r="AB11" s="3"/>
      <c r="AC11" s="3"/>
      <c r="AD11" s="3"/>
      <c r="AE11" s="3"/>
      <c r="AF11" s="3"/>
      <c r="AG11" s="3" t="s">
        <v>9</v>
      </c>
      <c r="AH11" s="10">
        <f>COUNTA(Ocak!$C11:$AG11)</f>
        <v>6</v>
      </c>
    </row>
    <row r="12" spans="1:34" ht="30" customHeight="1" x14ac:dyDescent="0.25">
      <c r="B12" s="21" t="str">
        <f>AyAdı&amp;" Toplamı"</f>
        <v>Ocak Toplamı</v>
      </c>
      <c r="C12" s="13">
        <f>SUBTOTAL(103,Ocak!$C$7:$C$11)</f>
        <v>0</v>
      </c>
      <c r="D12" s="13">
        <f>SUBTOTAL(103,Ocak!$D$7:$D$11)</f>
        <v>0</v>
      </c>
      <c r="E12" s="13">
        <f>SUBTOTAL(103,Ocak!$E$7:$E$11)</f>
        <v>2</v>
      </c>
      <c r="F12" s="13">
        <f>SUBTOTAL(103,Ocak!$F$7:$F$11)</f>
        <v>2</v>
      </c>
      <c r="G12" s="13">
        <f>SUBTOTAL(103,Ocak!$G$7:$G$11)</f>
        <v>3</v>
      </c>
      <c r="H12" s="13">
        <f>SUBTOTAL(103,Ocak!$H$7:$H$11)</f>
        <v>3</v>
      </c>
      <c r="I12" s="13">
        <f>SUBTOTAL(103,Ocak!$I$7:$I$11)</f>
        <v>1</v>
      </c>
      <c r="J12" s="13">
        <f>SUBTOTAL(103,Ocak!$J$7:$J$11)</f>
        <v>0</v>
      </c>
      <c r="K12" s="13">
        <f>SUBTOTAL(103,Ocak!$K$7:$K$11)</f>
        <v>0</v>
      </c>
      <c r="L12" s="13">
        <f>SUBTOTAL(103,Ocak!$L$7:$L$11)</f>
        <v>0</v>
      </c>
      <c r="M12" s="13">
        <f>SUBTOTAL(103,Ocak!$M$7:$M$11)</f>
        <v>1</v>
      </c>
      <c r="N12" s="13">
        <f>SUBTOTAL(103,Ocak!$N$7:$N$11)</f>
        <v>0</v>
      </c>
      <c r="O12" s="13">
        <f>SUBTOTAL(103,Ocak!$O$7:$O$11)</f>
        <v>1</v>
      </c>
      <c r="P12" s="13">
        <f>SUBTOTAL(103,Ocak!$P$7:$P$11)</f>
        <v>1</v>
      </c>
      <c r="Q12" s="13">
        <f>SUBTOTAL(103,Ocak!$Q$7:$Q$11)</f>
        <v>0</v>
      </c>
      <c r="R12" s="13">
        <f>SUBTOTAL(103,Ocak!$R$7:$R$11)</f>
        <v>0</v>
      </c>
      <c r="S12" s="13">
        <f>SUBTOTAL(103,Ocak!$S$7:$S$11)</f>
        <v>1</v>
      </c>
      <c r="T12" s="13">
        <f>SUBTOTAL(103,Ocak!$T$7:$T$11)</f>
        <v>0</v>
      </c>
      <c r="U12" s="13">
        <f>SUBTOTAL(103,Ocak!$U$7:$U$11)</f>
        <v>1</v>
      </c>
      <c r="V12" s="13">
        <f>SUBTOTAL(103,Ocak!$V$7:$V$11)</f>
        <v>2</v>
      </c>
      <c r="W12" s="13">
        <f>SUBTOTAL(103,Ocak!$W$7:$W$11)</f>
        <v>1</v>
      </c>
      <c r="X12" s="13">
        <f>SUBTOTAL(103,Ocak!$X$7:$X$11)</f>
        <v>0</v>
      </c>
      <c r="Y12" s="13">
        <f>SUBTOTAL(103,Ocak!$Y$7:$Y$11)</f>
        <v>0</v>
      </c>
      <c r="Z12" s="13">
        <f>SUBTOTAL(103,Ocak!$Z$7:$Z$11)</f>
        <v>1</v>
      </c>
      <c r="AA12" s="13">
        <f>SUBTOTAL(103,Ocak!$AA$7:$AA$11)</f>
        <v>1</v>
      </c>
      <c r="AB12" s="13">
        <f>SUBTOTAL(103,Ocak!$AB$7:$AB$11)</f>
        <v>1</v>
      </c>
      <c r="AC12" s="13">
        <f>SUBTOTAL(103,Ocak!$AC$7:$AC$11)</f>
        <v>1</v>
      </c>
      <c r="AD12" s="13">
        <f>SUBTOTAL(103,Ocak!$AD$7:$AD$11)</f>
        <v>0</v>
      </c>
      <c r="AE12" s="13">
        <f>SUBTOTAL(103,Ocak!$AE$7:$AE$11)</f>
        <v>1</v>
      </c>
      <c r="AF12" s="13">
        <f>SUBTOTAL(103,Ocak!$AF$7:$AF$11)</f>
        <v>0</v>
      </c>
      <c r="AG12" s="13">
        <f>SUBTOTAL(103,Ocak!$AG$7:$AG$11)</f>
        <v>1</v>
      </c>
      <c r="AH12" s="13">
        <f>SUBTOTAL(109,Ocak[Toplam Gün])</f>
        <v>25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  <cfRule type="expression" dxfId="424" priority="6" stopIfTrue="1">
      <formula>C7=AnahtarÖzel2</formula>
    </cfRule>
    <cfRule type="expression" dxfId="423" priority="7" stopIfTrue="1">
      <formula>C7=AnahtarÖzel1</formula>
    </cfRule>
    <cfRule type="expression" dxfId="422" priority="8" stopIfTrue="1">
      <formula>C7=AnahtarHasta</formula>
    </cfRule>
    <cfRule type="expression" dxfId="421" priority="9" stopIfTrue="1">
      <formula>C7=AnahtarKişisel</formula>
    </cfRule>
    <cfRule type="expression" dxfId="420" priority="10" stopIfTrue="1">
      <formula>C7=AnahtarTatil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Bu hücreye yılı girin" sqref="AH4" xr:uid="{00000000-0002-0000-0000-000000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000-000001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000-000002000000}"/>
    <dataValidation allowBlank="1" showInputMessage="1" showErrorMessage="1" prompt="Bu satırdaki günler, AH4 hücresine girilen yıla göre ilgili ay için otomatik olarak güncelleştirilir. Ayın her günü, bir çalışanın devamsızlığını ve devamsızlık türünü not alabileceğiniz bir sütundur" sqref="C5" xr:uid="{00000000-0002-0000-0000-000003000000}"/>
    <dataValidation allowBlank="1" showInputMessage="1" showErrorMessage="1" prompt="Bu ay çalışanın toplamda kaç gün devamsızlık yaptığını otomatik olarak hesaplar" sqref="AH6" xr:uid="{00000000-0002-0000-0000-000004000000}"/>
    <dataValidation allowBlank="1" showInputMessage="1" showErrorMessage="1" prompt="Çalışma sayfasının başlığı bu hücrededir. Başlığı güncelleştirdiğinizde, her çalışma sayfası bu değişikliği otomatik olarak devralır" sqref="B1" xr:uid="{00000000-0002-0000-0000-000005000000}"/>
    <dataValidation allowBlank="1" showInputMessage="1" showErrorMessage="1" prompt="Bu devamsızlık zaman çizelgesinin ait olduğu ay. AH4 hücresinde yılı güncelleştirin. Tablonun son hücresinde aya göre toplam değerleri izleyin. Tablonun B sütununa çalışan adlarını girin" sqref="B4" xr:uid="{00000000-0002-0000-0000-000006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000-000007000000}"/>
    <dataValidation allowBlank="1" showInputMessage="1" showErrorMessage="1" prompt="&quot;T&quot; harfi tatil nedeniyle devamsızlığı gösterir" sqref="C2" xr:uid="{00000000-0002-0000-0000-000008000000}"/>
    <dataValidation allowBlank="1" showInputMessage="1" showErrorMessage="1" prompt="&quot;K&quot; harfi kişisel nedenlerden dolayı devamsızlığı gösterir" sqref="G2" xr:uid="{00000000-0002-0000-0000-000009000000}"/>
    <dataValidation allowBlank="1" showInputMessage="1" showErrorMessage="1" prompt="&quot;H&quot; harfi hastalık nedeniyle devamsızlığı gösterir" sqref="K2" xr:uid="{00000000-0002-0000-0000-00000A000000}"/>
    <dataValidation allowBlank="1" showInputMessage="1" showErrorMessage="1" prompt="Başka bir anahtar öğesi eklemek için bir harf girip sağdaki etiketi özelleştirin" sqref="N2 R2" xr:uid="{00000000-0002-0000-0000-00000B000000}"/>
    <dataValidation allowBlank="1" showInputMessage="1" showErrorMessage="1" prompt="Soldaki özel anahtarı açıklamak için bir etiket girin" sqref="O2:Q2 S2:U2" xr:uid="{00000000-0002-0000-0000-00000C000000}"/>
    <dataValidation allowBlank="1" showInputMessage="1" showErrorMessage="1" prompt="Çalışan Devamsızlığı Zaman Çizelgesi, her ayın günlerine göre çalışanların devamsızlığını izler. 13 çalışma sayfasından 12’si birer ay için, sonuncusu ise çalışan adları içindir. Bu çalışma sayfasında Ocak devamsızlığını izleyin" sqref="A1" xr:uid="{00000000-0002-0000-0000-00000D000000}"/>
    <dataValidation allowBlank="1" showInputMessage="1" showErrorMessage="1" prompt="Aşağıdaki hücreye yılı girin" sqref="AH3" xr:uid="{00000000-0002-0000-0000-00000E000000}"/>
  </dataValidation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TEXT(WEEKDAY(DATE(TakvimYılı,10,1),1),"ggg")</f>
        <v>Sal</v>
      </c>
      <c r="D5" s="2" t="str">
        <f>TEXT(WEEKDAY(DATE(TakvimYılı,10,2),1),"ggg")</f>
        <v>Çar</v>
      </c>
      <c r="E5" s="2" t="str">
        <f>TEXT(WEEKDAY(DATE(TakvimYılı,10,3),1),"ggg")</f>
        <v>Per</v>
      </c>
      <c r="F5" s="2" t="str">
        <f>TEXT(WEEKDAY(DATE(TakvimYılı,10,4),1),"ggg")</f>
        <v>Cum</v>
      </c>
      <c r="G5" s="2" t="str">
        <f>TEXT(WEEKDAY(DATE(TakvimYılı,10,5),1),"ggg")</f>
        <v>Cmt</v>
      </c>
      <c r="H5" s="2" t="str">
        <f>TEXT(WEEKDAY(DATE(TakvimYılı,10,6),1),"ggg")</f>
        <v>Paz</v>
      </c>
      <c r="I5" s="2" t="str">
        <f>TEXT(WEEKDAY(DATE(TakvimYılı,10,7),1),"ggg")</f>
        <v>Pzt</v>
      </c>
      <c r="J5" s="2" t="str">
        <f>TEXT(WEEKDAY(DATE(TakvimYılı,10,8),1),"ggg")</f>
        <v>Sal</v>
      </c>
      <c r="K5" s="2" t="str">
        <f>TEXT(WEEKDAY(DATE(TakvimYılı,10,9),1),"ggg")</f>
        <v>Çar</v>
      </c>
      <c r="L5" s="2" t="str">
        <f>TEXT(WEEKDAY(DATE(TakvimYılı,10,10),1),"ggg")</f>
        <v>Per</v>
      </c>
      <c r="M5" s="2" t="str">
        <f>TEXT(WEEKDAY(DATE(TakvimYılı,10,11),1),"ggg")</f>
        <v>Cum</v>
      </c>
      <c r="N5" s="2" t="str">
        <f>TEXT(WEEKDAY(DATE(TakvimYılı,10,12),1),"ggg")</f>
        <v>Cmt</v>
      </c>
      <c r="O5" s="2" t="str">
        <f>TEXT(WEEKDAY(DATE(TakvimYılı,10,13),1),"ggg")</f>
        <v>Paz</v>
      </c>
      <c r="P5" s="2" t="str">
        <f>TEXT(WEEKDAY(DATE(TakvimYılı,10,14),1),"ggg")</f>
        <v>Pzt</v>
      </c>
      <c r="Q5" s="2" t="str">
        <f>TEXT(WEEKDAY(DATE(TakvimYılı,10,15),1),"ggg")</f>
        <v>Sal</v>
      </c>
      <c r="R5" s="2" t="str">
        <f>TEXT(WEEKDAY(DATE(TakvimYılı,10,16),1),"ggg")</f>
        <v>Çar</v>
      </c>
      <c r="S5" s="2" t="str">
        <f>TEXT(WEEKDAY(DATE(TakvimYılı,10,17),1),"ggg")</f>
        <v>Per</v>
      </c>
      <c r="T5" s="2" t="str">
        <f>TEXT(WEEKDAY(DATE(TakvimYılı,10,18),1),"ggg")</f>
        <v>Cum</v>
      </c>
      <c r="U5" s="2" t="str">
        <f>TEXT(WEEKDAY(DATE(TakvimYılı,10,19),1),"ggg")</f>
        <v>Cmt</v>
      </c>
      <c r="V5" s="2" t="str">
        <f>TEXT(WEEKDAY(DATE(TakvimYılı,10,20),1),"ggg")</f>
        <v>Paz</v>
      </c>
      <c r="W5" s="2" t="str">
        <f>TEXT(WEEKDAY(DATE(TakvimYılı,10,21),1),"ggg")</f>
        <v>Pzt</v>
      </c>
      <c r="X5" s="2" t="str">
        <f>TEXT(WEEKDAY(DATE(TakvimYılı,10,22),1),"ggg")</f>
        <v>Sal</v>
      </c>
      <c r="Y5" s="2" t="str">
        <f>TEXT(WEEKDAY(DATE(TakvimYılı,10,23),1),"ggg")</f>
        <v>Çar</v>
      </c>
      <c r="Z5" s="2" t="str">
        <f>TEXT(WEEKDAY(DATE(TakvimYılı,10,24),1),"ggg")</f>
        <v>Per</v>
      </c>
      <c r="AA5" s="2" t="str">
        <f>TEXT(WEEKDAY(DATE(TakvimYılı,10,25),1),"ggg")</f>
        <v>Cum</v>
      </c>
      <c r="AB5" s="2" t="str">
        <f>TEXT(WEEKDAY(DATE(TakvimYılı,10,26),1),"ggg")</f>
        <v>Cmt</v>
      </c>
      <c r="AC5" s="2" t="str">
        <f>TEXT(WEEKDAY(DATE(TakvimYılı,10,27),1),"ggg")</f>
        <v>Paz</v>
      </c>
      <c r="AD5" s="2" t="str">
        <f>TEXT(WEEKDAY(DATE(TakvimYılı,10,28),1),"ggg")</f>
        <v>Pzt</v>
      </c>
      <c r="AE5" s="2" t="str">
        <f>TEXT(WEEKDAY(DATE(TakvimYılı,10,29),1),"ggg")</f>
        <v>Sal</v>
      </c>
      <c r="AF5" s="2" t="str">
        <f>TEXT(WEEKDAY(DATE(TakvimYılı,10,30),1),"ggg")</f>
        <v>Çar</v>
      </c>
      <c r="AG5" s="2" t="str">
        <f>TEXT(WEEKDAY(DATE(TakvimYılı,10,31),1),"ggg")</f>
        <v>Per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COUNTA(Ekim[[#This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COUNTA(Ekim[[#This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COUNTA(Ekim[[#This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COUNTA(Ekim[[#This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COUNTA(Ekim[[#This Row],[1]:[31]])</f>
        <v>0</v>
      </c>
    </row>
    <row r="12" spans="2:34" ht="30" customHeight="1" x14ac:dyDescent="0.25">
      <c r="B12" s="21" t="str">
        <f>AyAdı&amp;" Toplamı"</f>
        <v>Ekim Toplamı</v>
      </c>
      <c r="C12" s="13">
        <f>SUBTOTAL(103,Ekim[1])</f>
        <v>0</v>
      </c>
      <c r="D12" s="13">
        <f>SUBTOTAL(103,Ekim[2])</f>
        <v>0</v>
      </c>
      <c r="E12" s="13">
        <f>SUBTOTAL(103,Ekim[3])</f>
        <v>0</v>
      </c>
      <c r="F12" s="13">
        <f>SUBTOTAL(103,Ekim[4])</f>
        <v>0</v>
      </c>
      <c r="G12" s="13">
        <f>SUBTOTAL(103,Ekim[5])</f>
        <v>0</v>
      </c>
      <c r="H12" s="13">
        <f>SUBTOTAL(103,Ekim[6])</f>
        <v>0</v>
      </c>
      <c r="I12" s="13">
        <f>SUBTOTAL(103,Ekim[7])</f>
        <v>0</v>
      </c>
      <c r="J12" s="13">
        <f>SUBTOTAL(103,Ekim[8])</f>
        <v>0</v>
      </c>
      <c r="K12" s="13">
        <f>SUBTOTAL(103,Ekim[9])</f>
        <v>0</v>
      </c>
      <c r="L12" s="13">
        <f>SUBTOTAL(103,Ekim[10])</f>
        <v>0</v>
      </c>
      <c r="M12" s="13">
        <f>SUBTOTAL(103,Ekim[11])</f>
        <v>0</v>
      </c>
      <c r="N12" s="13">
        <f>SUBTOTAL(103,Ekim[12])</f>
        <v>0</v>
      </c>
      <c r="O12" s="13">
        <f>SUBTOTAL(103,Ekim[13])</f>
        <v>0</v>
      </c>
      <c r="P12" s="13">
        <f>SUBTOTAL(103,Ekim[14])</f>
        <v>0</v>
      </c>
      <c r="Q12" s="13">
        <f>SUBTOTAL(103,Ekim[15])</f>
        <v>0</v>
      </c>
      <c r="R12" s="13">
        <f>SUBTOTAL(103,Ekim[16])</f>
        <v>0</v>
      </c>
      <c r="S12" s="13">
        <f>SUBTOTAL(103,Ekim[17])</f>
        <v>0</v>
      </c>
      <c r="T12" s="13">
        <f>SUBTOTAL(103,Ekim[18])</f>
        <v>0</v>
      </c>
      <c r="U12" s="13">
        <f>SUBTOTAL(103,Ekim[19])</f>
        <v>0</v>
      </c>
      <c r="V12" s="13">
        <f>SUBTOTAL(103,Ekim[20])</f>
        <v>0</v>
      </c>
      <c r="W12" s="13">
        <f>SUBTOTAL(103,Ekim[21])</f>
        <v>0</v>
      </c>
      <c r="X12" s="13">
        <f>SUBTOTAL(103,Ekim[22])</f>
        <v>0</v>
      </c>
      <c r="Y12" s="13">
        <f>SUBTOTAL(103,Ekim[23])</f>
        <v>0</v>
      </c>
      <c r="Z12" s="13">
        <f>SUBTOTAL(103,Ekim[24])</f>
        <v>0</v>
      </c>
      <c r="AA12" s="13">
        <f>SUBTOTAL(103,Ekim[25])</f>
        <v>0</v>
      </c>
      <c r="AB12" s="13">
        <f>SUBTOTAL(103,Ekim[26])</f>
        <v>0</v>
      </c>
      <c r="AC12" s="13">
        <f>SUBTOTAL(103,Ekim[27])</f>
        <v>0</v>
      </c>
      <c r="AD12" s="13">
        <f>SUBTOTAL(103,Ekim[28])</f>
        <v>0</v>
      </c>
      <c r="AE12" s="13">
        <f>SUBTOTAL(103,Ekim[29])</f>
        <v>0</v>
      </c>
      <c r="AF12" s="13">
        <f>SUBTOTAL(103,Ekim[30])</f>
        <v>0</v>
      </c>
      <c r="AG12" s="13">
        <f>SUBTOTAL(103,Ekim[31])</f>
        <v>0</v>
      </c>
      <c r="AH12" s="13">
        <f>SUBTOTAL(109,Ekim[Toplam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77" priority="2" stopIfTrue="1">
      <formula>C7=AnahtarÖzel2</formula>
    </cfRule>
    <cfRule type="expression" dxfId="376" priority="3" stopIfTrue="1">
      <formula>C7=AnahtarÖzel1</formula>
    </cfRule>
    <cfRule type="expression" dxfId="375" priority="4" stopIfTrue="1">
      <formula>C7=AnahtarHasta</formula>
    </cfRule>
    <cfRule type="expression" dxfId="374" priority="5" stopIfTrue="1">
      <formula>C7=AnahtarKişisel</formula>
    </cfRule>
    <cfRule type="expression" dxfId="373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900-000000000000}"/>
    <dataValidation allowBlank="1" showInputMessage="1" showErrorMessage="1" prompt="Ocak çalışma sayfasında girilen yıla göre otomatik olarak güncelleştirilen yıl" sqref="AH4" xr:uid="{00000000-0002-0000-0900-000001000000}"/>
    <dataValidation allowBlank="1" showInputMessage="1" showErrorMessage="1" prompt="Bu ay bir çalışanın toplamda kaç gün devamsızlık yaptığını, bu sütunda otomatik olarak hesaplar" sqref="AH6" xr:uid="{00000000-0002-0000-0900-000002000000}"/>
    <dataValidation allowBlank="1" showInputMessage="1" showErrorMessage="1" prompt="Bu çalışma sayfasında Ekim devamsızlığını izleyin" sqref="A1" xr:uid="{00000000-0002-0000-0900-000003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900-000004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900-000005000000}"/>
    <dataValidation allowBlank="1" showInputMessage="1" showErrorMessage="1" prompt="&quot;T&quot; harfi tatil nedeniyle devamsızlığı gösterir" sqref="C2" xr:uid="{00000000-0002-0000-0900-000006000000}"/>
    <dataValidation allowBlank="1" showInputMessage="1" showErrorMessage="1" prompt="&quot;K&quot; harfi kişisel nedenlerden dolayı devamsızlığı gösterir" sqref="G2" xr:uid="{00000000-0002-0000-0900-000007000000}"/>
    <dataValidation allowBlank="1" showInputMessage="1" showErrorMessage="1" prompt="&quot;H&quot; harfi hastalık nedeniyle devamsızlığı gösterir" sqref="K2" xr:uid="{00000000-0002-0000-0900-000008000000}"/>
    <dataValidation allowBlank="1" showInputMessage="1" showErrorMessage="1" prompt="Başka bir anahtar öğesi eklemek için bir harf girip sağdaki etiketi özelleştirin" sqref="N2 R2" xr:uid="{00000000-0002-0000-0900-000009000000}"/>
    <dataValidation allowBlank="1" showInputMessage="1" showErrorMessage="1" prompt="Soldaki özel anahtarı açıklamak için bir etiket girin" sqref="O2:Q2 S2:U2" xr:uid="{00000000-0002-0000-0900-00000A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900-00000B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900-00000C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9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TEXT(WEEKDAY(DATE(TakvimYılı,11,1),1),"ggg")</f>
        <v>Cum</v>
      </c>
      <c r="D5" s="2" t="str">
        <f>TEXT(WEEKDAY(DATE(TakvimYılı,11,2),1),"ggg")</f>
        <v>Cmt</v>
      </c>
      <c r="E5" s="2" t="str">
        <f>TEXT(WEEKDAY(DATE(TakvimYılı,11,3),1),"ggg")</f>
        <v>Paz</v>
      </c>
      <c r="F5" s="2" t="str">
        <f>TEXT(WEEKDAY(DATE(TakvimYılı,11,4),1),"ggg")</f>
        <v>Pzt</v>
      </c>
      <c r="G5" s="2" t="str">
        <f>TEXT(WEEKDAY(DATE(TakvimYılı,11,5),1),"ggg")</f>
        <v>Sal</v>
      </c>
      <c r="H5" s="2" t="str">
        <f>TEXT(WEEKDAY(DATE(TakvimYılı,11,6),1),"ggg")</f>
        <v>Çar</v>
      </c>
      <c r="I5" s="2" t="str">
        <f>TEXT(WEEKDAY(DATE(TakvimYılı,11,7),1),"ggg")</f>
        <v>Per</v>
      </c>
      <c r="J5" s="2" t="str">
        <f>TEXT(WEEKDAY(DATE(TakvimYılı,11,8),1),"ggg")</f>
        <v>Cum</v>
      </c>
      <c r="K5" s="2" t="str">
        <f>TEXT(WEEKDAY(DATE(TakvimYılı,11,9),1),"ggg")</f>
        <v>Cmt</v>
      </c>
      <c r="L5" s="2" t="str">
        <f>TEXT(WEEKDAY(DATE(TakvimYılı,11,10),1),"ggg")</f>
        <v>Paz</v>
      </c>
      <c r="M5" s="2" t="str">
        <f>TEXT(WEEKDAY(DATE(TakvimYılı,11,11),1),"ggg")</f>
        <v>Pzt</v>
      </c>
      <c r="N5" s="2" t="str">
        <f>TEXT(WEEKDAY(DATE(TakvimYılı,11,12),1),"ggg")</f>
        <v>Sal</v>
      </c>
      <c r="O5" s="2" t="str">
        <f>TEXT(WEEKDAY(DATE(TakvimYılı,11,13),1),"ggg")</f>
        <v>Çar</v>
      </c>
      <c r="P5" s="2" t="str">
        <f>TEXT(WEEKDAY(DATE(TakvimYılı,11,14),1),"ggg")</f>
        <v>Per</v>
      </c>
      <c r="Q5" s="2" t="str">
        <f>TEXT(WEEKDAY(DATE(TakvimYılı,11,15),1),"ggg")</f>
        <v>Cum</v>
      </c>
      <c r="R5" s="2" t="str">
        <f>TEXT(WEEKDAY(DATE(TakvimYılı,11,16),1),"ggg")</f>
        <v>Cmt</v>
      </c>
      <c r="S5" s="2" t="str">
        <f>TEXT(WEEKDAY(DATE(TakvimYılı,11,17),1),"ggg")</f>
        <v>Paz</v>
      </c>
      <c r="T5" s="2" t="str">
        <f>TEXT(WEEKDAY(DATE(TakvimYılı,11,18),1),"ggg")</f>
        <v>Pzt</v>
      </c>
      <c r="U5" s="2" t="str">
        <f>TEXT(WEEKDAY(DATE(TakvimYılı,11,19),1),"ggg")</f>
        <v>Sal</v>
      </c>
      <c r="V5" s="2" t="str">
        <f>TEXT(WEEKDAY(DATE(TakvimYılı,11,20),1),"ggg")</f>
        <v>Çar</v>
      </c>
      <c r="W5" s="2" t="str">
        <f>TEXT(WEEKDAY(DATE(TakvimYılı,11,21),1),"ggg")</f>
        <v>Per</v>
      </c>
      <c r="X5" s="2" t="str">
        <f>TEXT(WEEKDAY(DATE(TakvimYılı,11,22),1),"ggg")</f>
        <v>Cum</v>
      </c>
      <c r="Y5" s="2" t="str">
        <f>TEXT(WEEKDAY(DATE(TakvimYılı,11,23),1),"ggg")</f>
        <v>Cmt</v>
      </c>
      <c r="Z5" s="2" t="str">
        <f>TEXT(WEEKDAY(DATE(TakvimYılı,11,24),1),"ggg")</f>
        <v>Paz</v>
      </c>
      <c r="AA5" s="2" t="str">
        <f>TEXT(WEEKDAY(DATE(TakvimYılı,11,25),1),"ggg")</f>
        <v>Pzt</v>
      </c>
      <c r="AB5" s="2" t="str">
        <f>TEXT(WEEKDAY(DATE(TakvimYılı,11,26),1),"ggg")</f>
        <v>Sal</v>
      </c>
      <c r="AC5" s="2" t="str">
        <f>TEXT(WEEKDAY(DATE(TakvimYılı,11,27),1),"ggg")</f>
        <v>Çar</v>
      </c>
      <c r="AD5" s="2" t="str">
        <f>TEXT(WEEKDAY(DATE(TakvimYılı,11,28),1),"ggg")</f>
        <v>Per</v>
      </c>
      <c r="AE5" s="2" t="str">
        <f>TEXT(WEEKDAY(DATE(TakvimYılı,11,29),1),"ggg")</f>
        <v>Cum</v>
      </c>
      <c r="AF5" s="2" t="str">
        <f>TEXT(WEEKDAY(DATE(TakvimYılı,11,30),1),"ggg")</f>
        <v>Cmt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COUNTA(Kasım[[#This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COUNTA(Kasım[[#This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COUNTA(Kasım[[#This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COUNTA(Kasım[[#This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COUNTA(Kasım[[#This Row],[1]:[30]])</f>
        <v>0</v>
      </c>
    </row>
    <row r="12" spans="2:34" ht="30" customHeight="1" x14ac:dyDescent="0.25">
      <c r="B12" s="21" t="str">
        <f>AyAdı&amp;" Toplamı"</f>
        <v>Kasım Toplamı</v>
      </c>
      <c r="C12" s="13">
        <f>SUBTOTAL(103,Kasım[1])</f>
        <v>0</v>
      </c>
      <c r="D12" s="13">
        <f>SUBTOTAL(103,Kasım[2])</f>
        <v>0</v>
      </c>
      <c r="E12" s="13">
        <f>SUBTOTAL(103,Kasım[3])</f>
        <v>0</v>
      </c>
      <c r="F12" s="13">
        <f>SUBTOTAL(103,Kasım[4])</f>
        <v>0</v>
      </c>
      <c r="G12" s="13">
        <f>SUBTOTAL(103,Kasım[5])</f>
        <v>0</v>
      </c>
      <c r="H12" s="13">
        <f>SUBTOTAL(103,Kasım[6])</f>
        <v>0</v>
      </c>
      <c r="I12" s="13">
        <f>SUBTOTAL(103,Kasım[7])</f>
        <v>0</v>
      </c>
      <c r="J12" s="13">
        <f>SUBTOTAL(103,Kasım[8])</f>
        <v>0</v>
      </c>
      <c r="K12" s="13">
        <f>SUBTOTAL(103,Kasım[9])</f>
        <v>0</v>
      </c>
      <c r="L12" s="13">
        <f>SUBTOTAL(103,Kasım[10])</f>
        <v>0</v>
      </c>
      <c r="M12" s="13">
        <f>SUBTOTAL(103,Kasım[11])</f>
        <v>0</v>
      </c>
      <c r="N12" s="13">
        <f>SUBTOTAL(103,Kasım[12])</f>
        <v>0</v>
      </c>
      <c r="O12" s="13">
        <f>SUBTOTAL(103,Kasım[13])</f>
        <v>0</v>
      </c>
      <c r="P12" s="13">
        <f>SUBTOTAL(103,Kasım[14])</f>
        <v>0</v>
      </c>
      <c r="Q12" s="13">
        <f>SUBTOTAL(103,Kasım[15])</f>
        <v>0</v>
      </c>
      <c r="R12" s="13">
        <f>SUBTOTAL(103,Kasım[16])</f>
        <v>0</v>
      </c>
      <c r="S12" s="13">
        <f>SUBTOTAL(103,Kasım[17])</f>
        <v>0</v>
      </c>
      <c r="T12" s="13">
        <f>SUBTOTAL(103,Kasım[18])</f>
        <v>0</v>
      </c>
      <c r="U12" s="13">
        <f>SUBTOTAL(103,Kasım[19])</f>
        <v>0</v>
      </c>
      <c r="V12" s="13">
        <f>SUBTOTAL(103,Kasım[20])</f>
        <v>0</v>
      </c>
      <c r="W12" s="13">
        <f>SUBTOTAL(103,Kasım[21])</f>
        <v>0</v>
      </c>
      <c r="X12" s="13">
        <f>SUBTOTAL(103,Kasım[22])</f>
        <v>0</v>
      </c>
      <c r="Y12" s="13">
        <f>SUBTOTAL(103,Kasım[23])</f>
        <v>0</v>
      </c>
      <c r="Z12" s="13">
        <f>SUBTOTAL(103,Kasım[24])</f>
        <v>0</v>
      </c>
      <c r="AA12" s="13">
        <f>SUBTOTAL(103,Kasım[25])</f>
        <v>0</v>
      </c>
      <c r="AB12" s="13">
        <f>SUBTOTAL(103,Kasım[26])</f>
        <v>0</v>
      </c>
      <c r="AC12" s="13">
        <f>SUBTOTAL(103,Kasım[27])</f>
        <v>0</v>
      </c>
      <c r="AD12" s="13">
        <f>SUBTOTAL(103,Kasım[28])</f>
        <v>0</v>
      </c>
      <c r="AE12" s="13">
        <f>SUBTOTAL(103,Kasım[29])</f>
        <v>0</v>
      </c>
      <c r="AF12" s="13">
        <f>SUBTOTAL(103,Kasım[30])</f>
        <v>0</v>
      </c>
      <c r="AG12" s="13">
        <f>SUBTOTAL(103,Kasım[[ ]])</f>
        <v>0</v>
      </c>
      <c r="AH12" s="13">
        <f>SUBTOTAL(109,Kasım[Toplam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72" priority="2" stopIfTrue="1">
      <formula>C7=AnahtarÖzel2</formula>
    </cfRule>
    <cfRule type="expression" dxfId="371" priority="3" stopIfTrue="1">
      <formula>C7=AnahtarÖzel1</formula>
    </cfRule>
    <cfRule type="expression" dxfId="370" priority="4" stopIfTrue="1">
      <formula>C7=AnahtarHasta</formula>
    </cfRule>
    <cfRule type="expression" dxfId="369" priority="5" stopIfTrue="1">
      <formula>C7=AnahtarKişisel</formula>
    </cfRule>
    <cfRule type="expression" dxfId="368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A00-000000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A00-000001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A00-000002000000}"/>
    <dataValidation allowBlank="1" showInputMessage="1" showErrorMessage="1" prompt="Soldaki özel anahtarı açıklamak için bir etiket girin" sqref="O2:Q2 S2:U2" xr:uid="{00000000-0002-0000-0A00-000003000000}"/>
    <dataValidation allowBlank="1" showInputMessage="1" showErrorMessage="1" prompt="Başka bir anahtar öğesi eklemek için bir harf girip sağdaki etiketi özelleştirin" sqref="N2 R2" xr:uid="{00000000-0002-0000-0A00-000004000000}"/>
    <dataValidation allowBlank="1" showInputMessage="1" showErrorMessage="1" prompt="&quot;H&quot; harfi hastalık nedeniyle devamsızlığı gösterir" sqref="K2" xr:uid="{00000000-0002-0000-0A00-000005000000}"/>
    <dataValidation allowBlank="1" showInputMessage="1" showErrorMessage="1" prompt="&quot;K&quot; harfi kişisel nedenlerden dolayı devamsızlığı gösterir" sqref="G2" xr:uid="{00000000-0002-0000-0A00-000006000000}"/>
    <dataValidation allowBlank="1" showInputMessage="1" showErrorMessage="1" prompt="&quot;T&quot; harfi tatil nedeniyle devamsızlığı gösterir" sqref="C2" xr:uid="{00000000-0002-0000-0A00-000007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A00-000008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A00-000009000000}"/>
    <dataValidation allowBlank="1" showInputMessage="1" showErrorMessage="1" prompt="Bu çalışma sayfasında Kasım devamsızlığını izleyin" sqref="A1" xr:uid="{00000000-0002-0000-0A00-00000A000000}"/>
    <dataValidation allowBlank="1" showInputMessage="1" showErrorMessage="1" prompt="Bu ay bir çalışanın toplamda kaç gün devamsızlık yaptığını, bu sütunda otomatik olarak hesaplar" sqref="AH6" xr:uid="{00000000-0002-0000-0A00-00000B000000}"/>
    <dataValidation allowBlank="1" showInputMessage="1" showErrorMessage="1" prompt="Ocak çalışma sayfasında girilen yıla göre otomatik olarak güncelleştirilen yıl" sqref="AH4" xr:uid="{00000000-0002-0000-0A00-00000C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A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63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TEXT(WEEKDAY(DATE(TakvimYılı,12,1),1),"ggg")</f>
        <v>Paz</v>
      </c>
      <c r="D5" s="2" t="str">
        <f>TEXT(WEEKDAY(DATE(TakvimYılı,12,2),1),"ggg")</f>
        <v>Pzt</v>
      </c>
      <c r="E5" s="2" t="str">
        <f>TEXT(WEEKDAY(DATE(TakvimYılı,12,3),1),"ggg")</f>
        <v>Sal</v>
      </c>
      <c r="F5" s="2" t="str">
        <f>TEXT(WEEKDAY(DATE(TakvimYılı,12,4),1),"ggg")</f>
        <v>Çar</v>
      </c>
      <c r="G5" s="2" t="str">
        <f>TEXT(WEEKDAY(DATE(TakvimYılı,12,5),1),"ggg")</f>
        <v>Per</v>
      </c>
      <c r="H5" s="2" t="str">
        <f>TEXT(WEEKDAY(DATE(TakvimYılı,12,6),1),"ggg")</f>
        <v>Cum</v>
      </c>
      <c r="I5" s="2" t="str">
        <f>TEXT(WEEKDAY(DATE(TakvimYılı,12,7),1),"ggg")</f>
        <v>Cmt</v>
      </c>
      <c r="J5" s="2" t="str">
        <f>TEXT(WEEKDAY(DATE(TakvimYılı,12,8),1),"ggg")</f>
        <v>Paz</v>
      </c>
      <c r="K5" s="2" t="str">
        <f>TEXT(WEEKDAY(DATE(TakvimYılı,12,9),1),"ggg")</f>
        <v>Pzt</v>
      </c>
      <c r="L5" s="2" t="str">
        <f>TEXT(WEEKDAY(DATE(TakvimYılı,12,10),1),"ggg")</f>
        <v>Sal</v>
      </c>
      <c r="M5" s="2" t="str">
        <f>TEXT(WEEKDAY(DATE(TakvimYılı,12,11),1),"ggg")</f>
        <v>Çar</v>
      </c>
      <c r="N5" s="2" t="str">
        <f>TEXT(WEEKDAY(DATE(TakvimYılı,12,12),1),"ggg")</f>
        <v>Per</v>
      </c>
      <c r="O5" s="2" t="str">
        <f>TEXT(WEEKDAY(DATE(TakvimYılı,12,13),1),"ggg")</f>
        <v>Cum</v>
      </c>
      <c r="P5" s="2" t="str">
        <f>TEXT(WEEKDAY(DATE(TakvimYılı,12,14),1),"ggg")</f>
        <v>Cmt</v>
      </c>
      <c r="Q5" s="2" t="str">
        <f>TEXT(WEEKDAY(DATE(TakvimYılı,12,15),1),"ggg")</f>
        <v>Paz</v>
      </c>
      <c r="R5" s="2" t="str">
        <f>TEXT(WEEKDAY(DATE(TakvimYılı,12,16),1),"ggg")</f>
        <v>Pzt</v>
      </c>
      <c r="S5" s="2" t="str">
        <f>TEXT(WEEKDAY(DATE(TakvimYılı,12,17),1),"ggg")</f>
        <v>Sal</v>
      </c>
      <c r="T5" s="2" t="str">
        <f>TEXT(WEEKDAY(DATE(TakvimYılı,12,18),1),"ggg")</f>
        <v>Çar</v>
      </c>
      <c r="U5" s="2" t="str">
        <f>TEXT(WEEKDAY(DATE(TakvimYılı,12,19),1),"ggg")</f>
        <v>Per</v>
      </c>
      <c r="V5" s="2" t="str">
        <f>TEXT(WEEKDAY(DATE(TakvimYılı,12,20),1),"ggg")</f>
        <v>Cum</v>
      </c>
      <c r="W5" s="2" t="str">
        <f>TEXT(WEEKDAY(DATE(TakvimYılı,12,21),1),"ggg")</f>
        <v>Cmt</v>
      </c>
      <c r="X5" s="2" t="str">
        <f>TEXT(WEEKDAY(DATE(TakvimYılı,12,22),1),"ggg")</f>
        <v>Paz</v>
      </c>
      <c r="Y5" s="2" t="str">
        <f>TEXT(WEEKDAY(DATE(TakvimYılı,12,23),1),"ggg")</f>
        <v>Pzt</v>
      </c>
      <c r="Z5" s="2" t="str">
        <f>TEXT(WEEKDAY(DATE(TakvimYılı,12,24),1),"ggg")</f>
        <v>Sal</v>
      </c>
      <c r="AA5" s="2" t="str">
        <f>TEXT(WEEKDAY(DATE(TakvimYılı,12,25),1),"ggg")</f>
        <v>Çar</v>
      </c>
      <c r="AB5" s="2" t="str">
        <f>TEXT(WEEKDAY(DATE(TakvimYılı,12,26),1),"ggg")</f>
        <v>Per</v>
      </c>
      <c r="AC5" s="2" t="str">
        <f>TEXT(WEEKDAY(DATE(TakvimYılı,12,27),1),"ggg")</f>
        <v>Cum</v>
      </c>
      <c r="AD5" s="2" t="str">
        <f>TEXT(WEEKDAY(DATE(TakvimYılı,12,28),1),"ggg")</f>
        <v>Cmt</v>
      </c>
      <c r="AE5" s="2" t="str">
        <f>TEXT(WEEKDAY(DATE(TakvimYılı,12,29),1),"ggg")</f>
        <v>Paz</v>
      </c>
      <c r="AF5" s="2" t="str">
        <f>TEXT(WEEKDAY(DATE(TakvimYılı,12,30),1),"ggg")</f>
        <v>Pzt</v>
      </c>
      <c r="AG5" s="2" t="str">
        <f>TEXT(WEEKDAY(DATE(TakvimYılı,12,31),1),"ggg")</f>
        <v>Sal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COUNTA(Aralık[[#This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COUNTA(Aralık[[#This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COUNTA(Aralık[[#This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COUNTA(Aralık[[#This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COUNTA(Aralık[[#This Row],[1]:[31]])</f>
        <v>0</v>
      </c>
    </row>
    <row r="12" spans="2:34" ht="30" customHeight="1" x14ac:dyDescent="0.25">
      <c r="B12" s="21" t="str">
        <f>AyAdı&amp;" Toplamı"</f>
        <v>Aralık Toplamı</v>
      </c>
      <c r="C12" s="13">
        <f>SUBTOTAL(103,Aralık[1])</f>
        <v>0</v>
      </c>
      <c r="D12" s="13">
        <f>SUBTOTAL(103,Aralık[2])</f>
        <v>0</v>
      </c>
      <c r="E12" s="13">
        <f>SUBTOTAL(103,Aralık[3])</f>
        <v>0</v>
      </c>
      <c r="F12" s="13">
        <f>SUBTOTAL(103,Aralık[4])</f>
        <v>0</v>
      </c>
      <c r="G12" s="13">
        <f>SUBTOTAL(103,Aralık[5])</f>
        <v>0</v>
      </c>
      <c r="H12" s="13">
        <f>SUBTOTAL(103,Aralık[6])</f>
        <v>0</v>
      </c>
      <c r="I12" s="13">
        <f>SUBTOTAL(103,Aralık[7])</f>
        <v>0</v>
      </c>
      <c r="J12" s="13">
        <f>SUBTOTAL(103,Aralık[8])</f>
        <v>0</v>
      </c>
      <c r="K12" s="13">
        <f>SUBTOTAL(103,Aralık[9])</f>
        <v>0</v>
      </c>
      <c r="L12" s="13">
        <f>SUBTOTAL(103,Aralık[10])</f>
        <v>0</v>
      </c>
      <c r="M12" s="13">
        <f>SUBTOTAL(103,Aralık[11])</f>
        <v>0</v>
      </c>
      <c r="N12" s="13">
        <f>SUBTOTAL(103,Aralık[12])</f>
        <v>0</v>
      </c>
      <c r="O12" s="13">
        <f>SUBTOTAL(103,Aralık[13])</f>
        <v>0</v>
      </c>
      <c r="P12" s="13">
        <f>SUBTOTAL(103,Aralık[14])</f>
        <v>0</v>
      </c>
      <c r="Q12" s="13">
        <f>SUBTOTAL(103,Aralık[15])</f>
        <v>0</v>
      </c>
      <c r="R12" s="13">
        <f>SUBTOTAL(103,Aralık[16])</f>
        <v>0</v>
      </c>
      <c r="S12" s="13">
        <f>SUBTOTAL(103,Aralık[17])</f>
        <v>0</v>
      </c>
      <c r="T12" s="13">
        <f>SUBTOTAL(103,Aralık[18])</f>
        <v>0</v>
      </c>
      <c r="U12" s="13">
        <f>SUBTOTAL(103,Aralık[19])</f>
        <v>0</v>
      </c>
      <c r="V12" s="13">
        <f>SUBTOTAL(103,Aralık[20])</f>
        <v>0</v>
      </c>
      <c r="W12" s="13">
        <f>SUBTOTAL(103,Aralık[21])</f>
        <v>0</v>
      </c>
      <c r="X12" s="13">
        <f>SUBTOTAL(103,Aralık[22])</f>
        <v>0</v>
      </c>
      <c r="Y12" s="13">
        <f>SUBTOTAL(103,Aralık[23])</f>
        <v>0</v>
      </c>
      <c r="Z12" s="13">
        <f>SUBTOTAL(103,Aralık[24])</f>
        <v>0</v>
      </c>
      <c r="AA12" s="13">
        <f>SUBTOTAL(103,Aralık[25])</f>
        <v>0</v>
      </c>
      <c r="AB12" s="13">
        <f>SUBTOTAL(103,Aralık[26])</f>
        <v>0</v>
      </c>
      <c r="AC12" s="13">
        <f>SUBTOTAL(103,Aralık[27])</f>
        <v>0</v>
      </c>
      <c r="AD12" s="13">
        <f>SUBTOTAL(103,Aralık[28])</f>
        <v>0</v>
      </c>
      <c r="AE12" s="13">
        <f>SUBTOTAL(103,Aralık[29])</f>
        <v>0</v>
      </c>
      <c r="AF12" s="13">
        <f>SUBTOTAL(103,Aralık[30])</f>
        <v>0</v>
      </c>
      <c r="AG12" s="13">
        <f>SUBTOTAL(103,Aralık[31])</f>
        <v>0</v>
      </c>
      <c r="AH12" s="13">
        <f>SUBTOTAL(109,Aralık[Toplam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67" priority="2" stopIfTrue="1">
      <formula>C7=AnahtarÖzel2</formula>
    </cfRule>
    <cfRule type="expression" dxfId="366" priority="3" stopIfTrue="1">
      <formula>C7=AnahtarÖzel1</formula>
    </cfRule>
    <cfRule type="expression" dxfId="365" priority="4" stopIfTrue="1">
      <formula>C7=AnahtarHasta</formula>
    </cfRule>
    <cfRule type="expression" dxfId="364" priority="5" stopIfTrue="1">
      <formula>C7=AnahtarKişisel</formula>
    </cfRule>
    <cfRule type="expression" dxfId="363" priority="6" stopIfTrue="1">
      <formula>C7=AnahtarTatil</formula>
    </cfRule>
  </conditionalFormatting>
  <conditionalFormatting sqref="AH7:AH11">
    <cfRule type="dataBar" priority="30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Ocak çalışma sayfasında girilen yıla göre otomatik olarak güncelleştirilen yıl" sqref="AH4" xr:uid="{00000000-0002-0000-0B00-000000000000}"/>
    <dataValidation allowBlank="1" showInputMessage="1" showErrorMessage="1" prompt="Bu ay bir çalışanın toplamda kaç gün devamsızlık yaptığını, bu sütunda otomatik olarak hesaplar" sqref="AH6" xr:uid="{00000000-0002-0000-0B00-000001000000}"/>
    <dataValidation allowBlank="1" showInputMessage="1" showErrorMessage="1" prompt="Bu çalışma sayfasında Aralık devamsızlığını izleyin" sqref="A1" xr:uid="{00000000-0002-0000-0B00-000002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B00-000003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B00-000004000000}"/>
    <dataValidation allowBlank="1" showInputMessage="1" showErrorMessage="1" prompt="&quot;T&quot; harfi tatil nedeniyle devamsızlığı gösterir" sqref="C2" xr:uid="{00000000-0002-0000-0B00-000005000000}"/>
    <dataValidation allowBlank="1" showInputMessage="1" showErrorMessage="1" prompt="&quot;K&quot; harfi kişisel nedenlerden dolayı devamsızlığı gösterir" sqref="G2" xr:uid="{00000000-0002-0000-0B00-000006000000}"/>
    <dataValidation allowBlank="1" showInputMessage="1" showErrorMessage="1" prompt="&quot;H&quot; harfi hastalık nedeniyle devamsızlığı gösterir" sqref="K2" xr:uid="{00000000-0002-0000-0B00-000007000000}"/>
    <dataValidation allowBlank="1" showInputMessage="1" showErrorMessage="1" prompt="Başka bir anahtar öğesi eklemek için bir harf girip sağdaki etiketi özelleştirin" sqref="N2 R2" xr:uid="{00000000-0002-0000-0B00-000008000000}"/>
    <dataValidation allowBlank="1" showInputMessage="1" showErrorMessage="1" prompt="Soldaki özel anahtarı açıklamak için bir etiket girin" sqref="O2:Q2 S2:U2" xr:uid="{00000000-0002-0000-0B00-000009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B00-00000A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B00-00000B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B00-00000C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B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" ht="50.1" customHeight="1" x14ac:dyDescent="0.25">
      <c r="B1" s="22" t="s">
        <v>64</v>
      </c>
    </row>
    <row r="2" spans="2:2" ht="15" customHeight="1" x14ac:dyDescent="0.25"/>
    <row r="3" spans="2:2" ht="30" customHeight="1" x14ac:dyDescent="0.25">
      <c r="B3" t="s">
        <v>64</v>
      </c>
    </row>
    <row r="4" spans="2:2" ht="30" customHeight="1" x14ac:dyDescent="0.25">
      <c r="B4" s="1" t="s">
        <v>4</v>
      </c>
    </row>
    <row r="5" spans="2:2" ht="30" customHeight="1" x14ac:dyDescent="0.25">
      <c r="B5" s="1" t="s">
        <v>5</v>
      </c>
    </row>
    <row r="6" spans="2:2" ht="30" customHeight="1" x14ac:dyDescent="0.25">
      <c r="B6" s="1" t="s">
        <v>6</v>
      </c>
    </row>
    <row r="7" spans="2:2" ht="30" customHeight="1" x14ac:dyDescent="0.25">
      <c r="B7" s="1" t="s">
        <v>7</v>
      </c>
    </row>
    <row r="8" spans="2:2" ht="30" customHeight="1" x14ac:dyDescent="0.25">
      <c r="B8" s="1" t="s">
        <v>8</v>
      </c>
    </row>
  </sheetData>
  <dataValidations count="3">
    <dataValidation allowBlank="1" showInputMessage="1" showErrorMessage="1" prompt="Çalışan adları başlığı" sqref="B1" xr:uid="{00000000-0002-0000-0C00-000000000000}"/>
    <dataValidation allowBlank="1" showInputMessage="1" showErrorMessage="1" prompt="Bu çalışma sayfasındaki çalışan adı tablosuna çalışan adlarını girin. Bu adlar, her ayın devamsızlık tablosunda yer alan B Sütunundaki seçenekler olarak kullanılır" sqref="A1" xr:uid="{00000000-0002-0000-0C00-000001000000}"/>
    <dataValidation allowBlank="1" showInputMessage="1" showErrorMessage="1" prompt="Bu sütuna çalışan adlarını girin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/>
    </row>
    <row r="4" spans="2:34" ht="30" customHeight="1" x14ac:dyDescent="0.25">
      <c r="B4" s="12" t="s">
        <v>51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TEXT(WEEKDAY(DATE(TakvimYılı,2,1),1),"ggg")</f>
        <v>Cum</v>
      </c>
      <c r="D5" s="2" t="str">
        <f>TEXT(WEEKDAY(DATE(TakvimYılı,2,2),1),"ggg")</f>
        <v>Cmt</v>
      </c>
      <c r="E5" s="2" t="str">
        <f>TEXT(WEEKDAY(DATE(TakvimYılı,2,3),1),"ggg")</f>
        <v>Paz</v>
      </c>
      <c r="F5" s="2" t="str">
        <f>TEXT(WEEKDAY(DATE(TakvimYılı,2,4),1),"ggg")</f>
        <v>Pzt</v>
      </c>
      <c r="G5" s="2" t="str">
        <f>TEXT(WEEKDAY(DATE(TakvimYılı,2,5),1),"ggg")</f>
        <v>Sal</v>
      </c>
      <c r="H5" s="2" t="str">
        <f>TEXT(WEEKDAY(DATE(TakvimYılı,2,6),1),"ggg")</f>
        <v>Çar</v>
      </c>
      <c r="I5" s="2" t="str">
        <f>TEXT(WEEKDAY(DATE(TakvimYılı,2,7),1),"ggg")</f>
        <v>Per</v>
      </c>
      <c r="J5" s="2" t="str">
        <f>TEXT(WEEKDAY(DATE(TakvimYılı,2,8),1),"ggg")</f>
        <v>Cum</v>
      </c>
      <c r="K5" s="2" t="str">
        <f>TEXT(WEEKDAY(DATE(TakvimYılı,2,9),1),"ggg")</f>
        <v>Cmt</v>
      </c>
      <c r="L5" s="2" t="str">
        <f>TEXT(WEEKDAY(DATE(TakvimYılı,2,10),1),"ggg")</f>
        <v>Paz</v>
      </c>
      <c r="M5" s="2" t="str">
        <f>TEXT(WEEKDAY(DATE(TakvimYılı,2,11),1),"ggg")</f>
        <v>Pzt</v>
      </c>
      <c r="N5" s="2" t="str">
        <f>TEXT(WEEKDAY(DATE(TakvimYılı,2,12),1),"ggg")</f>
        <v>Sal</v>
      </c>
      <c r="O5" s="2" t="str">
        <f>TEXT(WEEKDAY(DATE(TakvimYılı,2,13),1),"ggg")</f>
        <v>Çar</v>
      </c>
      <c r="P5" s="2" t="str">
        <f>TEXT(WEEKDAY(DATE(TakvimYılı,2,14),1),"ggg")</f>
        <v>Per</v>
      </c>
      <c r="Q5" s="2" t="str">
        <f>TEXT(WEEKDAY(DATE(TakvimYılı,2,15),1),"ggg")</f>
        <v>Cum</v>
      </c>
      <c r="R5" s="2" t="str">
        <f>TEXT(WEEKDAY(DATE(TakvimYılı,2,16),1),"ggg")</f>
        <v>Cmt</v>
      </c>
      <c r="S5" s="2" t="str">
        <f>TEXT(WEEKDAY(DATE(TakvimYılı,2,17),1),"ggg")</f>
        <v>Paz</v>
      </c>
      <c r="T5" s="2" t="str">
        <f>TEXT(WEEKDAY(DATE(TakvimYılı,2,18),1),"ggg")</f>
        <v>Pzt</v>
      </c>
      <c r="U5" s="2" t="str">
        <f>TEXT(WEEKDAY(DATE(TakvimYılı,2,19),1),"ggg")</f>
        <v>Sal</v>
      </c>
      <c r="V5" s="2" t="str">
        <f>TEXT(WEEKDAY(DATE(TakvimYılı,2,20),1),"ggg")</f>
        <v>Çar</v>
      </c>
      <c r="W5" s="2" t="str">
        <f>TEXT(WEEKDAY(DATE(TakvimYılı,2,21),1),"ggg")</f>
        <v>Per</v>
      </c>
      <c r="X5" s="2" t="str">
        <f>TEXT(WEEKDAY(DATE(TakvimYılı,2,22),1),"ggg")</f>
        <v>Cum</v>
      </c>
      <c r="Y5" s="2" t="str">
        <f>TEXT(WEEKDAY(DATE(TakvimYılı,2,23),1),"ggg")</f>
        <v>Cmt</v>
      </c>
      <c r="Z5" s="2" t="str">
        <f>TEXT(WEEKDAY(DATE(TakvimYılı,2,24),1),"ggg")</f>
        <v>Paz</v>
      </c>
      <c r="AA5" s="2" t="str">
        <f>TEXT(WEEKDAY(DATE(TakvimYılı,2,25),1),"ggg")</f>
        <v>Pzt</v>
      </c>
      <c r="AB5" s="2" t="str">
        <f>TEXT(WEEKDAY(DATE(TakvimYılı,2,26),1),"ggg")</f>
        <v>Sal</v>
      </c>
      <c r="AC5" s="2" t="str">
        <f>TEXT(WEEKDAY(DATE(TakvimYılı,2,27),1),"ggg")</f>
        <v>Çar</v>
      </c>
      <c r="AD5" s="2" t="str">
        <f>TEXT(WEEKDAY(DATE(TakvimYılı,2,28),1),"ggg")</f>
        <v>Per</v>
      </c>
      <c r="AE5" s="2" t="str">
        <f>TEXT(WEEKDAY(DATE(TakvimYılı,2,29),1),"ggg")</f>
        <v>Cum</v>
      </c>
      <c r="AF5" s="2"/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52</v>
      </c>
      <c r="AG6" s="3" t="s">
        <v>53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COUNTA(Şubat[[#This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17</v>
      </c>
      <c r="H8" s="3" t="s">
        <v>17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17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COUNTA(Şubat[[#This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COUNTA(Şubat[[#This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17</v>
      </c>
      <c r="Q10" s="3"/>
      <c r="R10" s="3"/>
      <c r="S10" s="3"/>
      <c r="T10" s="3" t="s">
        <v>15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17</v>
      </c>
      <c r="AE10" s="3"/>
      <c r="AF10" s="3"/>
      <c r="AG10" s="3"/>
      <c r="AH10" s="10">
        <f>COUNTA(Şubat[[#This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9</v>
      </c>
      <c r="K11" s="3" t="s">
        <v>9</v>
      </c>
      <c r="L11" s="3" t="s">
        <v>9</v>
      </c>
      <c r="M11" s="3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17</v>
      </c>
      <c r="AA11" s="3"/>
      <c r="AB11" s="3"/>
      <c r="AC11" s="3"/>
      <c r="AD11" s="3"/>
      <c r="AE11" s="3"/>
      <c r="AF11" s="3"/>
      <c r="AG11" s="3"/>
      <c r="AH11" s="10">
        <f>COUNTA(Şubat[[#This Row],[1]:[29]])</f>
        <v>5</v>
      </c>
    </row>
    <row r="12" spans="2:34" ht="30" customHeight="1" x14ac:dyDescent="0.25">
      <c r="B12" s="21" t="str">
        <f>AyAdı&amp;" Toplamı"</f>
        <v>Şubat Toplamı</v>
      </c>
      <c r="C12" s="13">
        <f>SUBTOTAL(103,Şubat[1])</f>
        <v>0</v>
      </c>
      <c r="D12" s="13">
        <f>SUBTOTAL(103,Şubat[2])</f>
        <v>0</v>
      </c>
      <c r="E12" s="13">
        <f>SUBTOTAL(103,Şubat[3])</f>
        <v>2</v>
      </c>
      <c r="F12" s="13">
        <f>SUBTOTAL(103,Şubat[4])</f>
        <v>1</v>
      </c>
      <c r="G12" s="13">
        <f>SUBTOTAL(103,Şubat[5])</f>
        <v>2</v>
      </c>
      <c r="H12" s="13">
        <f>SUBTOTAL(103,Şubat[6])</f>
        <v>2</v>
      </c>
      <c r="I12" s="13">
        <f>SUBTOTAL(103,Şubat[7])</f>
        <v>0</v>
      </c>
      <c r="J12" s="13">
        <f>SUBTOTAL(103,Şubat[8])</f>
        <v>1</v>
      </c>
      <c r="K12" s="13">
        <f>SUBTOTAL(103,Şubat[9])</f>
        <v>1</v>
      </c>
      <c r="L12" s="13">
        <f>SUBTOTAL(103,Şubat[10])</f>
        <v>1</v>
      </c>
      <c r="M12" s="13">
        <f>SUBTOTAL(103,Şubat[11])</f>
        <v>2</v>
      </c>
      <c r="N12" s="13">
        <f>SUBTOTAL(103,Şubat[12])</f>
        <v>0</v>
      </c>
      <c r="O12" s="13">
        <f>SUBTOTAL(103,Şubat[13])</f>
        <v>1</v>
      </c>
      <c r="P12" s="13">
        <f>SUBTOTAL(103,Şubat[14])</f>
        <v>1</v>
      </c>
      <c r="Q12" s="13">
        <f>SUBTOTAL(103,Şubat[15])</f>
        <v>0</v>
      </c>
      <c r="R12" s="13">
        <f>SUBTOTAL(103,Şubat[16])</f>
        <v>0</v>
      </c>
      <c r="S12" s="13">
        <f>SUBTOTAL(103,Şubat[17])</f>
        <v>0</v>
      </c>
      <c r="T12" s="13">
        <f>SUBTOTAL(103,Şubat[18])</f>
        <v>1</v>
      </c>
      <c r="U12" s="13">
        <f>SUBTOTAL(103,Şubat[19])</f>
        <v>0</v>
      </c>
      <c r="V12" s="13">
        <f>SUBTOTAL(103,Şubat[20])</f>
        <v>1</v>
      </c>
      <c r="W12" s="13">
        <f>SUBTOTAL(103,Şubat[21])</f>
        <v>0</v>
      </c>
      <c r="X12" s="13">
        <f>SUBTOTAL(103,Şubat[22])</f>
        <v>0</v>
      </c>
      <c r="Y12" s="13">
        <f>SUBTOTAL(103,Şubat[23])</f>
        <v>0</v>
      </c>
      <c r="Z12" s="13">
        <f>SUBTOTAL(103,Şubat[24])</f>
        <v>1</v>
      </c>
      <c r="AA12" s="13">
        <f>SUBTOTAL(103,Şubat[25])</f>
        <v>1</v>
      </c>
      <c r="AB12" s="13">
        <f>SUBTOTAL(103,Şubat[26])</f>
        <v>1</v>
      </c>
      <c r="AC12" s="13">
        <f>SUBTOTAL(103,Şubat[27])</f>
        <v>1</v>
      </c>
      <c r="AD12" s="13">
        <f>SUBTOTAL(103,Şubat[28])</f>
        <v>1</v>
      </c>
      <c r="AE12" s="13">
        <f>SUBTOTAL(103,Şubat[29])</f>
        <v>0</v>
      </c>
      <c r="AF12" s="13"/>
      <c r="AG12" s="13"/>
      <c r="AH12" s="13">
        <f>SUBTOTAL(109,Şubat[Toplam Gün])</f>
        <v>21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AE6">
    <cfRule type="expression" dxfId="419" priority="16">
      <formula>MONTH(DATE(TakvimYılı,2,29))&lt;&gt;2</formula>
    </cfRule>
  </conditionalFormatting>
  <conditionalFormatting sqref="AE5">
    <cfRule type="expression" dxfId="418" priority="15">
      <formula>MONTH(DATE(TakvimYılı,2,29))&lt;&gt;2</formula>
    </cfRule>
  </conditionalFormatting>
  <conditionalFormatting sqref="C7:AG11">
    <cfRule type="expression" priority="2" stopIfTrue="1">
      <formula>C7=""</formula>
    </cfRule>
    <cfRule type="expression" dxfId="417" priority="3" stopIfTrue="1">
      <formula>C7=AnahtarÖzel2</formula>
    </cfRule>
  </conditionalFormatting>
  <conditionalFormatting sqref="C7:AG11">
    <cfRule type="expression" dxfId="416" priority="5" stopIfTrue="1">
      <formula>C7=AnahtarÖzel1</formula>
    </cfRule>
    <cfRule type="expression" dxfId="415" priority="6" stopIfTrue="1">
      <formula>C7=AnahtarHasta</formula>
    </cfRule>
    <cfRule type="expression" dxfId="414" priority="7" stopIfTrue="1">
      <formula>C7=AnahtarKişisel</formula>
    </cfRule>
    <cfRule type="expression" dxfId="413" priority="8" stopIfTrue="1">
      <formula>C7=AnahtarTatil</formula>
    </cfRule>
  </conditionalFormatting>
  <conditionalFormatting sqref="AH7:AH11">
    <cfRule type="dataBar" priority="153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Ocak çalışma sayfasında girilen yıla göre otomatik olarak güncelleştirilen yıl" sqref="AH4" xr:uid="{00000000-0002-0000-0100-000000000000}"/>
    <dataValidation allowBlank="1" showInputMessage="1" showErrorMessage="1" prompt="Bu çalışma sayfasında Şubat devamsızlığını izleyin" sqref="A1" xr:uid="{00000000-0002-0000-0100-000001000000}"/>
    <dataValidation allowBlank="1" showInputMessage="1" showErrorMessage="1" prompt="Bu ay çalışanın toplamda kaç gün devamsızlık yaptığını, bu sütunda otomatik olarak hesaplar" sqref="AH6" xr:uid="{00000000-0002-0000-0100-000002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100-000003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100-000004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100-000005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100-000006000000}"/>
    <dataValidation allowBlank="1" showInputMessage="1" showErrorMessage="1" prompt="Soldaki özel anahtarı açıklamak için bir etiket girin" sqref="O2:Q2 S2:U2" xr:uid="{00000000-0002-0000-0100-000007000000}"/>
    <dataValidation allowBlank="1" showInputMessage="1" showErrorMessage="1" prompt="Başka bir anahtar öğesi eklemek için bir harf girip sağdaki etiketi özelleştirin" sqref="N2 R2" xr:uid="{00000000-0002-0000-0100-000008000000}"/>
    <dataValidation allowBlank="1" showInputMessage="1" showErrorMessage="1" prompt="&quot;H&quot; harfi hastalık nedeniyle devamsızlığı gösterir" sqref="K2" xr:uid="{00000000-0002-0000-0100-000009000000}"/>
    <dataValidation allowBlank="1" showInputMessage="1" showErrorMessage="1" prompt="&quot;K&quot; harfi kişisel nedenlerden dolayı devamsızlığı gösterir" sqref="G2" xr:uid="{00000000-0002-0000-0100-00000A000000}"/>
    <dataValidation allowBlank="1" showInputMessage="1" showErrorMessage="1" prompt="&quot;T&quot; harfi tatil nedeniyle devamsızlığı gösterir" sqref="C2" xr:uid="{00000000-0002-0000-0100-00000B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100-00000C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1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TEXT(WEEKDAY(DATE(TakvimYılı,3,1),1),"ggg")</f>
        <v>Cum</v>
      </c>
      <c r="D5" s="2" t="str">
        <f>TEXT(WEEKDAY(DATE(TakvimYılı,3,2),1),"ggg")</f>
        <v>Cmt</v>
      </c>
      <c r="E5" s="2" t="str">
        <f>TEXT(WEEKDAY(DATE(TakvimYılı,3,3),1),"ggg")</f>
        <v>Paz</v>
      </c>
      <c r="F5" s="2" t="str">
        <f>TEXT(WEEKDAY(DATE(TakvimYılı,3,4),1),"ggg")</f>
        <v>Pzt</v>
      </c>
      <c r="G5" s="2" t="str">
        <f>TEXT(WEEKDAY(DATE(TakvimYılı,3,5),1),"ggg")</f>
        <v>Sal</v>
      </c>
      <c r="H5" s="2" t="str">
        <f>TEXT(WEEKDAY(DATE(TakvimYılı,3,6),1),"ggg")</f>
        <v>Çar</v>
      </c>
      <c r="I5" s="2" t="str">
        <f>TEXT(WEEKDAY(DATE(TakvimYılı,3,7),1),"ggg")</f>
        <v>Per</v>
      </c>
      <c r="J5" s="2" t="str">
        <f>TEXT(WEEKDAY(DATE(TakvimYılı,3,8),1),"ggg")</f>
        <v>Cum</v>
      </c>
      <c r="K5" s="2" t="str">
        <f>TEXT(WEEKDAY(DATE(TakvimYılı,3,9),1),"ggg")</f>
        <v>Cmt</v>
      </c>
      <c r="L5" s="2" t="str">
        <f>TEXT(WEEKDAY(DATE(TakvimYılı,3,10),1),"ggg")</f>
        <v>Paz</v>
      </c>
      <c r="M5" s="2" t="str">
        <f>TEXT(WEEKDAY(DATE(TakvimYılı,3,11),1),"ggg")</f>
        <v>Pzt</v>
      </c>
      <c r="N5" s="2" t="str">
        <f>TEXT(WEEKDAY(DATE(TakvimYılı,3,12),1),"ggg")</f>
        <v>Sal</v>
      </c>
      <c r="O5" s="2" t="str">
        <f>TEXT(WEEKDAY(DATE(TakvimYılı,3,13),1),"ggg")</f>
        <v>Çar</v>
      </c>
      <c r="P5" s="2" t="str">
        <f>TEXT(WEEKDAY(DATE(TakvimYılı,3,14),1),"ggg")</f>
        <v>Per</v>
      </c>
      <c r="Q5" s="2" t="str">
        <f>TEXT(WEEKDAY(DATE(TakvimYılı,3,15),1),"ggg")</f>
        <v>Cum</v>
      </c>
      <c r="R5" s="2" t="str">
        <f>TEXT(WEEKDAY(DATE(TakvimYılı,3,16),1),"ggg")</f>
        <v>Cmt</v>
      </c>
      <c r="S5" s="2" t="str">
        <f>TEXT(WEEKDAY(DATE(TakvimYılı,3,17),1),"ggg")</f>
        <v>Paz</v>
      </c>
      <c r="T5" s="2" t="str">
        <f>TEXT(WEEKDAY(DATE(TakvimYılı,3,18),1),"ggg")</f>
        <v>Pzt</v>
      </c>
      <c r="U5" s="2" t="str">
        <f>TEXT(WEEKDAY(DATE(TakvimYılı,3,19),1),"ggg")</f>
        <v>Sal</v>
      </c>
      <c r="V5" s="2" t="str">
        <f>TEXT(WEEKDAY(DATE(TakvimYılı,3,20),1),"ggg")</f>
        <v>Çar</v>
      </c>
      <c r="W5" s="2" t="str">
        <f>TEXT(WEEKDAY(DATE(TakvimYılı,3,21),1),"ggg")</f>
        <v>Per</v>
      </c>
      <c r="X5" s="2" t="str">
        <f>TEXT(WEEKDAY(DATE(TakvimYılı,3,22),1),"ggg")</f>
        <v>Cum</v>
      </c>
      <c r="Y5" s="2" t="str">
        <f>TEXT(WEEKDAY(DATE(TakvimYılı,3,23),1),"ggg")</f>
        <v>Cmt</v>
      </c>
      <c r="Z5" s="2" t="str">
        <f>TEXT(WEEKDAY(DATE(TakvimYılı,3,24),1),"ggg")</f>
        <v>Paz</v>
      </c>
      <c r="AA5" s="2" t="str">
        <f>TEXT(WEEKDAY(DATE(TakvimYılı,3,25),1),"ggg")</f>
        <v>Pzt</v>
      </c>
      <c r="AB5" s="2" t="str">
        <f>TEXT(WEEKDAY(DATE(TakvimYılı,3,26),1),"ggg")</f>
        <v>Sal</v>
      </c>
      <c r="AC5" s="2" t="str">
        <f>TEXT(WEEKDAY(DATE(TakvimYılı,3,27),1),"ggg")</f>
        <v>Çar</v>
      </c>
      <c r="AD5" s="2" t="str">
        <f>TEXT(WEEKDAY(DATE(TakvimYılı,3,28),1),"ggg")</f>
        <v>Per</v>
      </c>
      <c r="AE5" s="2" t="str">
        <f>TEXT(WEEKDAY(DATE(TakvimYılı,3,29),1),"ggg")</f>
        <v>Cum</v>
      </c>
      <c r="AF5" s="2" t="str">
        <f>TEXT(WEEKDAY(DATE(TakvimYılı,3,30),1),"ggg")</f>
        <v>Cmt</v>
      </c>
      <c r="AG5" s="2" t="str">
        <f>TEXT(WEEKDAY(DATE(TakvimYılı,3,31),1),"ggg")</f>
        <v>Paz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COUNTA(Mart[[#This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COUNTA(Mart[[#This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COUNTA(Mart[[#This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COUNTA(Mart[[#This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COUNTA(Mart[[#This Row],[1]:[31]])</f>
        <v>0</v>
      </c>
    </row>
    <row r="12" spans="2:34" ht="30" customHeight="1" x14ac:dyDescent="0.25">
      <c r="B12" s="21" t="str">
        <f>AyAdı&amp;" Toplamı"</f>
        <v>Mart Toplamı</v>
      </c>
      <c r="C12" s="13">
        <f>SUBTOTAL(103,Mart[1])</f>
        <v>0</v>
      </c>
      <c r="D12" s="13">
        <f>SUBTOTAL(103,Mart[2])</f>
        <v>0</v>
      </c>
      <c r="E12" s="13">
        <f>SUBTOTAL(103,Mart[3])</f>
        <v>0</v>
      </c>
      <c r="F12" s="13">
        <f>SUBTOTAL(103,Mart[4])</f>
        <v>0</v>
      </c>
      <c r="G12" s="13">
        <f>SUBTOTAL(103,Mart[5])</f>
        <v>0</v>
      </c>
      <c r="H12" s="13">
        <f>SUBTOTAL(103,Mart[6])</f>
        <v>0</v>
      </c>
      <c r="I12" s="13">
        <f>SUBTOTAL(103,Mart[7])</f>
        <v>0</v>
      </c>
      <c r="J12" s="13">
        <f>SUBTOTAL(103,Mart[8])</f>
        <v>0</v>
      </c>
      <c r="K12" s="13">
        <f>SUBTOTAL(103,Mart[9])</f>
        <v>0</v>
      </c>
      <c r="L12" s="13">
        <f>SUBTOTAL(103,Mart[10])</f>
        <v>0</v>
      </c>
      <c r="M12" s="13">
        <f>SUBTOTAL(103,Mart[11])</f>
        <v>0</v>
      </c>
      <c r="N12" s="13">
        <f>SUBTOTAL(103,Mart[12])</f>
        <v>0</v>
      </c>
      <c r="O12" s="13">
        <f>SUBTOTAL(103,Mart[13])</f>
        <v>0</v>
      </c>
      <c r="P12" s="13">
        <f>SUBTOTAL(103,Mart[14])</f>
        <v>0</v>
      </c>
      <c r="Q12" s="13">
        <f>SUBTOTAL(103,Mart[15])</f>
        <v>0</v>
      </c>
      <c r="R12" s="13">
        <f>SUBTOTAL(103,Mart[16])</f>
        <v>0</v>
      </c>
      <c r="S12" s="13">
        <f>SUBTOTAL(103,Mart[17])</f>
        <v>0</v>
      </c>
      <c r="T12" s="13">
        <f>SUBTOTAL(103,Mart[18])</f>
        <v>0</v>
      </c>
      <c r="U12" s="13">
        <f>SUBTOTAL(103,Mart[19])</f>
        <v>0</v>
      </c>
      <c r="V12" s="13">
        <f>SUBTOTAL(103,Mart[20])</f>
        <v>0</v>
      </c>
      <c r="W12" s="13">
        <f>SUBTOTAL(103,Mart[21])</f>
        <v>0</v>
      </c>
      <c r="X12" s="13">
        <f>SUBTOTAL(103,Mart[22])</f>
        <v>0</v>
      </c>
      <c r="Y12" s="13">
        <f>SUBTOTAL(103,Mart[23])</f>
        <v>0</v>
      </c>
      <c r="Z12" s="13">
        <f>SUBTOTAL(103,Mart[24])</f>
        <v>0</v>
      </c>
      <c r="AA12" s="13">
        <f>SUBTOTAL(103,Mart[25])</f>
        <v>0</v>
      </c>
      <c r="AB12" s="13">
        <f>SUBTOTAL(103,Mart[26])</f>
        <v>0</v>
      </c>
      <c r="AC12" s="13">
        <f>SUBTOTAL(103,Mart[27])</f>
        <v>0</v>
      </c>
      <c r="AD12" s="13">
        <f>SUBTOTAL(103,Mart[28])</f>
        <v>0</v>
      </c>
      <c r="AE12" s="13">
        <f>SUBTOTAL(103,Mart[29])</f>
        <v>0</v>
      </c>
      <c r="AF12" s="13">
        <f>SUBTOTAL(103,Mart[30])</f>
        <v>0</v>
      </c>
      <c r="AG12" s="13">
        <f>SUBTOTAL(103,Mart[31])</f>
        <v>0</v>
      </c>
      <c r="AH12" s="13">
        <f>SUBTOTAL(109,Mart[Toplam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12" priority="2" stopIfTrue="1">
      <formula>C7=AnahtarÖzel2</formula>
    </cfRule>
    <cfRule type="expression" dxfId="411" priority="3" stopIfTrue="1">
      <formula>C7=AnahtarÖzel1</formula>
    </cfRule>
    <cfRule type="expression" dxfId="410" priority="4" stopIfTrue="1">
      <formula>C7=AnahtarHasta</formula>
    </cfRule>
    <cfRule type="expression" dxfId="409" priority="5" stopIfTrue="1">
      <formula>C7=AnahtarKişisel</formula>
    </cfRule>
    <cfRule type="expression" dxfId="408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200-000000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200-000001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200-000002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200-000003000000}"/>
    <dataValidation allowBlank="1" showInputMessage="1" showErrorMessage="1" prompt="Soldaki özel anahtarı açıklamak için bir etiket girin" sqref="O2:Q2 S2:U2" xr:uid="{00000000-0002-0000-0200-000004000000}"/>
    <dataValidation allowBlank="1" showInputMessage="1" showErrorMessage="1" prompt="Başka bir anahtar öğesi eklemek için bir harf girip sağdaki etiketi özelleştirin" sqref="N2 R2" xr:uid="{00000000-0002-0000-0200-000005000000}"/>
    <dataValidation allowBlank="1" showInputMessage="1" showErrorMessage="1" prompt="&quot;H&quot; harfi hastalık nedeniyle devamsızlığı gösterir" sqref="K2" xr:uid="{00000000-0002-0000-0200-000006000000}"/>
    <dataValidation allowBlank="1" showInputMessage="1" showErrorMessage="1" prompt="&quot;K&quot; harfi kişisel nedenlerden dolayı devamsızlığı gösterir" sqref="G2" xr:uid="{00000000-0002-0000-0200-000007000000}"/>
    <dataValidation allowBlank="1" showInputMessage="1" showErrorMessage="1" prompt="&quot;T&quot; harfi tatil nedeniyle devamsızlığı gösterir" sqref="C2" xr:uid="{00000000-0002-0000-0200-000008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200-000009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200-00000A000000}"/>
    <dataValidation allowBlank="1" showInputMessage="1" showErrorMessage="1" prompt="Bu çalışma sayfasında Mart devamsızlığını izleyin" sqref="A1" xr:uid="{00000000-0002-0000-0200-00000B000000}"/>
    <dataValidation allowBlank="1" showInputMessage="1" showErrorMessage="1" prompt="Bu ay bir çalışanın toplamda kaç gün devamsızlık yaptığını, bu sütunda otomatik olarak hesaplar" sqref="AH6" xr:uid="{00000000-0002-0000-0200-00000C000000}"/>
    <dataValidation allowBlank="1" showInputMessage="1" showErrorMessage="1" prompt="Ocak çalışma sayfasında girilen yıla göre otomatik olarak güncelleştirilen yıl" sqref="AH4" xr:uid="{00000000-0002-0000-02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TEXT(WEEKDAY(DATE(TakvimYılı,4,1),1),"ggg")</f>
        <v>Pzt</v>
      </c>
      <c r="D5" s="2" t="str">
        <f>TEXT(WEEKDAY(DATE(TakvimYılı,4,2),1),"ggg")</f>
        <v>Sal</v>
      </c>
      <c r="E5" s="2" t="str">
        <f>TEXT(WEEKDAY(DATE(TakvimYılı,4,3),1),"ggg")</f>
        <v>Çar</v>
      </c>
      <c r="F5" s="2" t="str">
        <f>TEXT(WEEKDAY(DATE(TakvimYılı,4,4),1),"ggg")</f>
        <v>Per</v>
      </c>
      <c r="G5" s="2" t="str">
        <f>TEXT(WEEKDAY(DATE(TakvimYılı,4,5),1),"ggg")</f>
        <v>Cum</v>
      </c>
      <c r="H5" s="2" t="str">
        <f>TEXT(WEEKDAY(DATE(TakvimYılı,4,6),1),"ggg")</f>
        <v>Cmt</v>
      </c>
      <c r="I5" s="2" t="str">
        <f>TEXT(WEEKDAY(DATE(TakvimYılı,4,7),1),"ggg")</f>
        <v>Paz</v>
      </c>
      <c r="J5" s="2" t="str">
        <f>TEXT(WEEKDAY(DATE(TakvimYılı,4,8),1),"ggg")</f>
        <v>Pzt</v>
      </c>
      <c r="K5" s="2" t="str">
        <f>TEXT(WEEKDAY(DATE(TakvimYılı,4,9),1),"ggg")</f>
        <v>Sal</v>
      </c>
      <c r="L5" s="2" t="str">
        <f>TEXT(WEEKDAY(DATE(TakvimYılı,4,10),1),"ggg")</f>
        <v>Çar</v>
      </c>
      <c r="M5" s="2" t="str">
        <f>TEXT(WEEKDAY(DATE(TakvimYılı,4,11),1),"ggg")</f>
        <v>Per</v>
      </c>
      <c r="N5" s="2" t="str">
        <f>TEXT(WEEKDAY(DATE(TakvimYılı,4,12),1),"ggg")</f>
        <v>Cum</v>
      </c>
      <c r="O5" s="2" t="str">
        <f>TEXT(WEEKDAY(DATE(TakvimYılı,4,13),1),"ggg")</f>
        <v>Cmt</v>
      </c>
      <c r="P5" s="2" t="str">
        <f>TEXT(WEEKDAY(DATE(TakvimYılı,4,14),1),"ggg")</f>
        <v>Paz</v>
      </c>
      <c r="Q5" s="2" t="str">
        <f>TEXT(WEEKDAY(DATE(TakvimYılı,4,15),1),"ggg")</f>
        <v>Pzt</v>
      </c>
      <c r="R5" s="2" t="str">
        <f>TEXT(WEEKDAY(DATE(TakvimYılı,4,16),1),"ggg")</f>
        <v>Sal</v>
      </c>
      <c r="S5" s="2" t="str">
        <f>TEXT(WEEKDAY(DATE(TakvimYılı,4,17),1),"ggg")</f>
        <v>Çar</v>
      </c>
      <c r="T5" s="2" t="str">
        <f>TEXT(WEEKDAY(DATE(TakvimYılı,4,18),1),"ggg")</f>
        <v>Per</v>
      </c>
      <c r="U5" s="2" t="str">
        <f>TEXT(WEEKDAY(DATE(TakvimYılı,4,19),1),"ggg")</f>
        <v>Cum</v>
      </c>
      <c r="V5" s="2" t="str">
        <f>TEXT(WEEKDAY(DATE(TakvimYılı,4,20),1),"ggg")</f>
        <v>Cmt</v>
      </c>
      <c r="W5" s="2" t="str">
        <f>TEXT(WEEKDAY(DATE(TakvimYılı,4,21),1),"ggg")</f>
        <v>Paz</v>
      </c>
      <c r="X5" s="2" t="str">
        <f>TEXT(WEEKDAY(DATE(TakvimYılı,4,22),1),"ggg")</f>
        <v>Pzt</v>
      </c>
      <c r="Y5" s="2" t="str">
        <f>TEXT(WEEKDAY(DATE(TakvimYılı,4,23),1),"ggg")</f>
        <v>Sal</v>
      </c>
      <c r="Z5" s="2" t="str">
        <f>TEXT(WEEKDAY(DATE(TakvimYılı,4,24),1),"ggg")</f>
        <v>Çar</v>
      </c>
      <c r="AA5" s="2" t="str">
        <f>TEXT(WEEKDAY(DATE(TakvimYılı,4,25),1),"ggg")</f>
        <v>Per</v>
      </c>
      <c r="AB5" s="2" t="str">
        <f>TEXT(WEEKDAY(DATE(TakvimYılı,4,26),1),"ggg")</f>
        <v>Cum</v>
      </c>
      <c r="AC5" s="2" t="str">
        <f>TEXT(WEEKDAY(DATE(TakvimYılı,4,27),1),"ggg")</f>
        <v>Cmt</v>
      </c>
      <c r="AD5" s="2" t="str">
        <f>TEXT(WEEKDAY(DATE(TakvimYılı,4,28),1),"ggg")</f>
        <v>Paz</v>
      </c>
      <c r="AE5" s="2" t="str">
        <f>TEXT(WEEKDAY(DATE(TakvimYılı,4,29),1),"ggg")</f>
        <v>Pzt</v>
      </c>
      <c r="AF5" s="2" t="str">
        <f>TEXT(WEEKDAY(DATE(TakvimYılı,4,30),1),"ggg")</f>
        <v>Sal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2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COUNTA(Nisan[[#This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COUNTA(Nisan[[#This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COUNTA(Nisan[[#This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COUNTA(Nisan[[#This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COUNTA(Nisan[[#This Row],[1]:[30]])</f>
        <v>0</v>
      </c>
    </row>
    <row r="12" spans="2:34" ht="30" customHeight="1" x14ac:dyDescent="0.25">
      <c r="B12" s="21" t="str">
        <f>AyAdı&amp;" Toplamı"</f>
        <v>Nisan Toplamı</v>
      </c>
      <c r="C12" s="13">
        <f>SUBTOTAL(103,Nisan[1])</f>
        <v>0</v>
      </c>
      <c r="D12" s="13">
        <f>SUBTOTAL(103,Nisan[2])</f>
        <v>0</v>
      </c>
      <c r="E12" s="13">
        <f>SUBTOTAL(103,Nisan[3])</f>
        <v>0</v>
      </c>
      <c r="F12" s="13">
        <f>SUBTOTAL(103,Nisan[4])</f>
        <v>0</v>
      </c>
      <c r="G12" s="13">
        <f>SUBTOTAL(103,Nisan[5])</f>
        <v>0</v>
      </c>
      <c r="H12" s="13">
        <f>SUBTOTAL(103,Nisan[6])</f>
        <v>0</v>
      </c>
      <c r="I12" s="13">
        <f>SUBTOTAL(103,Nisan[7])</f>
        <v>0</v>
      </c>
      <c r="J12" s="13">
        <f>SUBTOTAL(103,Nisan[8])</f>
        <v>0</v>
      </c>
      <c r="K12" s="13">
        <f>SUBTOTAL(103,Nisan[9])</f>
        <v>0</v>
      </c>
      <c r="L12" s="13">
        <f>SUBTOTAL(103,Nisan[10])</f>
        <v>0</v>
      </c>
      <c r="M12" s="13">
        <f>SUBTOTAL(103,Nisan[11])</f>
        <v>0</v>
      </c>
      <c r="N12" s="13">
        <f>SUBTOTAL(103,Nisan[12])</f>
        <v>0</v>
      </c>
      <c r="O12" s="13">
        <f>SUBTOTAL(103,Nisan[13])</f>
        <v>0</v>
      </c>
      <c r="P12" s="13">
        <f>SUBTOTAL(103,Nisan[14])</f>
        <v>0</v>
      </c>
      <c r="Q12" s="13">
        <f>SUBTOTAL(103,Nisan[15])</f>
        <v>0</v>
      </c>
      <c r="R12" s="13">
        <f>SUBTOTAL(103,Nisan[16])</f>
        <v>0</v>
      </c>
      <c r="S12" s="13">
        <f>SUBTOTAL(103,Nisan[17])</f>
        <v>0</v>
      </c>
      <c r="T12" s="13">
        <f>SUBTOTAL(103,Nisan[18])</f>
        <v>0</v>
      </c>
      <c r="U12" s="13">
        <f>SUBTOTAL(103,Nisan[19])</f>
        <v>0</v>
      </c>
      <c r="V12" s="13">
        <f>SUBTOTAL(103,Nisan[20])</f>
        <v>0</v>
      </c>
      <c r="W12" s="13">
        <f>SUBTOTAL(103,Nisan[21])</f>
        <v>0</v>
      </c>
      <c r="X12" s="13">
        <f>SUBTOTAL(103,Nisan[22])</f>
        <v>0</v>
      </c>
      <c r="Y12" s="13">
        <f>SUBTOTAL(103,Nisan[23])</f>
        <v>0</v>
      </c>
      <c r="Z12" s="13">
        <f>SUBTOTAL(103,Nisan[24])</f>
        <v>0</v>
      </c>
      <c r="AA12" s="13">
        <f>SUBTOTAL(103,Nisan[25])</f>
        <v>0</v>
      </c>
      <c r="AB12" s="13">
        <f>SUBTOTAL(103,Nisan[26])</f>
        <v>0</v>
      </c>
      <c r="AC12" s="13">
        <f>SUBTOTAL(103,Nisan[27])</f>
        <v>0</v>
      </c>
      <c r="AD12" s="13">
        <f>SUBTOTAL(103,Nisan[28])</f>
        <v>0</v>
      </c>
      <c r="AE12" s="13">
        <f>SUBTOTAL(103,Nisan[29])</f>
        <v>0</v>
      </c>
      <c r="AF12" s="13">
        <f>SUBTOTAL(103,Nisan[30])</f>
        <v>0</v>
      </c>
      <c r="AG12" s="13">
        <f>SUBTOTAL(103,Nisan[30])</f>
        <v>0</v>
      </c>
      <c r="AH12" s="13">
        <f>SUBTOTAL(109,Nisan[Toplam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07" priority="2" stopIfTrue="1">
      <formula>C7=AnahtarÖzel2</formula>
    </cfRule>
    <cfRule type="expression" dxfId="406" priority="3" stopIfTrue="1">
      <formula>C7=AnahtarÖzel1</formula>
    </cfRule>
    <cfRule type="expression" dxfId="405" priority="4" stopIfTrue="1">
      <formula>C7=AnahtarHasta</formula>
    </cfRule>
    <cfRule type="expression" dxfId="404" priority="5" stopIfTrue="1">
      <formula>C7=AnahtarKişisel</formula>
    </cfRule>
    <cfRule type="expression" dxfId="403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Ocak çalışma sayfasında girilen yıla göre otomatik olarak güncelleştirilen yıl" sqref="AH4" xr:uid="{00000000-0002-0000-0300-000000000000}"/>
    <dataValidation allowBlank="1" showInputMessage="1" showErrorMessage="1" prompt="Bu ay bir çalışanın toplamda kaç gün devamsızlık yaptığını, bu sütunda otomatik olarak hesaplar" sqref="AH6" xr:uid="{00000000-0002-0000-0300-000001000000}"/>
    <dataValidation allowBlank="1" showInputMessage="1" showErrorMessage="1" prompt="Bu çalışma sayfasında Nisan devamsızlığını izleyin" sqref="A1" xr:uid="{00000000-0002-0000-0300-000002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300-000003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300-000004000000}"/>
    <dataValidation allowBlank="1" showInputMessage="1" showErrorMessage="1" prompt="&quot;T&quot; harfi tatil nedeniyle devamsızlığı gösterir" sqref="C2" xr:uid="{00000000-0002-0000-0300-000005000000}"/>
    <dataValidation allowBlank="1" showInputMessage="1" showErrorMessage="1" prompt="&quot;K&quot; harfi kişisel nedenlerden dolayı devamsızlığı gösterir" sqref="G2" xr:uid="{00000000-0002-0000-0300-000006000000}"/>
    <dataValidation allowBlank="1" showInputMessage="1" showErrorMessage="1" prompt="&quot;H&quot; harfi hastalık nedeniyle devamsızlığı gösterir" sqref="K2" xr:uid="{00000000-0002-0000-0300-000007000000}"/>
    <dataValidation allowBlank="1" showInputMessage="1" showErrorMessage="1" prompt="Başka bir anahtar öğesi eklemek için bir harf girip sağdaki etiketi özelleştirin" sqref="N2 R2" xr:uid="{00000000-0002-0000-0300-000008000000}"/>
    <dataValidation allowBlank="1" showInputMessage="1" showErrorMessage="1" prompt="Soldaki özel anahtarı açıklamak için bir etiket girin" sqref="O2:Q2 S2:U2" xr:uid="{00000000-0002-0000-0300-000009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300-00000A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300-00000B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300-00000C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3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TEXT(WEEKDAY(DATE(TakvimYılı,5,1),1),"ggg")</f>
        <v>Çar</v>
      </c>
      <c r="D5" s="2" t="str">
        <f>TEXT(WEEKDAY(DATE(TakvimYılı,5,2),1),"ggg")</f>
        <v>Per</v>
      </c>
      <c r="E5" s="2" t="str">
        <f>TEXT(WEEKDAY(DATE(TakvimYılı,5,3),1),"ggg")</f>
        <v>Cum</v>
      </c>
      <c r="F5" s="2" t="str">
        <f>TEXT(WEEKDAY(DATE(TakvimYılı,5,4),1),"ggg")</f>
        <v>Cmt</v>
      </c>
      <c r="G5" s="2" t="str">
        <f>TEXT(WEEKDAY(DATE(TakvimYılı,5,5),1),"ggg")</f>
        <v>Paz</v>
      </c>
      <c r="H5" s="2" t="str">
        <f>TEXT(WEEKDAY(DATE(TakvimYılı,5,6),1),"ggg")</f>
        <v>Pzt</v>
      </c>
      <c r="I5" s="2" t="str">
        <f>TEXT(WEEKDAY(DATE(TakvimYılı,5,7),1),"ggg")</f>
        <v>Sal</v>
      </c>
      <c r="J5" s="2" t="str">
        <f>TEXT(WEEKDAY(DATE(TakvimYılı,5,8),1),"ggg")</f>
        <v>Çar</v>
      </c>
      <c r="K5" s="2" t="str">
        <f>TEXT(WEEKDAY(DATE(TakvimYılı,5,9),1),"ggg")</f>
        <v>Per</v>
      </c>
      <c r="L5" s="2" t="str">
        <f>TEXT(WEEKDAY(DATE(TakvimYılı,5,10),1),"ggg")</f>
        <v>Cum</v>
      </c>
      <c r="M5" s="2" t="str">
        <f>TEXT(WEEKDAY(DATE(TakvimYılı,5,11),1),"ggg")</f>
        <v>Cmt</v>
      </c>
      <c r="N5" s="2" t="str">
        <f>TEXT(WEEKDAY(DATE(TakvimYılı,5,12),1),"ggg")</f>
        <v>Paz</v>
      </c>
      <c r="O5" s="2" t="str">
        <f>TEXT(WEEKDAY(DATE(TakvimYılı,5,13),1),"ggg")</f>
        <v>Pzt</v>
      </c>
      <c r="P5" s="2" t="str">
        <f>TEXT(WEEKDAY(DATE(TakvimYılı,5,14),1),"ggg")</f>
        <v>Sal</v>
      </c>
      <c r="Q5" s="2" t="str">
        <f>TEXT(WEEKDAY(DATE(TakvimYılı,5,15),1),"ggg")</f>
        <v>Çar</v>
      </c>
      <c r="R5" s="2" t="str">
        <f>TEXT(WEEKDAY(DATE(TakvimYılı,5,16),1),"ggg")</f>
        <v>Per</v>
      </c>
      <c r="S5" s="2" t="str">
        <f>TEXT(WEEKDAY(DATE(TakvimYılı,5,17),1),"ggg")</f>
        <v>Cum</v>
      </c>
      <c r="T5" s="2" t="str">
        <f>TEXT(WEEKDAY(DATE(TakvimYılı,5,18),1),"ggg")</f>
        <v>Cmt</v>
      </c>
      <c r="U5" s="2" t="str">
        <f>TEXT(WEEKDAY(DATE(TakvimYılı,5,19),1),"ggg")</f>
        <v>Paz</v>
      </c>
      <c r="V5" s="2" t="str">
        <f>TEXT(WEEKDAY(DATE(TakvimYılı,5,20),1),"ggg")</f>
        <v>Pzt</v>
      </c>
      <c r="W5" s="2" t="str">
        <f>TEXT(WEEKDAY(DATE(TakvimYılı,5,21),1),"ggg")</f>
        <v>Sal</v>
      </c>
      <c r="X5" s="2" t="str">
        <f>TEXT(WEEKDAY(DATE(TakvimYılı,5,22),1),"ggg")</f>
        <v>Çar</v>
      </c>
      <c r="Y5" s="2" t="str">
        <f>TEXT(WEEKDAY(DATE(TakvimYılı,5,23),1),"ggg")</f>
        <v>Per</v>
      </c>
      <c r="Z5" s="2" t="str">
        <f>TEXT(WEEKDAY(DATE(TakvimYılı,5,24),1),"ggg")</f>
        <v>Cum</v>
      </c>
      <c r="AA5" s="2" t="str">
        <f>TEXT(WEEKDAY(DATE(TakvimYılı,5,25),1),"ggg")</f>
        <v>Cmt</v>
      </c>
      <c r="AB5" s="2" t="str">
        <f>TEXT(WEEKDAY(DATE(TakvimYılı,5,26),1),"ggg")</f>
        <v>Paz</v>
      </c>
      <c r="AC5" s="2" t="str">
        <f>TEXT(WEEKDAY(DATE(TakvimYılı,5,27),1),"ggg")</f>
        <v>Pzt</v>
      </c>
      <c r="AD5" s="2" t="str">
        <f>TEXT(WEEKDAY(DATE(TakvimYılı,5,28),1),"ggg")</f>
        <v>Sal</v>
      </c>
      <c r="AE5" s="2" t="str">
        <f>TEXT(WEEKDAY(DATE(TakvimYılı,5,29),1),"ggg")</f>
        <v>Çar</v>
      </c>
      <c r="AF5" s="2" t="str">
        <f>TEXT(WEEKDAY(DATE(TakvimYılı,5,30),1),"ggg")</f>
        <v>Per</v>
      </c>
      <c r="AG5" s="2" t="str">
        <f>TEXT(WEEKDAY(DATE(TakvimYılı,5,31),1),"ggg")</f>
        <v>Cum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COUNTA(Mayıs[[#This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COUNTA(Mayıs[[#This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COUNTA(Mayıs[[#This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COUNTA(Mayıs[[#This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COUNTA(Mayıs[[#This Row],[1]:[31]])</f>
        <v>0</v>
      </c>
    </row>
    <row r="12" spans="2:34" ht="30" customHeight="1" x14ac:dyDescent="0.25">
      <c r="B12" s="21" t="str">
        <f>AyAdı&amp;" Toplamı"</f>
        <v>May Toplamı</v>
      </c>
      <c r="C12" s="13">
        <f>SUBTOTAL(103,Mayıs[1])</f>
        <v>0</v>
      </c>
      <c r="D12" s="13">
        <f>SUBTOTAL(103,Mayıs[2])</f>
        <v>0</v>
      </c>
      <c r="E12" s="13">
        <f>SUBTOTAL(103,Mayıs[3])</f>
        <v>0</v>
      </c>
      <c r="F12" s="13">
        <f>SUBTOTAL(103,Mayıs[4])</f>
        <v>0</v>
      </c>
      <c r="G12" s="13">
        <f>SUBTOTAL(103,Mayıs[5])</f>
        <v>0</v>
      </c>
      <c r="H12" s="13">
        <f>SUBTOTAL(103,Mayıs[6])</f>
        <v>0</v>
      </c>
      <c r="I12" s="13">
        <f>SUBTOTAL(103,Mayıs[7])</f>
        <v>0</v>
      </c>
      <c r="J12" s="13">
        <f>SUBTOTAL(103,Mayıs[8])</f>
        <v>0</v>
      </c>
      <c r="K12" s="13">
        <f>SUBTOTAL(103,Mayıs[9])</f>
        <v>0</v>
      </c>
      <c r="L12" s="13">
        <f>SUBTOTAL(103,Mayıs[10])</f>
        <v>0</v>
      </c>
      <c r="M12" s="13">
        <f>SUBTOTAL(103,Mayıs[11])</f>
        <v>0</v>
      </c>
      <c r="N12" s="13">
        <f>SUBTOTAL(103,Mayıs[12])</f>
        <v>0</v>
      </c>
      <c r="O12" s="13">
        <f>SUBTOTAL(103,Mayıs[13])</f>
        <v>0</v>
      </c>
      <c r="P12" s="13">
        <f>SUBTOTAL(103,Mayıs[14])</f>
        <v>0</v>
      </c>
      <c r="Q12" s="13">
        <f>SUBTOTAL(103,Mayıs[15])</f>
        <v>0</v>
      </c>
      <c r="R12" s="13">
        <f>SUBTOTAL(103,Mayıs[16])</f>
        <v>0</v>
      </c>
      <c r="S12" s="13">
        <f>SUBTOTAL(103,Mayıs[17])</f>
        <v>0</v>
      </c>
      <c r="T12" s="13">
        <f>SUBTOTAL(103,Mayıs[18])</f>
        <v>0</v>
      </c>
      <c r="U12" s="13">
        <f>SUBTOTAL(103,Mayıs[19])</f>
        <v>0</v>
      </c>
      <c r="V12" s="13">
        <f>SUBTOTAL(103,Mayıs[20])</f>
        <v>0</v>
      </c>
      <c r="W12" s="13">
        <f>SUBTOTAL(103,Mayıs[21])</f>
        <v>0</v>
      </c>
      <c r="X12" s="13">
        <f>SUBTOTAL(103,Mayıs[22])</f>
        <v>0</v>
      </c>
      <c r="Y12" s="13">
        <f>SUBTOTAL(103,Mayıs[23])</f>
        <v>0</v>
      </c>
      <c r="Z12" s="13">
        <f>SUBTOTAL(103,Mayıs[24])</f>
        <v>0</v>
      </c>
      <c r="AA12" s="13">
        <f>SUBTOTAL(103,Mayıs[25])</f>
        <v>0</v>
      </c>
      <c r="AB12" s="13">
        <f>SUBTOTAL(103,Mayıs[26])</f>
        <v>0</v>
      </c>
      <c r="AC12" s="13">
        <f>SUBTOTAL(103,Mayıs[27])</f>
        <v>0</v>
      </c>
      <c r="AD12" s="13">
        <f>SUBTOTAL(103,Mayıs[28])</f>
        <v>0</v>
      </c>
      <c r="AE12" s="13">
        <f>SUBTOTAL(103,Mayıs[29])</f>
        <v>0</v>
      </c>
      <c r="AF12" s="13">
        <f>SUBTOTAL(103,Mayıs[30])</f>
        <v>0</v>
      </c>
      <c r="AG12" s="13">
        <f>SUBTOTAL(103,Mayıs[31])</f>
        <v>0</v>
      </c>
      <c r="AH12" s="13">
        <f>SUBTOTAL(109,Mayıs[Toplam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02" priority="2" stopIfTrue="1">
      <formula>C7=AnahtarÖzel2</formula>
    </cfRule>
    <cfRule type="expression" dxfId="401" priority="3" stopIfTrue="1">
      <formula>C7=AnahtarÖzel1</formula>
    </cfRule>
    <cfRule type="expression" dxfId="400" priority="4" stopIfTrue="1">
      <formula>C7=AnahtarHasta</formula>
    </cfRule>
    <cfRule type="expression" dxfId="399" priority="5" stopIfTrue="1">
      <formula>C7=AnahtarKişisel</formula>
    </cfRule>
    <cfRule type="expression" dxfId="398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400-000000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400-000001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400-000002000000}"/>
    <dataValidation allowBlank="1" showInputMessage="1" showErrorMessage="1" prompt="Soldaki özel anahtarı açıklamak için bir etiket girin" sqref="O2:Q2 S2:U2" xr:uid="{00000000-0002-0000-0400-000003000000}"/>
    <dataValidation allowBlank="1" showInputMessage="1" showErrorMessage="1" prompt="Başka bir anahtar öğesi eklemek için bir harf girip sağdaki etiketi özelleştirin" sqref="N2 R2" xr:uid="{00000000-0002-0000-0400-000004000000}"/>
    <dataValidation allowBlank="1" showInputMessage="1" showErrorMessage="1" prompt="&quot;H&quot; harfi hastalık nedeniyle devamsızlığı gösterir" sqref="K2" xr:uid="{00000000-0002-0000-0400-000005000000}"/>
    <dataValidation allowBlank="1" showInputMessage="1" showErrorMessage="1" prompt="&quot;K&quot; harfi kişisel nedenlerden dolayı devamsızlığı gösterir" sqref="G2" xr:uid="{00000000-0002-0000-0400-000006000000}"/>
    <dataValidation allowBlank="1" showInputMessage="1" showErrorMessage="1" prompt="&quot;T&quot; harfi tatil nedeniyle devamsızlığı gösterir" sqref="C2" xr:uid="{00000000-0002-0000-0400-000007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400-000008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400-000009000000}"/>
    <dataValidation allowBlank="1" showInputMessage="1" showErrorMessage="1" prompt="Bu çalışma sayfasında Mayıs devamsızlığını izleyin" sqref="A1" xr:uid="{00000000-0002-0000-0400-00000A000000}"/>
    <dataValidation allowBlank="1" showInputMessage="1" showErrorMessage="1" prompt="Bu ay bir çalışanın toplamda kaç gün devamsızlık yaptığını, bu sütunda otomatik olarak hesaplar" sqref="AH6" xr:uid="{00000000-0002-0000-0400-00000B000000}"/>
    <dataValidation allowBlank="1" showInputMessage="1" showErrorMessage="1" prompt="Ocak çalışma sayfasında girilen yıla göre otomatik olarak güncelleştirilen yıl" sqref="AH4" xr:uid="{00000000-0002-0000-0400-00000C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4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TEXT(WEEKDAY(DATE(TakvimYılı,6,1),1),"ggg")</f>
        <v>Cmt</v>
      </c>
      <c r="D5" s="2" t="str">
        <f>TEXT(WEEKDAY(DATE(TakvimYılı,6,2),1),"ggg")</f>
        <v>Paz</v>
      </c>
      <c r="E5" s="2" t="str">
        <f>TEXT(WEEKDAY(DATE(TakvimYılı,6,3),1),"ggg")</f>
        <v>Pzt</v>
      </c>
      <c r="F5" s="2" t="str">
        <f>TEXT(WEEKDAY(DATE(TakvimYılı,6,4),1),"ggg")</f>
        <v>Sal</v>
      </c>
      <c r="G5" s="2" t="str">
        <f>TEXT(WEEKDAY(DATE(TakvimYılı,6,5),1),"ggg")</f>
        <v>Çar</v>
      </c>
      <c r="H5" s="2" t="str">
        <f>TEXT(WEEKDAY(DATE(TakvimYılı,6,6),1),"ggg")</f>
        <v>Per</v>
      </c>
      <c r="I5" s="2" t="str">
        <f>TEXT(WEEKDAY(DATE(TakvimYılı,6,7),1),"ggg")</f>
        <v>Cum</v>
      </c>
      <c r="J5" s="2" t="str">
        <f>TEXT(WEEKDAY(DATE(TakvimYılı,6,8),1),"ggg")</f>
        <v>Cmt</v>
      </c>
      <c r="K5" s="2" t="str">
        <f>TEXT(WEEKDAY(DATE(TakvimYılı,6,9),1),"ggg")</f>
        <v>Paz</v>
      </c>
      <c r="L5" s="2" t="str">
        <f>TEXT(WEEKDAY(DATE(TakvimYılı,6,10),1),"ggg")</f>
        <v>Pzt</v>
      </c>
      <c r="M5" s="2" t="str">
        <f>TEXT(WEEKDAY(DATE(TakvimYılı,6,11),1),"ggg")</f>
        <v>Sal</v>
      </c>
      <c r="N5" s="2" t="str">
        <f>TEXT(WEEKDAY(DATE(TakvimYılı,6,12),1),"ggg")</f>
        <v>Çar</v>
      </c>
      <c r="O5" s="2" t="str">
        <f>TEXT(WEEKDAY(DATE(TakvimYılı,6,13),1),"ggg")</f>
        <v>Per</v>
      </c>
      <c r="P5" s="2" t="str">
        <f>TEXT(WEEKDAY(DATE(TakvimYılı,6,14),1),"ggg")</f>
        <v>Cum</v>
      </c>
      <c r="Q5" s="2" t="str">
        <f>TEXT(WEEKDAY(DATE(TakvimYılı,6,15),1),"ggg")</f>
        <v>Cmt</v>
      </c>
      <c r="R5" s="2" t="str">
        <f>TEXT(WEEKDAY(DATE(TakvimYılı,6,16),1),"ggg")</f>
        <v>Paz</v>
      </c>
      <c r="S5" s="2" t="str">
        <f>TEXT(WEEKDAY(DATE(TakvimYılı,6,17),1),"ggg")</f>
        <v>Pzt</v>
      </c>
      <c r="T5" s="2" t="str">
        <f>TEXT(WEEKDAY(DATE(TakvimYılı,6,18),1),"ggg")</f>
        <v>Sal</v>
      </c>
      <c r="U5" s="2" t="str">
        <f>TEXT(WEEKDAY(DATE(TakvimYılı,6,19),1),"ggg")</f>
        <v>Çar</v>
      </c>
      <c r="V5" s="2" t="str">
        <f>TEXT(WEEKDAY(DATE(TakvimYılı,6,20),1),"ggg")</f>
        <v>Per</v>
      </c>
      <c r="W5" s="2" t="str">
        <f>TEXT(WEEKDAY(DATE(TakvimYılı,6,21),1),"ggg")</f>
        <v>Cum</v>
      </c>
      <c r="X5" s="2" t="str">
        <f>TEXT(WEEKDAY(DATE(TakvimYılı,6,22),1),"ggg")</f>
        <v>Cmt</v>
      </c>
      <c r="Y5" s="2" t="str">
        <f>TEXT(WEEKDAY(DATE(TakvimYılı,6,23),1),"ggg")</f>
        <v>Paz</v>
      </c>
      <c r="Z5" s="2" t="str">
        <f>TEXT(WEEKDAY(DATE(TakvimYılı,6,24),1),"ggg")</f>
        <v>Pzt</v>
      </c>
      <c r="AA5" s="2" t="str">
        <f>TEXT(WEEKDAY(DATE(TakvimYılı,6,25),1),"ggg")</f>
        <v>Sal</v>
      </c>
      <c r="AB5" s="2" t="str">
        <f>TEXT(WEEKDAY(DATE(TakvimYılı,6,26),1),"ggg")</f>
        <v>Çar</v>
      </c>
      <c r="AC5" s="2" t="str">
        <f>TEXT(WEEKDAY(DATE(TakvimYılı,6,27),1),"ggg")</f>
        <v>Per</v>
      </c>
      <c r="AD5" s="2" t="str">
        <f>TEXT(WEEKDAY(DATE(TakvimYılı,6,28),1),"ggg")</f>
        <v>Cum</v>
      </c>
      <c r="AE5" s="2" t="str">
        <f>TEXT(WEEKDAY(DATE(TakvimYılı,6,29),1),"ggg")</f>
        <v>Cmt</v>
      </c>
      <c r="AF5" s="2" t="str">
        <f>TEXT(WEEKDAY(DATE(TakvimYılı,6,30),1),"ggg")</f>
        <v>Paz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COUNTA(Haziran[[#This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COUNTA(Haziran[[#This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COUNTA(Haziran[[#This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COUNTA(Haziran[[#This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COUNTA(Haziran[[#This Row],[1]:[30]])</f>
        <v>0</v>
      </c>
    </row>
    <row r="12" spans="2:34" ht="30" customHeight="1" x14ac:dyDescent="0.25">
      <c r="B12" s="21" t="str">
        <f>AyAdı&amp;" Toplamı"</f>
        <v>Haziran Toplamı</v>
      </c>
      <c r="C12" s="13">
        <f>SUBTOTAL(103,Haziran[1])</f>
        <v>0</v>
      </c>
      <c r="D12" s="13">
        <f>SUBTOTAL(103,Haziran[2])</f>
        <v>0</v>
      </c>
      <c r="E12" s="13">
        <f>SUBTOTAL(103,Haziran[3])</f>
        <v>0</v>
      </c>
      <c r="F12" s="13">
        <f>SUBTOTAL(103,Haziran[4])</f>
        <v>0</v>
      </c>
      <c r="G12" s="13">
        <f>SUBTOTAL(103,Haziran[5])</f>
        <v>0</v>
      </c>
      <c r="H12" s="13">
        <f>SUBTOTAL(103,Haziran[6])</f>
        <v>0</v>
      </c>
      <c r="I12" s="13">
        <f>SUBTOTAL(103,Haziran[7])</f>
        <v>0</v>
      </c>
      <c r="J12" s="13">
        <f>SUBTOTAL(103,Haziran[8])</f>
        <v>0</v>
      </c>
      <c r="K12" s="13">
        <f>SUBTOTAL(103,Haziran[9])</f>
        <v>0</v>
      </c>
      <c r="L12" s="13">
        <f>SUBTOTAL(103,Haziran[10])</f>
        <v>0</v>
      </c>
      <c r="M12" s="13">
        <f>SUBTOTAL(103,Haziran[11])</f>
        <v>0</v>
      </c>
      <c r="N12" s="13">
        <f>SUBTOTAL(103,Haziran[12])</f>
        <v>0</v>
      </c>
      <c r="O12" s="13">
        <f>SUBTOTAL(103,Haziran[13])</f>
        <v>0</v>
      </c>
      <c r="P12" s="13">
        <f>SUBTOTAL(103,Haziran[14])</f>
        <v>0</v>
      </c>
      <c r="Q12" s="13">
        <f>SUBTOTAL(103,Haziran[15])</f>
        <v>0</v>
      </c>
      <c r="R12" s="13">
        <f>SUBTOTAL(103,Haziran[16])</f>
        <v>0</v>
      </c>
      <c r="S12" s="13">
        <f>SUBTOTAL(103,Haziran[17])</f>
        <v>0</v>
      </c>
      <c r="T12" s="13">
        <f>SUBTOTAL(103,Haziran[18])</f>
        <v>0</v>
      </c>
      <c r="U12" s="13">
        <f>SUBTOTAL(103,Haziran[19])</f>
        <v>0</v>
      </c>
      <c r="V12" s="13">
        <f>SUBTOTAL(103,Haziran[20])</f>
        <v>0</v>
      </c>
      <c r="W12" s="13">
        <f>SUBTOTAL(103,Haziran[21])</f>
        <v>0</v>
      </c>
      <c r="X12" s="13">
        <f>SUBTOTAL(103,Haziran[22])</f>
        <v>0</v>
      </c>
      <c r="Y12" s="13">
        <f>SUBTOTAL(103,Haziran[23])</f>
        <v>0</v>
      </c>
      <c r="Z12" s="13">
        <f>SUBTOTAL(103,Haziran[24])</f>
        <v>0</v>
      </c>
      <c r="AA12" s="13">
        <f>SUBTOTAL(103,Haziran[25])</f>
        <v>0</v>
      </c>
      <c r="AB12" s="13">
        <f>SUBTOTAL(103,Haziran[26])</f>
        <v>0</v>
      </c>
      <c r="AC12" s="13">
        <f>SUBTOTAL(103,Haziran[27])</f>
        <v>0</v>
      </c>
      <c r="AD12" s="13">
        <f>SUBTOTAL(103,Haziran[28])</f>
        <v>0</v>
      </c>
      <c r="AE12" s="13">
        <f>SUBTOTAL(103,Haziran[29])</f>
        <v>0</v>
      </c>
      <c r="AF12" s="13">
        <f>SUBTOTAL(103,Haziran[30])</f>
        <v>0</v>
      </c>
      <c r="AG12" s="13">
        <f>SUBTOTAL(103,Haziran[[ ]])</f>
        <v>0</v>
      </c>
      <c r="AH12" s="13">
        <f>SUBTOTAL(109,Haziran[Toplam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97" priority="2" stopIfTrue="1">
      <formula>C7=AnahtarÖzel2</formula>
    </cfRule>
    <cfRule type="expression" dxfId="396" priority="3" stopIfTrue="1">
      <formula>C7=AnahtarÖzel1</formula>
    </cfRule>
    <cfRule type="expression" dxfId="395" priority="4" stopIfTrue="1">
      <formula>C7=AnahtarHasta</formula>
    </cfRule>
    <cfRule type="expression" dxfId="394" priority="5" stopIfTrue="1">
      <formula>C7=AnahtarKişisel</formula>
    </cfRule>
    <cfRule type="expression" dxfId="393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500-000000000000}"/>
    <dataValidation allowBlank="1" showInputMessage="1" showErrorMessage="1" prompt="Ocak çalışma sayfasında girilen yıla göre otomatik olarak güncelleştirilen yıl" sqref="AH4" xr:uid="{00000000-0002-0000-0500-000001000000}"/>
    <dataValidation allowBlank="1" showInputMessage="1" showErrorMessage="1" prompt="Bu ay bir çalışanın toplamda kaç gün devamsızlık yaptığını, bu sütunda otomatik olarak hesaplar" sqref="AH6" xr:uid="{00000000-0002-0000-0500-000002000000}"/>
    <dataValidation allowBlank="1" showInputMessage="1" showErrorMessage="1" prompt="Bu çalışma sayfasında Haziran devamsızlığını izleyin" sqref="A1" xr:uid="{00000000-0002-0000-0500-000003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500-000004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500-000005000000}"/>
    <dataValidation allowBlank="1" showInputMessage="1" showErrorMessage="1" prompt="&quot;T&quot; harfi tatil nedeniyle devamsızlığı gösterir" sqref="C2" xr:uid="{00000000-0002-0000-0500-000006000000}"/>
    <dataValidation allowBlank="1" showInputMessage="1" showErrorMessage="1" prompt="&quot;K&quot; harfi kişisel nedenlerden dolayı devamsızlığı gösterir" sqref="G2" xr:uid="{00000000-0002-0000-0500-000007000000}"/>
    <dataValidation allowBlank="1" showInputMessage="1" showErrorMessage="1" prompt="&quot;H&quot; harfi hastalık nedeniyle devamsızlığı gösterir" sqref="K2" xr:uid="{00000000-0002-0000-0500-000008000000}"/>
    <dataValidation allowBlank="1" showInputMessage="1" showErrorMessage="1" prompt="Başka bir anahtar öğesi eklemek için bir harf girip sağdaki etiketi özelleştirin" sqref="N2 R2" xr:uid="{00000000-0002-0000-0500-000009000000}"/>
    <dataValidation allowBlank="1" showInputMessage="1" showErrorMessage="1" prompt="Soldaki özel anahtarı açıklamak için bir etiket girin" sqref="O2:Q2 S2:U2" xr:uid="{00000000-0002-0000-0500-00000A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500-00000B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500-00000C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5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TEXT(WEEKDAY(DATE(TakvimYılı,7,1),1),"ggg")</f>
        <v>Pzt</v>
      </c>
      <c r="D5" s="2" t="str">
        <f>TEXT(WEEKDAY(DATE(TakvimYılı,7,2),1),"ggg")</f>
        <v>Sal</v>
      </c>
      <c r="E5" s="2" t="str">
        <f>TEXT(WEEKDAY(DATE(TakvimYılı,7,3),1),"ggg")</f>
        <v>Çar</v>
      </c>
      <c r="F5" s="2" t="str">
        <f>TEXT(WEEKDAY(DATE(TakvimYılı,7,4),1),"ggg")</f>
        <v>Per</v>
      </c>
      <c r="G5" s="2" t="str">
        <f>TEXT(WEEKDAY(DATE(TakvimYılı,7,5),1),"ggg")</f>
        <v>Cum</v>
      </c>
      <c r="H5" s="2" t="str">
        <f>TEXT(WEEKDAY(DATE(TakvimYılı,7,6),1),"ggg")</f>
        <v>Cmt</v>
      </c>
      <c r="I5" s="2" t="str">
        <f>TEXT(WEEKDAY(DATE(TakvimYılı,7,7),1),"ggg")</f>
        <v>Paz</v>
      </c>
      <c r="J5" s="2" t="str">
        <f>TEXT(WEEKDAY(DATE(TakvimYılı,7,8),1),"ggg")</f>
        <v>Pzt</v>
      </c>
      <c r="K5" s="2" t="str">
        <f>TEXT(WEEKDAY(DATE(TakvimYılı,7,9),1),"ggg")</f>
        <v>Sal</v>
      </c>
      <c r="L5" s="2" t="str">
        <f>TEXT(WEEKDAY(DATE(TakvimYılı,7,10),1),"ggg")</f>
        <v>Çar</v>
      </c>
      <c r="M5" s="2" t="str">
        <f>TEXT(WEEKDAY(DATE(TakvimYılı,7,11),1),"ggg")</f>
        <v>Per</v>
      </c>
      <c r="N5" s="2" t="str">
        <f>TEXT(WEEKDAY(DATE(TakvimYılı,7,12),1),"ggg")</f>
        <v>Cum</v>
      </c>
      <c r="O5" s="2" t="str">
        <f>TEXT(WEEKDAY(DATE(TakvimYılı,7,13),1),"ggg")</f>
        <v>Cmt</v>
      </c>
      <c r="P5" s="2" t="str">
        <f>TEXT(WEEKDAY(DATE(TakvimYılı,7,14),1),"ggg")</f>
        <v>Paz</v>
      </c>
      <c r="Q5" s="2" t="str">
        <f>TEXT(WEEKDAY(DATE(TakvimYılı,7,15),1),"ggg")</f>
        <v>Pzt</v>
      </c>
      <c r="R5" s="2" t="str">
        <f>TEXT(WEEKDAY(DATE(TakvimYılı,7,16),1),"ggg")</f>
        <v>Sal</v>
      </c>
      <c r="S5" s="2" t="str">
        <f>TEXT(WEEKDAY(DATE(TakvimYılı,7,17),1),"ggg")</f>
        <v>Çar</v>
      </c>
      <c r="T5" s="2" t="str">
        <f>TEXT(WEEKDAY(DATE(TakvimYılı,7,18),1),"ggg")</f>
        <v>Per</v>
      </c>
      <c r="U5" s="2" t="str">
        <f>TEXT(WEEKDAY(DATE(TakvimYılı,7,19),1),"ggg")</f>
        <v>Cum</v>
      </c>
      <c r="V5" s="2" t="str">
        <f>TEXT(WEEKDAY(DATE(TakvimYılı,7,20),1),"ggg")</f>
        <v>Cmt</v>
      </c>
      <c r="W5" s="2" t="str">
        <f>TEXT(WEEKDAY(DATE(TakvimYılı,7,21),1),"ggg")</f>
        <v>Paz</v>
      </c>
      <c r="X5" s="2" t="str">
        <f>TEXT(WEEKDAY(DATE(TakvimYılı,7,22),1),"ggg")</f>
        <v>Pzt</v>
      </c>
      <c r="Y5" s="2" t="str">
        <f>TEXT(WEEKDAY(DATE(TakvimYılı,7,23),1),"ggg")</f>
        <v>Sal</v>
      </c>
      <c r="Z5" s="2" t="str">
        <f>TEXT(WEEKDAY(DATE(TakvimYılı,7,24),1),"ggg")</f>
        <v>Çar</v>
      </c>
      <c r="AA5" s="2" t="str">
        <f>TEXT(WEEKDAY(DATE(TakvimYılı,7,25),1),"ggg")</f>
        <v>Per</v>
      </c>
      <c r="AB5" s="2" t="str">
        <f>TEXT(WEEKDAY(DATE(TakvimYılı,7,26),1),"ggg")</f>
        <v>Cum</v>
      </c>
      <c r="AC5" s="2" t="str">
        <f>TEXT(WEEKDAY(DATE(TakvimYılı,7,27),1),"ggg")</f>
        <v>Cmt</v>
      </c>
      <c r="AD5" s="2" t="str">
        <f>TEXT(WEEKDAY(DATE(TakvimYılı,7,28),1),"ggg")</f>
        <v>Paz</v>
      </c>
      <c r="AE5" s="2" t="str">
        <f>TEXT(WEEKDAY(DATE(TakvimYılı,7,29),1),"ggg")</f>
        <v>Pzt</v>
      </c>
      <c r="AF5" s="2" t="str">
        <f>TEXT(WEEKDAY(DATE(TakvimYılı,7,30),1),"ggg")</f>
        <v>Sal</v>
      </c>
      <c r="AG5" s="2" t="str">
        <f>TEXT(WEEKDAY(DATE(TakvimYılı,7,31),1),"ggg")</f>
        <v>Çar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COUNTA(Temmuz[[#This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COUNTA(Temmuz[[#This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COUNTA(Temmuz[[#This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COUNTA(Temmuz[[#This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COUNTA(Temmuz[[#This Row],[1]:[31]])</f>
        <v>0</v>
      </c>
    </row>
    <row r="12" spans="2:34" ht="30" customHeight="1" x14ac:dyDescent="0.25">
      <c r="B12" s="21" t="str">
        <f>AyAdı&amp;" Toplamı"</f>
        <v>Temmuz Toplamı</v>
      </c>
      <c r="C12" s="13">
        <f>SUBTOTAL(103,Temmuz[1])</f>
        <v>0</v>
      </c>
      <c r="D12" s="13">
        <f>SUBTOTAL(103,Temmuz[2])</f>
        <v>0</v>
      </c>
      <c r="E12" s="13">
        <f>SUBTOTAL(103,Temmuz[3])</f>
        <v>0</v>
      </c>
      <c r="F12" s="13">
        <f>SUBTOTAL(103,Temmuz[4])</f>
        <v>0</v>
      </c>
      <c r="G12" s="13">
        <f>SUBTOTAL(103,Temmuz[5])</f>
        <v>0</v>
      </c>
      <c r="H12" s="13">
        <f>SUBTOTAL(103,Temmuz[6])</f>
        <v>0</v>
      </c>
      <c r="I12" s="13">
        <f>SUBTOTAL(103,Temmuz[7])</f>
        <v>0</v>
      </c>
      <c r="J12" s="13">
        <f>SUBTOTAL(103,Temmuz[8])</f>
        <v>0</v>
      </c>
      <c r="K12" s="13">
        <f>SUBTOTAL(103,Temmuz[9])</f>
        <v>0</v>
      </c>
      <c r="L12" s="13">
        <f>SUBTOTAL(103,Temmuz[10])</f>
        <v>0</v>
      </c>
      <c r="M12" s="13">
        <f>SUBTOTAL(103,Temmuz[11])</f>
        <v>0</v>
      </c>
      <c r="N12" s="13">
        <f>SUBTOTAL(103,Temmuz[12])</f>
        <v>0</v>
      </c>
      <c r="O12" s="13">
        <f>SUBTOTAL(103,Temmuz[13])</f>
        <v>0</v>
      </c>
      <c r="P12" s="13">
        <f>SUBTOTAL(103,Temmuz[14])</f>
        <v>0</v>
      </c>
      <c r="Q12" s="13">
        <f>SUBTOTAL(103,Temmuz[15])</f>
        <v>0</v>
      </c>
      <c r="R12" s="13">
        <f>SUBTOTAL(103,Temmuz[16])</f>
        <v>0</v>
      </c>
      <c r="S12" s="13">
        <f>SUBTOTAL(103,Temmuz[17])</f>
        <v>0</v>
      </c>
      <c r="T12" s="13">
        <f>SUBTOTAL(103,Temmuz[18])</f>
        <v>0</v>
      </c>
      <c r="U12" s="13">
        <f>SUBTOTAL(103,Temmuz[19])</f>
        <v>0</v>
      </c>
      <c r="V12" s="13">
        <f>SUBTOTAL(103,Temmuz[20])</f>
        <v>0</v>
      </c>
      <c r="W12" s="13">
        <f>SUBTOTAL(103,Temmuz[21])</f>
        <v>0</v>
      </c>
      <c r="X12" s="13">
        <f>SUBTOTAL(103,Temmuz[22])</f>
        <v>0</v>
      </c>
      <c r="Y12" s="13">
        <f>SUBTOTAL(103,Temmuz[23])</f>
        <v>0</v>
      </c>
      <c r="Z12" s="13">
        <f>SUBTOTAL(103,Temmuz[24])</f>
        <v>0</v>
      </c>
      <c r="AA12" s="13">
        <f>SUBTOTAL(103,Temmuz[25])</f>
        <v>0</v>
      </c>
      <c r="AB12" s="13">
        <f>SUBTOTAL(103,Temmuz[26])</f>
        <v>0</v>
      </c>
      <c r="AC12" s="13">
        <f>SUBTOTAL(103,Temmuz[27])</f>
        <v>0</v>
      </c>
      <c r="AD12" s="13">
        <f>SUBTOTAL(103,Temmuz[28])</f>
        <v>0</v>
      </c>
      <c r="AE12" s="13">
        <f>SUBTOTAL(103,Temmuz[29])</f>
        <v>0</v>
      </c>
      <c r="AF12" s="13">
        <f>SUBTOTAL(103,Temmuz[30])</f>
        <v>0</v>
      </c>
      <c r="AG12" s="13">
        <f>SUBTOTAL(103,Temmuz[31])</f>
        <v>0</v>
      </c>
      <c r="AH12" s="13">
        <f>SUBTOTAL(109,Temmuz[Toplam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92" priority="2" stopIfTrue="1">
      <formula>C7=AnahtarÖzel2</formula>
    </cfRule>
    <cfRule type="expression" dxfId="391" priority="3" stopIfTrue="1">
      <formula>C7=AnahtarÖzel1</formula>
    </cfRule>
    <cfRule type="expression" dxfId="390" priority="4" stopIfTrue="1">
      <formula>C7=AnahtarHasta</formula>
    </cfRule>
    <cfRule type="expression" dxfId="389" priority="5" stopIfTrue="1">
      <formula>C7=AnahtarKişisel</formula>
    </cfRule>
    <cfRule type="expression" dxfId="388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600-000000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600-000001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600-000002000000}"/>
    <dataValidation allowBlank="1" showInputMessage="1" showErrorMessage="1" prompt="Soldaki özel anahtarı açıklamak için bir etiket girin" sqref="O2:Q2 S2:U2" xr:uid="{00000000-0002-0000-0600-000003000000}"/>
    <dataValidation allowBlank="1" showInputMessage="1" showErrorMessage="1" prompt="Başka bir anahtar öğesi eklemek için bir harf girip sağdaki etiketi özelleştirin" sqref="N2 R2" xr:uid="{00000000-0002-0000-0600-000004000000}"/>
    <dataValidation allowBlank="1" showInputMessage="1" showErrorMessage="1" prompt="&quot;H&quot; harfi hastalık nedeniyle devamsızlığı gösterir" sqref="K2" xr:uid="{00000000-0002-0000-0600-000005000000}"/>
    <dataValidation allowBlank="1" showInputMessage="1" showErrorMessage="1" prompt="&quot;K&quot; harfi kişisel nedenlerden dolayı devamsızlığı gösterir" sqref="G2" xr:uid="{00000000-0002-0000-0600-000006000000}"/>
    <dataValidation allowBlank="1" showInputMessage="1" showErrorMessage="1" prompt="&quot;T&quot; harfi tatil nedeniyle devamsızlığı gösterir" sqref="C2" xr:uid="{00000000-0002-0000-0600-000007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600-000008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600-000009000000}"/>
    <dataValidation allowBlank="1" showInputMessage="1" showErrorMessage="1" prompt="Bu çalışma sayfasında Temmuz devamsızlığını izleyin" sqref="A1" xr:uid="{00000000-0002-0000-0600-00000A000000}"/>
    <dataValidation allowBlank="1" showInputMessage="1" showErrorMessage="1" prompt="Bu ay bir çalışanın toplamda kaç gün devamsızlık yaptığını, bu sütunda otomatik olarak hesaplar" sqref="AH6" xr:uid="{00000000-0002-0000-0600-00000B000000}"/>
    <dataValidation allowBlank="1" showInputMessage="1" showErrorMessage="1" prompt="Ocak çalışma sayfasında girilen yıla göre otomatik olarak güncelleştirilen yıl" sqref="AH4" xr:uid="{00000000-0002-0000-0600-00000C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6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TEXT(WEEKDAY(DATE(TakvimYılı,8,1),1),"ggg")</f>
        <v>Per</v>
      </c>
      <c r="D5" s="2" t="str">
        <f>TEXT(WEEKDAY(DATE(TakvimYılı,8,2),1),"ggg")</f>
        <v>Cum</v>
      </c>
      <c r="E5" s="2" t="str">
        <f>TEXT(WEEKDAY(DATE(TakvimYılı,8,3),1),"ggg")</f>
        <v>Cmt</v>
      </c>
      <c r="F5" s="2" t="str">
        <f>TEXT(WEEKDAY(DATE(TakvimYılı,8,4),1),"ggg")</f>
        <v>Paz</v>
      </c>
      <c r="G5" s="2" t="str">
        <f>TEXT(WEEKDAY(DATE(TakvimYılı,8,5),1),"ggg")</f>
        <v>Pzt</v>
      </c>
      <c r="H5" s="2" t="str">
        <f>TEXT(WEEKDAY(DATE(TakvimYılı,8,6),1),"ggg")</f>
        <v>Sal</v>
      </c>
      <c r="I5" s="2" t="str">
        <f>TEXT(WEEKDAY(DATE(TakvimYılı,8,7),1),"ggg")</f>
        <v>Çar</v>
      </c>
      <c r="J5" s="2" t="str">
        <f>TEXT(WEEKDAY(DATE(TakvimYılı,8,8),1),"ggg")</f>
        <v>Per</v>
      </c>
      <c r="K5" s="2" t="str">
        <f>TEXT(WEEKDAY(DATE(TakvimYılı,8,9),1),"ggg")</f>
        <v>Cum</v>
      </c>
      <c r="L5" s="2" t="str">
        <f>TEXT(WEEKDAY(DATE(TakvimYılı,8,10),1),"ggg")</f>
        <v>Cmt</v>
      </c>
      <c r="M5" s="2" t="str">
        <f>TEXT(WEEKDAY(DATE(TakvimYılı,8,11),1),"ggg")</f>
        <v>Paz</v>
      </c>
      <c r="N5" s="2" t="str">
        <f>TEXT(WEEKDAY(DATE(TakvimYılı,8,12),1),"ggg")</f>
        <v>Pzt</v>
      </c>
      <c r="O5" s="2" t="str">
        <f>TEXT(WEEKDAY(DATE(TakvimYılı,8,13),1),"ggg")</f>
        <v>Sal</v>
      </c>
      <c r="P5" s="2" t="str">
        <f>TEXT(WEEKDAY(DATE(TakvimYılı,8,14),1),"ggg")</f>
        <v>Çar</v>
      </c>
      <c r="Q5" s="2" t="str">
        <f>TEXT(WEEKDAY(DATE(TakvimYılı,8,15),1),"ggg")</f>
        <v>Per</v>
      </c>
      <c r="R5" s="2" t="str">
        <f>TEXT(WEEKDAY(DATE(TakvimYılı,8,16),1),"ggg")</f>
        <v>Cum</v>
      </c>
      <c r="S5" s="2" t="str">
        <f>TEXT(WEEKDAY(DATE(TakvimYılı,8,17),1),"ggg")</f>
        <v>Cmt</v>
      </c>
      <c r="T5" s="2" t="str">
        <f>TEXT(WEEKDAY(DATE(TakvimYılı,8,18),1),"ggg")</f>
        <v>Paz</v>
      </c>
      <c r="U5" s="2" t="str">
        <f>TEXT(WEEKDAY(DATE(TakvimYılı,8,19),1),"ggg")</f>
        <v>Pzt</v>
      </c>
      <c r="V5" s="2" t="str">
        <f>TEXT(WEEKDAY(DATE(TakvimYılı,8,20),1),"ggg")</f>
        <v>Sal</v>
      </c>
      <c r="W5" s="2" t="str">
        <f>TEXT(WEEKDAY(DATE(TakvimYılı,8,21),1),"ggg")</f>
        <v>Çar</v>
      </c>
      <c r="X5" s="2" t="str">
        <f>TEXT(WEEKDAY(DATE(TakvimYılı,8,22),1),"ggg")</f>
        <v>Per</v>
      </c>
      <c r="Y5" s="2" t="str">
        <f>TEXT(WEEKDAY(DATE(TakvimYılı,8,23),1),"ggg")</f>
        <v>Cum</v>
      </c>
      <c r="Z5" s="2" t="str">
        <f>TEXT(WEEKDAY(DATE(TakvimYılı,8,24),1),"ggg")</f>
        <v>Cmt</v>
      </c>
      <c r="AA5" s="2" t="str">
        <f>TEXT(WEEKDAY(DATE(TakvimYılı,8,25),1),"ggg")</f>
        <v>Paz</v>
      </c>
      <c r="AB5" s="2" t="str">
        <f>TEXT(WEEKDAY(DATE(TakvimYılı,8,26),1),"ggg")</f>
        <v>Pzt</v>
      </c>
      <c r="AC5" s="2" t="str">
        <f>TEXT(WEEKDAY(DATE(TakvimYılı,8,27),1),"ggg")</f>
        <v>Sal</v>
      </c>
      <c r="AD5" s="2" t="str">
        <f>TEXT(WEEKDAY(DATE(TakvimYılı,8,28),1),"ggg")</f>
        <v>Çar</v>
      </c>
      <c r="AE5" s="2" t="str">
        <f>TEXT(WEEKDAY(DATE(TakvimYılı,8,29),1),"ggg")</f>
        <v>Per</v>
      </c>
      <c r="AF5" s="2" t="str">
        <f>TEXT(WEEKDAY(DATE(TakvimYılı,8,30),1),"ggg")</f>
        <v>Cum</v>
      </c>
      <c r="AG5" s="2" t="str">
        <f>TEXT(WEEKDAY(DATE(TakvimYılı,8,31),1),"ggg")</f>
        <v>Cmt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COUNTA(Ağustos[[#This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COUNTA(Ağustos[[#This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COUNTA(Ağustos[[#This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COUNTA(Ağustos[[#This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COUNTA(Ağustos[[#This Row],[1]:[31]])</f>
        <v>0</v>
      </c>
    </row>
    <row r="12" spans="2:34" ht="30" customHeight="1" x14ac:dyDescent="0.25">
      <c r="B12" s="21" t="str">
        <f>AyAdı&amp;" Toplamı"</f>
        <v>Ağustos Toplamı</v>
      </c>
      <c r="C12" s="13">
        <f>SUBTOTAL(103,Ağustos[1])</f>
        <v>0</v>
      </c>
      <c r="D12" s="13">
        <f>SUBTOTAL(103,Ağustos[2])</f>
        <v>0</v>
      </c>
      <c r="E12" s="13">
        <f>SUBTOTAL(103,Ağustos[3])</f>
        <v>0</v>
      </c>
      <c r="F12" s="13">
        <f>SUBTOTAL(103,Ağustos[4])</f>
        <v>0</v>
      </c>
      <c r="G12" s="13">
        <f>SUBTOTAL(103,Ağustos[5])</f>
        <v>0</v>
      </c>
      <c r="H12" s="13">
        <f>SUBTOTAL(103,Ağustos[6])</f>
        <v>0</v>
      </c>
      <c r="I12" s="13">
        <f>SUBTOTAL(103,Ağustos[7])</f>
        <v>0</v>
      </c>
      <c r="J12" s="13">
        <f>SUBTOTAL(103,Ağustos[8])</f>
        <v>0</v>
      </c>
      <c r="K12" s="13">
        <f>SUBTOTAL(103,Ağustos[9])</f>
        <v>0</v>
      </c>
      <c r="L12" s="13">
        <f>SUBTOTAL(103,Ağustos[10])</f>
        <v>0</v>
      </c>
      <c r="M12" s="13">
        <f>SUBTOTAL(103,Ağustos[11])</f>
        <v>0</v>
      </c>
      <c r="N12" s="13">
        <f>SUBTOTAL(103,Ağustos[12])</f>
        <v>0</v>
      </c>
      <c r="O12" s="13">
        <f>SUBTOTAL(103,Ağustos[13])</f>
        <v>0</v>
      </c>
      <c r="P12" s="13">
        <f>SUBTOTAL(103,Ağustos[14])</f>
        <v>0</v>
      </c>
      <c r="Q12" s="13">
        <f>SUBTOTAL(103,Ağustos[15])</f>
        <v>0</v>
      </c>
      <c r="R12" s="13">
        <f>SUBTOTAL(103,Ağustos[16])</f>
        <v>0</v>
      </c>
      <c r="S12" s="13">
        <f>SUBTOTAL(103,Ağustos[17])</f>
        <v>0</v>
      </c>
      <c r="T12" s="13">
        <f>SUBTOTAL(103,Ağustos[18])</f>
        <v>0</v>
      </c>
      <c r="U12" s="13">
        <f>SUBTOTAL(103,Ağustos[19])</f>
        <v>0</v>
      </c>
      <c r="V12" s="13">
        <f>SUBTOTAL(103,Ağustos[20])</f>
        <v>0</v>
      </c>
      <c r="W12" s="13">
        <f>SUBTOTAL(103,Ağustos[21])</f>
        <v>0</v>
      </c>
      <c r="X12" s="13">
        <f>SUBTOTAL(103,Ağustos[22])</f>
        <v>0</v>
      </c>
      <c r="Y12" s="13">
        <f>SUBTOTAL(103,Ağustos[23])</f>
        <v>0</v>
      </c>
      <c r="Z12" s="13">
        <f>SUBTOTAL(103,Ağustos[24])</f>
        <v>0</v>
      </c>
      <c r="AA12" s="13">
        <f>SUBTOTAL(103,Ağustos[25])</f>
        <v>0</v>
      </c>
      <c r="AB12" s="13">
        <f>SUBTOTAL(103,Ağustos[26])</f>
        <v>0</v>
      </c>
      <c r="AC12" s="13">
        <f>SUBTOTAL(103,Ağustos[27])</f>
        <v>0</v>
      </c>
      <c r="AD12" s="13">
        <f>SUBTOTAL(103,Ağustos[28])</f>
        <v>0</v>
      </c>
      <c r="AE12" s="13">
        <f>SUBTOTAL(103,Ağustos[29])</f>
        <v>0</v>
      </c>
      <c r="AF12" s="13">
        <f>SUBTOTAL(103,Ağustos[30])</f>
        <v>0</v>
      </c>
      <c r="AG12" s="13">
        <f>SUBTOTAL(103,Ağustos[31])</f>
        <v>0</v>
      </c>
      <c r="AH12" s="13">
        <f>SUBTOTAL(109,Ağustos[Toplam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87" priority="2" stopIfTrue="1">
      <formula>C7=AnahtarÖzel2</formula>
    </cfRule>
    <cfRule type="expression" dxfId="386" priority="3" stopIfTrue="1">
      <formula>C7=AnahtarÖzel1</formula>
    </cfRule>
    <cfRule type="expression" dxfId="385" priority="4" stopIfTrue="1">
      <formula>C7=AnahtarHasta</formula>
    </cfRule>
    <cfRule type="expression" dxfId="384" priority="5" stopIfTrue="1">
      <formula>C7=AnahtarKişisel</formula>
    </cfRule>
    <cfRule type="expression" dxfId="383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700-000000000000}"/>
    <dataValidation allowBlank="1" showInputMessage="1" showErrorMessage="1" prompt="Ocak çalışma sayfasında girilen yıla göre otomatik olarak güncelleştirilen yıl" sqref="AH4" xr:uid="{00000000-0002-0000-0700-000001000000}"/>
    <dataValidation allowBlank="1" showInputMessage="1" showErrorMessage="1" prompt="Bu ay bir çalışanın toplamda kaç gün devamsızlık yaptığını, bu sütunda otomatik olarak hesaplar" sqref="AH6" xr:uid="{00000000-0002-0000-0700-000002000000}"/>
    <dataValidation allowBlank="1" showInputMessage="1" showErrorMessage="1" prompt="Bu çalışma sayfasında Ağustos devamsızlığını izleyin" sqref="A1" xr:uid="{00000000-0002-0000-0700-000003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700-000004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700-000005000000}"/>
    <dataValidation allowBlank="1" showInputMessage="1" showErrorMessage="1" prompt="&quot;T&quot; harfi tatil nedeniyle devamsızlığı gösterir" sqref="C2" xr:uid="{00000000-0002-0000-0700-000006000000}"/>
    <dataValidation allowBlank="1" showInputMessage="1" showErrorMessage="1" prompt="&quot;K&quot; harfi kişisel nedenlerden dolayı devamsızlığı gösterir" sqref="G2" xr:uid="{00000000-0002-0000-0700-000007000000}"/>
    <dataValidation allowBlank="1" showInputMessage="1" showErrorMessage="1" prompt="&quot;H&quot; harfi hastalık nedeniyle devamsızlığı gösterir" sqref="K2" xr:uid="{00000000-0002-0000-0700-000008000000}"/>
    <dataValidation allowBlank="1" showInputMessage="1" showErrorMessage="1" prompt="Başka bir anahtar öğesi eklemek için bir harf girip sağdaki etiketi özelleştirin" sqref="N2 R2" xr:uid="{00000000-0002-0000-0700-000009000000}"/>
    <dataValidation allowBlank="1" showInputMessage="1" showErrorMessage="1" prompt="Soldaki özel anahtarı açıklamak için bir etiket girin" sqref="O2:Q2 S2:U2" xr:uid="{00000000-0002-0000-0700-00000A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700-00000B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700-00000C000000}"/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7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'Çalışan Adları'!$B$4:$B$8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Employee_Absence_Title</f>
        <v>Çalışan Devamsızlığı Zaman Çizelgesi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7"/>
      <c r="O2" s="25" t="s">
        <v>28</v>
      </c>
      <c r="P2" s="25"/>
      <c r="Q2" s="25"/>
      <c r="R2" s="8"/>
      <c r="S2" s="25" t="s">
        <v>33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TakvimYılı</f>
        <v>2019</v>
      </c>
    </row>
    <row r="5" spans="2:34" ht="15" customHeight="1" x14ac:dyDescent="0.25">
      <c r="B5" s="12"/>
      <c r="C5" s="2" t="str">
        <f>TEXT(WEEKDAY(DATE(TakvimYılı,9,1),1),"ggg")</f>
        <v>Paz</v>
      </c>
      <c r="D5" s="2" t="str">
        <f>TEXT(WEEKDAY(DATE(TakvimYılı,9,2),1),"ggg")</f>
        <v>Pzt</v>
      </c>
      <c r="E5" s="2" t="str">
        <f>TEXT(WEEKDAY(DATE(TakvimYılı,9,3),1),"ggg")</f>
        <v>Sal</v>
      </c>
      <c r="F5" s="2" t="str">
        <f>TEXT(WEEKDAY(DATE(TakvimYılı,9,4),1),"ggg")</f>
        <v>Çar</v>
      </c>
      <c r="G5" s="2" t="str">
        <f>TEXT(WEEKDAY(DATE(TakvimYılı,9,5),1),"ggg")</f>
        <v>Per</v>
      </c>
      <c r="H5" s="2" t="str">
        <f>TEXT(WEEKDAY(DATE(TakvimYılı,9,6),1),"ggg")</f>
        <v>Cum</v>
      </c>
      <c r="I5" s="2" t="str">
        <f>TEXT(WEEKDAY(DATE(TakvimYılı,9,7),1),"ggg")</f>
        <v>Cmt</v>
      </c>
      <c r="J5" s="2" t="str">
        <f>TEXT(WEEKDAY(DATE(TakvimYılı,9,8),1),"ggg")</f>
        <v>Paz</v>
      </c>
      <c r="K5" s="2" t="str">
        <f>TEXT(WEEKDAY(DATE(TakvimYılı,9,9),1),"ggg")</f>
        <v>Pzt</v>
      </c>
      <c r="L5" s="2" t="str">
        <f>TEXT(WEEKDAY(DATE(TakvimYılı,9,10),1),"ggg")</f>
        <v>Sal</v>
      </c>
      <c r="M5" s="2" t="str">
        <f>TEXT(WEEKDAY(DATE(TakvimYılı,9,11),1),"ggg")</f>
        <v>Çar</v>
      </c>
      <c r="N5" s="2" t="str">
        <f>TEXT(WEEKDAY(DATE(TakvimYılı,9,12),1),"ggg")</f>
        <v>Per</v>
      </c>
      <c r="O5" s="2" t="str">
        <f>TEXT(WEEKDAY(DATE(TakvimYılı,9,13),1),"ggg")</f>
        <v>Cum</v>
      </c>
      <c r="P5" s="2" t="str">
        <f>TEXT(WEEKDAY(DATE(TakvimYılı,9,14),1),"ggg")</f>
        <v>Cmt</v>
      </c>
      <c r="Q5" s="2" t="str">
        <f>TEXT(WEEKDAY(DATE(TakvimYılı,9,15),1),"ggg")</f>
        <v>Paz</v>
      </c>
      <c r="R5" s="2" t="str">
        <f>TEXT(WEEKDAY(DATE(TakvimYılı,9,16),1),"ggg")</f>
        <v>Pzt</v>
      </c>
      <c r="S5" s="2" t="str">
        <f>TEXT(WEEKDAY(DATE(TakvimYılı,9,17),1),"ggg")</f>
        <v>Sal</v>
      </c>
      <c r="T5" s="2" t="str">
        <f>TEXT(WEEKDAY(DATE(TakvimYılı,9,18),1),"ggg")</f>
        <v>Çar</v>
      </c>
      <c r="U5" s="2" t="str">
        <f>TEXT(WEEKDAY(DATE(TakvimYılı,9,19),1),"ggg")</f>
        <v>Per</v>
      </c>
      <c r="V5" s="2" t="str">
        <f>TEXT(WEEKDAY(DATE(TakvimYılı,9,20),1),"ggg")</f>
        <v>Cum</v>
      </c>
      <c r="W5" s="2" t="str">
        <f>TEXT(WEEKDAY(DATE(TakvimYılı,9,21),1),"ggg")</f>
        <v>Cmt</v>
      </c>
      <c r="X5" s="2" t="str">
        <f>TEXT(WEEKDAY(DATE(TakvimYılı,9,22),1),"ggg")</f>
        <v>Paz</v>
      </c>
      <c r="Y5" s="2" t="str">
        <f>TEXT(WEEKDAY(DATE(TakvimYılı,9,23),1),"ggg")</f>
        <v>Pzt</v>
      </c>
      <c r="Z5" s="2" t="str">
        <f>TEXT(WEEKDAY(DATE(TakvimYılı,9,24),1),"ggg")</f>
        <v>Sal</v>
      </c>
      <c r="AA5" s="2" t="str">
        <f>TEXT(WEEKDAY(DATE(TakvimYılı,9,25),1),"ggg")</f>
        <v>Çar</v>
      </c>
      <c r="AB5" s="2" t="str">
        <f>TEXT(WEEKDAY(DATE(TakvimYılı,9,26),1),"ggg")</f>
        <v>Per</v>
      </c>
      <c r="AC5" s="2" t="str">
        <f>TEXT(WEEKDAY(DATE(TakvimYılı,9,27),1),"ggg")</f>
        <v>Cum</v>
      </c>
      <c r="AD5" s="2" t="str">
        <f>TEXT(WEEKDAY(DATE(TakvimYılı,9,28),1),"ggg")</f>
        <v>Cmt</v>
      </c>
      <c r="AE5" s="2" t="str">
        <f>TEXT(WEEKDAY(DATE(TakvimYılı,9,29),1),"ggg")</f>
        <v>Paz</v>
      </c>
      <c r="AF5" s="2" t="str">
        <f>TEXT(WEEKDAY(DATE(TakvimYılı,9,30),1),"ggg")</f>
        <v>Pzt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COUNTA(Eylül[[#This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COUNTA(Eylül[[#This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COUNTA(Eylül[[#This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COUNTA(Eylül[[#This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COUNTA(Eylül[[#This Row],[1]:[30]])</f>
        <v>0</v>
      </c>
    </row>
    <row r="12" spans="2:34" ht="30" customHeight="1" x14ac:dyDescent="0.25">
      <c r="B12" s="21" t="str">
        <f>AyAdı&amp;" Toplamı"</f>
        <v>Eylül Toplamı</v>
      </c>
      <c r="C12" s="13">
        <f>SUBTOTAL(103,Eylül[1])</f>
        <v>0</v>
      </c>
      <c r="D12" s="13">
        <f>SUBTOTAL(103,Eylül[2])</f>
        <v>0</v>
      </c>
      <c r="E12" s="13">
        <f>SUBTOTAL(103,Eylül[3])</f>
        <v>0</v>
      </c>
      <c r="F12" s="13">
        <f>SUBTOTAL(103,Eylül[4])</f>
        <v>0</v>
      </c>
      <c r="G12" s="13">
        <f>SUBTOTAL(103,Eylül[5])</f>
        <v>0</v>
      </c>
      <c r="H12" s="13">
        <f>SUBTOTAL(103,Eylül[6])</f>
        <v>0</v>
      </c>
      <c r="I12" s="13">
        <f>SUBTOTAL(103,Eylül[7])</f>
        <v>0</v>
      </c>
      <c r="J12" s="13">
        <f>SUBTOTAL(103,Eylül[8])</f>
        <v>0</v>
      </c>
      <c r="K12" s="13">
        <f>SUBTOTAL(103,Eylül[9])</f>
        <v>0</v>
      </c>
      <c r="L12" s="13">
        <f>SUBTOTAL(103,Eylül[10])</f>
        <v>0</v>
      </c>
      <c r="M12" s="13">
        <f>SUBTOTAL(103,Eylül[11])</f>
        <v>0</v>
      </c>
      <c r="N12" s="13">
        <f>SUBTOTAL(103,Eylül[12])</f>
        <v>0</v>
      </c>
      <c r="O12" s="13">
        <f>SUBTOTAL(103,Eylül[13])</f>
        <v>0</v>
      </c>
      <c r="P12" s="13">
        <f>SUBTOTAL(103,Eylül[14])</f>
        <v>0</v>
      </c>
      <c r="Q12" s="13">
        <f>SUBTOTAL(103,Eylül[15])</f>
        <v>0</v>
      </c>
      <c r="R12" s="13">
        <f>SUBTOTAL(103,Eylül[16])</f>
        <v>0</v>
      </c>
      <c r="S12" s="13">
        <f>SUBTOTAL(103,Eylül[17])</f>
        <v>0</v>
      </c>
      <c r="T12" s="13">
        <f>SUBTOTAL(103,Eylül[18])</f>
        <v>0</v>
      </c>
      <c r="U12" s="13">
        <f>SUBTOTAL(103,Eylül[19])</f>
        <v>0</v>
      </c>
      <c r="V12" s="13">
        <f>SUBTOTAL(103,Eylül[20])</f>
        <v>0</v>
      </c>
      <c r="W12" s="13">
        <f>SUBTOTAL(103,Eylül[21])</f>
        <v>0</v>
      </c>
      <c r="X12" s="13">
        <f>SUBTOTAL(103,Eylül[22])</f>
        <v>0</v>
      </c>
      <c r="Y12" s="13">
        <f>SUBTOTAL(103,Eylül[23])</f>
        <v>0</v>
      </c>
      <c r="Z12" s="13">
        <f>SUBTOTAL(103,Eylül[24])</f>
        <v>0</v>
      </c>
      <c r="AA12" s="13">
        <f>SUBTOTAL(103,Eylül[25])</f>
        <v>0</v>
      </c>
      <c r="AB12" s="13">
        <f>SUBTOTAL(103,Eylül[26])</f>
        <v>0</v>
      </c>
      <c r="AC12" s="13">
        <f>SUBTOTAL(103,Eylül[27])</f>
        <v>0</v>
      </c>
      <c r="AD12" s="13">
        <f>SUBTOTAL(103,Eylül[28])</f>
        <v>0</v>
      </c>
      <c r="AE12" s="13">
        <f>SUBTOTAL(103,Eylül[29])</f>
        <v>0</v>
      </c>
      <c r="AF12" s="13">
        <f>SUBTOTAL(103,Eylül[30])</f>
        <v>0</v>
      </c>
      <c r="AG12" s="13">
        <f>SUBTOTAL(103,Eylül[[ ]])</f>
        <v>0</v>
      </c>
      <c r="AH12" s="13">
        <f>SUBTOTAL(109,Eylül[Toplam Gün])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82" priority="2" stopIfTrue="1">
      <formula>C7=AnahtarÖzel2</formula>
    </cfRule>
    <cfRule type="expression" dxfId="381" priority="3" stopIfTrue="1">
      <formula>C7=AnahtarÖzel1</formula>
    </cfRule>
    <cfRule type="expression" dxfId="380" priority="4" stopIfTrue="1">
      <formula>C7=AnahtarHasta</formula>
    </cfRule>
    <cfRule type="expression" dxfId="379" priority="5" stopIfTrue="1">
      <formula>C7=AnahtarKişisel</formula>
    </cfRule>
    <cfRule type="expression" dxfId="378" priority="6" stopIfTrue="1">
      <formula>C7=AnahtarTatil</formula>
    </cfRule>
  </conditionalFormatting>
  <conditionalFormatting sqref="AH7:AH11">
    <cfRule type="dataBar" priority="7">
      <dataBar>
        <cfvo type="min"/>
        <cfvo type="formula" val="DATEDIF(DATE(TakvimYılı,2,1),DATE(TakvimYılı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Bu satırda ayın günleri otomatik olarak oluşturulur. Ayın her günü için, sütunların her birine çalışan devamsızlığını ve devamsızlık türünü girin. Boşluk devamsızlık olmadığı anlamına gelir" sqref="C6" xr:uid="{00000000-0002-0000-0800-000000000000}"/>
    <dataValidation allowBlank="1" showInputMessage="1" showErrorMessage="1" prompt="Bu devamsızlık zaman çizelgesinin ay adı bu hücrededir. Bu aya ait toplam devamsızlık miktarı, tablonun son hücresindedir. Tablonun B sütunundan çalışan adlarını seçin" sqref="B4" xr:uid="{00000000-0002-0000-0800-000001000000}"/>
    <dataValidation allowBlank="1" showInputMessage="1" showErrorMessage="1" prompt="Bu satır, tabloda kullanılan anahtarları tanımlar: C2 hücresi Tatil, G2 hücresi Kişisel, K2 hücresiyse Hastalık iznidir. N2 ve R2 hücreleri özelleştirilebilir " sqref="B2" xr:uid="{00000000-0002-0000-0800-000002000000}"/>
    <dataValidation allowBlank="1" showInputMessage="1" showErrorMessage="1" prompt="Soldaki özel anahtarı açıklamak için bir etiket girin" sqref="O2:Q2 S2:U2" xr:uid="{00000000-0002-0000-0800-000003000000}"/>
    <dataValidation allowBlank="1" showInputMessage="1" showErrorMessage="1" prompt="Başka bir anahtar öğesi eklemek için bir harf girip sağdaki etiketi özelleştirin" sqref="N2 R2" xr:uid="{00000000-0002-0000-0800-000004000000}"/>
    <dataValidation allowBlank="1" showInputMessage="1" showErrorMessage="1" prompt="&quot;H&quot; harfi hastalık nedeniyle devamsızlığı gösterir" sqref="K2" xr:uid="{00000000-0002-0000-0800-000005000000}"/>
    <dataValidation allowBlank="1" showInputMessage="1" showErrorMessage="1" prompt="&quot;K&quot; harfi kişisel nedenlerden dolayı devamsızlığı gösterir" sqref="G2" xr:uid="{00000000-0002-0000-0800-000006000000}"/>
    <dataValidation allowBlank="1" showInputMessage="1" showErrorMessage="1" prompt="&quot;T&quot; harfi tatil nedeniyle devamsızlığı gösterir" sqref="C2" xr:uid="{00000000-0002-0000-0800-000007000000}"/>
    <dataValidation allowBlank="1" showInputMessage="1" showErrorMessage="1" prompt="Otomatik olarak güncelleştirilen başlık bu hücrededir. Başlığı değiştirmek için Ocak çalışma sayfasındaki B1 hücresini güncelleştirin" sqref="B1" xr:uid="{00000000-0002-0000-0800-000008000000}"/>
    <dataValidation errorStyle="warning" allowBlank="1" showInputMessage="1" showErrorMessage="1" error="Listeden bir ad seçin. İPTAL’i seçin ve sonra ALT+AŞAĞI OK tuşlarına basıp ENTER’a basarak bir ad seçin" prompt="Çalışan Adları çalışma sayfasına çalışan adlarını girin ve sonra bu sütundaki listeden bu adlardan birini seçin. ALT+AŞAĞI OK tuşlarına basın, sonra da ENTER'a basarak bir ad seçin" sqref="B6" xr:uid="{00000000-0002-0000-0800-000009000000}"/>
    <dataValidation allowBlank="1" showInputMessage="1" showErrorMessage="1" prompt="Bu çalışma sayfasında Eylül devamsızlığını izleyin" sqref="A1" xr:uid="{00000000-0002-0000-0800-00000A000000}"/>
    <dataValidation allowBlank="1" showInputMessage="1" showErrorMessage="1" prompt="Bu ay bir çalışanın toplamda kaç gün devamsızlık yaptığını, bu sütunda otomatik olarak hesaplar" sqref="AH6" xr:uid="{00000000-0002-0000-0800-00000B000000}"/>
    <dataValidation allowBlank="1" showInputMessage="1" showErrorMessage="1" prompt="Ocak çalışma sayfasında girilen yıla göre otomatik olarak güncelleştirilen yıl" sqref="AH4" xr:uid="{00000000-0002-0000-0800-00000C000000}"/>
    <dataValidation allowBlank="1" showInputMessage="1" showErrorMessage="1" prompt="Bu satırdaki günler, AH4 hücresindeki yıla göre ilgili ay için otomatik olarak güncelleştirilir. Ayın her günü, bir çalışanın devamsızlığını ve devamsızlık türünü not alabileceğiniz bir sütundur" sqref="C5" xr:uid="{00000000-0002-0000-08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DATEDIF(DATE(TakvimYılı,2,1),DATE(TakvimYılı,3,1),"d")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'Çalışan Adları'!$B$4:$B$8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50</vt:i4>
      </vt:variant>
    </vt:vector>
  </HeadingPairs>
  <TitlesOfParts>
    <vt:vector size="63" baseType="lpstr"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Çalışan Adları</vt:lpstr>
      <vt:lpstr>AnahtarHasta</vt:lpstr>
      <vt:lpstr>AnahtarHastaEtiketi</vt:lpstr>
      <vt:lpstr>AnahtarKişisel</vt:lpstr>
      <vt:lpstr>AnahtarKişiselEtiketi</vt:lpstr>
      <vt:lpstr>AnahtarÖzel1</vt:lpstr>
      <vt:lpstr>AnahtarÖzel1Etiketi</vt:lpstr>
      <vt:lpstr>AnahtarÖzel2</vt:lpstr>
      <vt:lpstr>AnahtarÖzel2Etiketi</vt:lpstr>
      <vt:lpstr>AnahtarTatil</vt:lpstr>
      <vt:lpstr>AnahtarTatilEtiketi</vt:lpstr>
      <vt:lpstr>Ağustos!AyAdı</vt:lpstr>
      <vt:lpstr>Aralık!AyAdı</vt:lpstr>
      <vt:lpstr>Ekim!AyAdı</vt:lpstr>
      <vt:lpstr>Eylül!AyAdı</vt:lpstr>
      <vt:lpstr>Haziran!AyAdı</vt:lpstr>
      <vt:lpstr>Kasım!AyAdı</vt:lpstr>
      <vt:lpstr>Mart!AyAdı</vt:lpstr>
      <vt:lpstr>Mayıs!AyAdı</vt:lpstr>
      <vt:lpstr>Nisan!AyAdı</vt:lpstr>
      <vt:lpstr>Ocak!AyAdı</vt:lpstr>
      <vt:lpstr>Şubat!AyAdı</vt:lpstr>
      <vt:lpstr>Temmuz!AyAdı</vt:lpstr>
      <vt:lpstr>Başlık1</vt:lpstr>
      <vt:lpstr>Başlık10</vt:lpstr>
      <vt:lpstr>Başlık11</vt:lpstr>
      <vt:lpstr>Başlık12</vt:lpstr>
      <vt:lpstr>Başlık2</vt:lpstr>
      <vt:lpstr>Başlık3</vt:lpstr>
      <vt:lpstr>Başlık4</vt:lpstr>
      <vt:lpstr>Başlık5</vt:lpstr>
      <vt:lpstr>Başlık6</vt:lpstr>
      <vt:lpstr>Başlık7</vt:lpstr>
      <vt:lpstr>Başlık8</vt:lpstr>
      <vt:lpstr>Başlık9</vt:lpstr>
      <vt:lpstr>Employee_Absence_Title</vt:lpstr>
      <vt:lpstr>Key_name</vt:lpstr>
      <vt:lpstr>SütunBaşlığı13</vt:lpstr>
      <vt:lpstr>TakvimYılı</vt:lpstr>
      <vt:lpstr>Ağustos!Yazdırma_Başlıkları</vt:lpstr>
      <vt:lpstr>Aralık!Yazdırma_Başlıkları</vt:lpstr>
      <vt:lpstr>Ekim!Yazdırma_Başlıkları</vt:lpstr>
      <vt:lpstr>Eylül!Yazdırma_Başlıkları</vt:lpstr>
      <vt:lpstr>Haziran!Yazdırma_Başlıkları</vt:lpstr>
      <vt:lpstr>Kasım!Yazdırma_Başlıkları</vt:lpstr>
      <vt:lpstr>Mart!Yazdırma_Başlıkları</vt:lpstr>
      <vt:lpstr>Mayıs!Yazdırma_Başlıkları</vt:lpstr>
      <vt:lpstr>Nisan!Yazdırma_Başlıkları</vt:lpstr>
      <vt:lpstr>Ocak!Yazdırma_Başlıkları</vt:lpstr>
      <vt:lpstr>Şubat!Yazdırma_Başlıkları</vt:lpstr>
      <vt:lpstr>Temmuz!Yazdırma_Başlıkları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2019-07-29T02:32:05Z</dcterms:modified>
</cp:coreProperties>
</file>