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Z:\External Resources\Template\20120710_FY12HOJul1\05_ToDTP\_Complex\1053\"/>
    </mc:Choice>
  </mc:AlternateContent>
  <bookViews>
    <workbookView xWindow="0" yWindow="0" windowWidth="28800" windowHeight="14235"/>
  </bookViews>
  <sheets>
    <sheet name="Datainmatning" sheetId="1" r:id="rId1"/>
    <sheet name="Försäljningsrapport" sheetId="2" r:id="rId2"/>
    <sheet name="Försäljningsprognos" sheetId="5" r:id="rId3"/>
  </sheets>
  <definedNames>
    <definedName name="fDag">Försäljningsprognos!$H$2</definedName>
    <definedName name="fDatum">Försäljningsprognos!$D$3</definedName>
    <definedName name="fMånad">Försäljningsprognos!$G$2</definedName>
    <definedName name="fÅr">Försäljningsprognos!$I$2</definedName>
    <definedName name="Prognosdatum">Försäljningsprognos!$D$3</definedName>
    <definedName name="_xlnm.Print_Area" localSheetId="2">Försäljningsprognos!$B$2:$J$43</definedName>
    <definedName name="_xlnm.Print_Titles" localSheetId="1">Försäljningsrapport!$B:$E,Försäljningsrapport!$5:$5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I24" i="1" s="1"/>
  <c r="J24" i="1"/>
  <c r="L24" i="1"/>
  <c r="N24" i="1"/>
  <c r="L18" i="1"/>
  <c r="H23" i="1"/>
  <c r="I23" i="1" s="1"/>
  <c r="J23" i="1"/>
  <c r="L23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O6" i="1" l="1"/>
  <c r="O23" i="1"/>
  <c r="O21" i="1"/>
  <c r="O19" i="1"/>
  <c r="O17" i="1"/>
  <c r="O15" i="1"/>
  <c r="O13" i="1"/>
  <c r="O11" i="1"/>
  <c r="O9" i="1"/>
  <c r="O7" i="1"/>
  <c r="O24" i="1"/>
  <c r="O22" i="1"/>
  <c r="O20" i="1"/>
  <c r="O18" i="1"/>
  <c r="O16" i="1"/>
  <c r="O14" i="1"/>
  <c r="O12" i="1"/>
  <c r="O10" i="1"/>
  <c r="O8" i="1"/>
  <c r="I14" i="5" l="1"/>
  <c r="D14" i="5"/>
  <c r="H8" i="5"/>
  <c r="G7" i="5"/>
  <c r="H7" i="5"/>
  <c r="G10" i="5"/>
  <c r="G6" i="5"/>
  <c r="G8" i="5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J7" i="5" l="1"/>
  <c r="G9" i="5"/>
  <c r="H9" i="5"/>
  <c r="J8" i="5"/>
  <c r="Q21" i="1"/>
  <c r="Q19" i="1"/>
  <c r="Q17" i="1"/>
  <c r="Q15" i="1"/>
  <c r="Q13" i="1"/>
  <c r="Q11" i="1"/>
  <c r="Q9" i="1"/>
  <c r="Q7" i="1"/>
  <c r="Q22" i="1"/>
  <c r="Q20" i="1"/>
  <c r="Q18" i="1"/>
  <c r="Q16" i="1"/>
  <c r="Q14" i="1"/>
  <c r="Q12" i="1"/>
  <c r="Q10" i="1"/>
  <c r="Q8" i="1"/>
  <c r="Q6" i="1"/>
  <c r="Q23" i="1"/>
  <c r="Q24" i="1"/>
  <c r="C8" i="5"/>
  <c r="C10" i="5"/>
  <c r="C7" i="5"/>
  <c r="D8" i="5"/>
  <c r="D7" i="5"/>
  <c r="C6" i="5"/>
  <c r="I21" i="1"/>
  <c r="I19" i="1"/>
  <c r="I17" i="1"/>
  <c r="I15" i="1"/>
  <c r="I13" i="1"/>
  <c r="I11" i="1"/>
  <c r="I9" i="1"/>
  <c r="I7" i="1"/>
  <c r="I22" i="1"/>
  <c r="I20" i="1"/>
  <c r="I18" i="1"/>
  <c r="I16" i="1"/>
  <c r="I14" i="1"/>
  <c r="I12" i="1"/>
  <c r="I10" i="1"/>
  <c r="I8" i="1"/>
  <c r="I6" i="1"/>
  <c r="G11" i="5"/>
  <c r="I8" i="5"/>
  <c r="I7" i="5"/>
  <c r="J9" i="5" l="1"/>
  <c r="M24" i="1"/>
  <c r="M23" i="1"/>
  <c r="M6" i="1"/>
  <c r="M8" i="1"/>
  <c r="M12" i="1"/>
  <c r="M16" i="1"/>
  <c r="M20" i="1"/>
  <c r="M7" i="1"/>
  <c r="M11" i="1"/>
  <c r="M15" i="1"/>
  <c r="M19" i="1"/>
  <c r="M10" i="1"/>
  <c r="M14" i="1"/>
  <c r="M18" i="1"/>
  <c r="M22" i="1"/>
  <c r="M9" i="1"/>
  <c r="M13" i="1"/>
  <c r="M17" i="1"/>
  <c r="M21" i="1"/>
  <c r="F7" i="5"/>
  <c r="C11" i="5"/>
  <c r="F8" i="5"/>
  <c r="D9" i="5"/>
  <c r="C9" i="5"/>
  <c r="E8" i="5"/>
  <c r="E7" i="5"/>
  <c r="P10" i="1" l="1"/>
  <c r="P14" i="1"/>
  <c r="P15" i="1"/>
  <c r="P7" i="1"/>
  <c r="P16" i="1"/>
  <c r="P8" i="1"/>
  <c r="P23" i="1"/>
  <c r="P21" i="1"/>
  <c r="P13" i="1"/>
  <c r="P22" i="1"/>
  <c r="P19" i="1"/>
  <c r="P11" i="1"/>
  <c r="P20" i="1"/>
  <c r="P12" i="1"/>
  <c r="P24" i="1"/>
  <c r="P6" i="1"/>
  <c r="P17" i="1"/>
  <c r="P9" i="1"/>
  <c r="P18" i="1"/>
  <c r="F14" i="5"/>
  <c r="F9" i="5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<sst xmlns="http://schemas.openxmlformats.org/spreadsheetml/2006/main" count="94" uniqueCount="57">
  <si>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</si>
  <si>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</si>
  <si>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</si>
  <si>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</si>
  <si>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</si>
  <si>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</si>
  <si>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%</t>
  </si>
  <si>
    <t xml:space="preserve"> </t>
  </si>
  <si>
    <t xml:space="preserve"> 2013 Summa</t>
  </si>
  <si>
    <t>Totalsumma</t>
  </si>
  <si>
    <r>
      <rPr>
        <sz val="22"/>
        <color theme="3"/>
        <rFont val="Arial Black"/>
        <family val="2"/>
        <scheme val="major"/>
      </rPr>
      <t xml:space="preserve">PER MÅNAD </t>
    </r>
    <r>
      <rPr>
        <sz val="22"/>
        <color theme="4"/>
        <rFont val="Arial"/>
        <family val="2"/>
        <scheme val="minor"/>
      </rPr>
      <t>DATAINMATNING</t>
    </r>
  </si>
  <si>
    <t>DATUM</t>
  </si>
  <si>
    <t>FÖRETAG</t>
  </si>
  <si>
    <t>BELOPP</t>
  </si>
  <si>
    <t>PLANERAT</t>
  </si>
  <si>
    <t>KOSTNAD</t>
  </si>
  <si>
    <t>INTÄKT</t>
  </si>
  <si>
    <t>MÅNAD</t>
  </si>
  <si>
    <t>KVARTAL</t>
  </si>
  <si>
    <t>ÅR</t>
  </si>
  <si>
    <t>MÅNADSNR (DÖLJ)</t>
  </si>
  <si>
    <t xml:space="preserve">MÅNAD </t>
  </si>
  <si>
    <t xml:space="preserve">KVARTAL </t>
  </si>
  <si>
    <t xml:space="preserve">PER ÅR </t>
  </si>
  <si>
    <t xml:space="preserve">MÅNAD  </t>
  </si>
  <si>
    <t xml:space="preserve">KVARTAL  </t>
  </si>
  <si>
    <t xml:space="preserve">ÅR  </t>
  </si>
  <si>
    <r>
      <rPr>
        <sz val="22"/>
        <color theme="3"/>
        <rFont val="Arial Black"/>
        <family val="2"/>
        <scheme val="major"/>
      </rPr>
      <t xml:space="preserve">PER MÅNAD </t>
    </r>
    <r>
      <rPr>
        <sz val="22"/>
        <color theme="4"/>
        <rFont val="Arial"/>
        <family val="2"/>
        <scheme val="minor"/>
      </rPr>
      <t>FÖRSÄLJNINGSPROGNOS</t>
    </r>
  </si>
  <si>
    <t>DENNA MÅNAD</t>
  </si>
  <si>
    <t>FAKTISKT</t>
  </si>
  <si>
    <t>PLANERING</t>
  </si>
  <si>
    <t>VARIANS</t>
  </si>
  <si>
    <t>HITTILLS I ÅR, FAKTISKT</t>
  </si>
  <si>
    <t>HITTILLS I ÅR, PLANERING</t>
  </si>
  <si>
    <t>HITTILLS I ÅR, VARIANS</t>
  </si>
  <si>
    <t>Hittills av året %</t>
  </si>
  <si>
    <t>Kvantitet</t>
  </si>
  <si>
    <t>Försäljning</t>
  </si>
  <si>
    <t>Intäkter</t>
  </si>
  <si>
    <t>Marginal</t>
  </si>
  <si>
    <t>Antal order</t>
  </si>
  <si>
    <t>Genomsnittligt ordervärde</t>
  </si>
  <si>
    <t>PROGNOS</t>
  </si>
  <si>
    <t>NÄSTA MÅNAD</t>
  </si>
  <si>
    <t>NÄSTA KVARTAL</t>
  </si>
  <si>
    <t>NÄSTA ÅR</t>
  </si>
  <si>
    <t>FÖRSÄLJNINGSHISTORIK</t>
  </si>
  <si>
    <t>PROGNOS FÖR MÅNADEN</t>
  </si>
  <si>
    <t>PROGNOS FÖR KVARTALET</t>
  </si>
  <si>
    <t>INTÄKTSSTRÖM</t>
  </si>
  <si>
    <t>PROGNOS FÖR ÅRET</t>
  </si>
  <si>
    <r>
      <rPr>
        <sz val="22"/>
        <color theme="3"/>
        <rFont val="Arial Black"/>
        <family val="2"/>
        <scheme val="major"/>
      </rPr>
      <t xml:space="preserve">PER MÅNAD </t>
    </r>
    <r>
      <rPr>
        <sz val="22"/>
        <color theme="4"/>
        <rFont val="Arial"/>
        <family val="2"/>
        <scheme val="minor"/>
      </rPr>
      <t>FÖRSÄLJNINGSRAPPORT</t>
    </r>
  </si>
  <si>
    <t>TOTAL FÖRSÄLJNING</t>
  </si>
  <si>
    <t>Kvartal 2 Summa</t>
  </si>
  <si>
    <t>Kvartal 3 Summa</t>
  </si>
  <si>
    <t>Kvartal 4 Summa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</si>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</sst>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k_r_-;\-* #,##0.00\ _k_r_-;_-* &quot;-&quot;??\ _k_r_-;_-@_-"/>
    <numFmt numFmtId="165" formatCode="&quot;$&quot;#,##0.00"/>
    <numFmt numFmtId="166" formatCode="mmmm"/>
    <numFmt numFmtId="167" formatCode="_(0"/>
    <numFmt numFmtId="168" formatCode="_(mmmm"/>
    <numFmt numFmtId="169" formatCode="#,##0.00\ &quot;kr&quot;"/>
    <numFmt numFmtId="170" formatCode="&quot;Kvartal &quot;0"/>
  </numFmts>
  <fonts count="16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"/>
      <color theme="5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>
      <alignment vertical="center"/>
    </xf>
    <xf numFmtId="167" fontId="10" fillId="0" borderId="0" xfId="0" applyNumberFormat="1" applyFont="1">
      <alignment vertical="center"/>
    </xf>
    <xf numFmtId="167" fontId="0" fillId="0" borderId="0" xfId="0" applyNumberFormat="1" applyAlignment="1">
      <alignment horizontal="left" vertical="center"/>
    </xf>
    <xf numFmtId="165" fontId="7" fillId="0" borderId="4" xfId="4" applyNumberFormat="1" applyFill="1" applyBorder="1" applyAlignment="1">
      <alignment horizontal="left" vertical="center"/>
    </xf>
    <xf numFmtId="165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5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5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9" fontId="10" fillId="0" borderId="0" xfId="0" applyNumberFormat="1" applyFont="1" applyFill="1" applyBorder="1" applyAlignment="1">
      <alignment horizontal="left" vertical="center"/>
    </xf>
    <xf numFmtId="169" fontId="3" fillId="5" borderId="0" xfId="0" applyNumberFormat="1" applyFont="1" applyFill="1" applyBorder="1" applyAlignment="1">
      <alignment horizontal="left" vertical="center"/>
    </xf>
    <xf numFmtId="169" fontId="3" fillId="4" borderId="0" xfId="0" applyNumberFormat="1" applyFont="1" applyFill="1" applyBorder="1" applyAlignment="1">
      <alignment horizontal="left" vertical="center"/>
    </xf>
    <xf numFmtId="169" fontId="3" fillId="3" borderId="0" xfId="0" applyNumberFormat="1" applyFont="1" applyFill="1" applyBorder="1" applyAlignment="1">
      <alignment horizontal="left" vertical="center"/>
    </xf>
    <xf numFmtId="170" fontId="3" fillId="5" borderId="0" xfId="0" applyNumberFormat="1" applyFont="1" applyFill="1" applyBorder="1" applyAlignment="1">
      <alignment horizontal="left" vertical="center"/>
    </xf>
    <xf numFmtId="170" fontId="0" fillId="0" borderId="0" xfId="0" applyNumberFormat="1">
      <alignment vertical="center"/>
    </xf>
    <xf numFmtId="169" fontId="0" fillId="0" borderId="0" xfId="0" applyNumberFormat="1">
      <alignment vertical="center"/>
    </xf>
    <xf numFmtId="169" fontId="10" fillId="0" borderId="0" xfId="0" applyNumberFormat="1" applyFont="1">
      <alignment vertical="center"/>
    </xf>
    <xf numFmtId="170" fontId="0" fillId="0" borderId="0" xfId="0" applyNumberFormat="1" applyAlignment="1">
      <alignment horizontal="left" vertical="center"/>
    </xf>
    <xf numFmtId="0" fontId="2" fillId="0" borderId="0" xfId="0" pivotButton="1" applyFont="1">
      <alignment vertical="center"/>
    </xf>
    <xf numFmtId="169" fontId="9" fillId="5" borderId="1" xfId="0" applyNumberFormat="1" applyFont="1" applyFill="1" applyBorder="1" applyAlignment="1">
      <alignment horizontal="left" vertical="center" indent="1"/>
    </xf>
    <xf numFmtId="169" fontId="11" fillId="0" borderId="3" xfId="0" applyNumberFormat="1" applyFont="1" applyBorder="1" applyAlignment="1">
      <alignment horizontal="left"/>
    </xf>
    <xf numFmtId="168" fontId="0" fillId="0" borderId="0" xfId="0" applyNumberFormat="1">
      <alignment vertical="center"/>
    </xf>
    <xf numFmtId="0" fontId="15" fillId="0" borderId="0" xfId="0" applyFont="1" applyAlignment="1">
      <alignment horizontal="right" vertical="center"/>
    </xf>
  </cellXfs>
  <cellStyles count="5">
    <cellStyle name="Normal" xfId="0" builtinId="0" customBuiltin="1"/>
    <cellStyle name="Rubrik 1" xfId="2" builtinId="16" customBuiltin="1"/>
    <cellStyle name="Rubrik 2" xfId="3" builtinId="17" customBuiltin="1"/>
    <cellStyle name="Rubrik 4" xfId="4" builtinId="19" customBuiltin="1"/>
    <cellStyle name="Tusental" xfId="1" builtinId="3"/>
  </cellStyles>
  <dxfs count="56"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numFmt numFmtId="169" formatCode="#,##0.00\ &quot;kr&quot;"/>
    </dxf>
    <dxf>
      <font>
        <b/>
      </font>
    </dxf>
    <dxf>
      <alignment horizontal="left" readingOrder="0"/>
    </dxf>
    <dxf>
      <alignment horizontal="left" readingOrder="0"/>
    </dxf>
    <dxf>
      <font>
        <sz val="10"/>
      </font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numFmt numFmtId="169" formatCode="#,##0.00\ &quot;kr&quot;"/>
    </dxf>
    <dxf>
      <font>
        <b/>
      </font>
    </dxf>
    <dxf>
      <alignment horizontal="left" readingOrder="0"/>
    </dxf>
    <dxf>
      <alignment horizontal="left" readingOrder="0"/>
    </dxf>
    <dxf>
      <font>
        <sz val="10"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z val="10"/>
      </font>
    </dxf>
    <dxf>
      <alignment horizontal="left" readingOrder="0"/>
    </dxf>
    <dxf>
      <alignment horizontal="left" readingOrder="0"/>
    </dxf>
    <dxf>
      <font>
        <b/>
      </font>
    </dxf>
    <dxf>
      <numFmt numFmtId="169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70" formatCode="&quot;Kvartal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69" formatCode="#,##0.00\ &quot;kr&quot;"/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Arial"/>
        <scheme val="minor"/>
      </font>
      <numFmt numFmtId="171" formatCode="mm/d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55"/>
      <tableStyleElement type="headerRow" dxfId="54"/>
      <tableStyleElement type="totalRow" dxfId="53"/>
      <tableStyleElement type="secondSubtotalRow" dxfId="52"/>
      <tableStyleElement type="thirdSubtotalRow" dxfId="51"/>
      <tableStyleElement type="firstRowSubheading" dxfId="50"/>
      <tableStyleElement type="secondRowSubheading" dxfId="49"/>
      <tableStyleElement type="thirdRowSubheading" dxfId="48"/>
    </tableStyle>
    <tableStyle name="Monthly Sales Report Table Style" pivot="0" count="2">
      <tableStyleElement type="wholeTable" dxfId="47"/>
      <tableStyleElement type="header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Datainmatning!$D$5</c:f>
              <c:strCache>
                <c:ptCount val="1"/>
                <c:pt idx="0">
                  <c:v>BELOPP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Datainmatning!$D$6:$D$24</c:f>
              <c:numCache>
                <c:formatCode>#\ ##0.00\ "kr"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Datainmatning!$E$5</c:f>
              <c:strCache>
                <c:ptCount val="1"/>
                <c:pt idx="0">
                  <c:v>PLANERAT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Datainmatning!$E$6:$E$24</c:f>
              <c:numCache>
                <c:formatCode>#\ ##0.00\ "kr"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Datainmatning!$F$5</c:f>
              <c:strCache>
                <c:ptCount val="1"/>
                <c:pt idx="0">
                  <c:v>KOSTNAD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Datainmatning!$F$6:$F$24</c:f>
              <c:numCache>
                <c:formatCode>#\ ##0.00\ "kr"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Datainmatning!$G$5</c:f>
              <c:strCache>
                <c:ptCount val="1"/>
                <c:pt idx="0">
                  <c:v>INTÄKT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Datainmatning!$G$6:$G$24</c:f>
              <c:numCache>
                <c:formatCode>#\ ##0.00\ "kr"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70080"/>
        <c:axId val="131642680"/>
      </c:lineChart>
      <c:dateAx>
        <c:axId val="13167008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131642680"/>
        <c:crosses val="autoZero"/>
        <c:auto val="1"/>
        <c:lblOffset val="100"/>
        <c:baseTimeUnit val="days"/>
        <c:majorUnit val="1"/>
        <c:majorTimeUnit val="months"/>
      </c:dateAx>
      <c:valAx>
        <c:axId val="13164268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r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131670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Datainmatning!$O$5</c:f>
              <c:strCache>
                <c:ptCount val="1"/>
                <c:pt idx="0">
                  <c:v>MÅNAD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Datainmatning!$O$6:$O$24</c:f>
              <c:numCache>
                <c:formatCode>#\ ##0.00\ "kr"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670624"/>
        <c:axId val="263927272"/>
      </c:lineChart>
      <c:dateAx>
        <c:axId val="26467062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63927272"/>
        <c:crosses val="autoZero"/>
        <c:auto val="1"/>
        <c:lblOffset val="100"/>
        <c:baseTimeUnit val="days"/>
        <c:majorUnit val="1"/>
        <c:majorTimeUnit val="months"/>
      </c:dateAx>
      <c:valAx>
        <c:axId val="2639272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r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2646706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Datainmatning!$P$5</c:f>
              <c:strCache>
                <c:ptCount val="1"/>
                <c:pt idx="0">
                  <c:v>KVARTAL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Datainmatning!$P$6:$P$24</c:f>
              <c:numCache>
                <c:formatCode>#\ ##0.00\ "kr"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998184"/>
        <c:axId val="263998568"/>
      </c:lineChart>
      <c:dateAx>
        <c:axId val="26399818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63998568"/>
        <c:crosses val="autoZero"/>
        <c:auto val="1"/>
        <c:lblOffset val="100"/>
        <c:baseTimeUnit val="days"/>
        <c:majorUnit val="1"/>
        <c:majorTimeUnit val="months"/>
      </c:dateAx>
      <c:valAx>
        <c:axId val="26399856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r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263998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Datainmatning!$Q$5</c:f>
              <c:strCache>
                <c:ptCount val="1"/>
                <c:pt idx="0">
                  <c:v>ÅR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Datainmatning!$Q$6:$Q$24</c:f>
              <c:numCache>
                <c:formatCode>#\ ##0.00\ "kr"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972320"/>
        <c:axId val="264015640"/>
      </c:lineChart>
      <c:dateAx>
        <c:axId val="26397232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64015640"/>
        <c:crosses val="autoZero"/>
        <c:auto val="1"/>
        <c:lblOffset val="100"/>
        <c:baseTimeUnit val="days"/>
        <c:majorUnit val="1"/>
        <c:majorTimeUnit val="months"/>
      </c:dateAx>
      <c:valAx>
        <c:axId val="2640156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r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263972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Datainmatning!$G$5</c:f>
              <c:strCache>
                <c:ptCount val="1"/>
                <c:pt idx="0">
                  <c:v>INTÄKT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Datainmatning!$B$6:$B$24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Datainmatning!$G$6:$G$24</c:f>
              <c:numCache>
                <c:formatCode>#\ ##0.00\ "kr"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83952"/>
        <c:axId val="131484736"/>
      </c:lineChart>
      <c:dateAx>
        <c:axId val="131483952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31484736"/>
        <c:crosses val="autoZero"/>
        <c:auto val="1"/>
        <c:lblOffset val="100"/>
        <c:baseTimeUnit val="days"/>
        <c:majorUnit val="1"/>
        <c:majorTimeUnit val="months"/>
      </c:dateAx>
      <c:valAx>
        <c:axId val="1314847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kr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131483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F&#246;rs&#228;ljningsprognos!A1"/><Relationship Id="rId1" Type="http://schemas.openxmlformats.org/officeDocument/2006/relationships/hyperlink" Target="#F&#246;rs&#228;ljningsrappor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F&#246;rs&#228;ljningsprognos!A1"/><Relationship Id="rId1" Type="http://schemas.openxmlformats.org/officeDocument/2006/relationships/hyperlink" Target="#Datainmatning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F&#246;rs&#228;ljningsrapport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Datainmatning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924526</xdr:colOff>
      <xdr:row>1</xdr:row>
      <xdr:rowOff>314325</xdr:rowOff>
    </xdr:to>
    <xdr:sp macro="" textlink="">
      <xdr:nvSpPr>
        <xdr:cNvPr id="2" name="Försäljningsrapport" descr="Klicka om du vill visa bladet Försäljningsrapport." title="Navigeringsknappen Försäljningsrapport">
          <a:hlinkClick xmlns:r="http://schemas.openxmlformats.org/officeDocument/2006/relationships" r:id="rId1" tooltip="Klicka om du vill visa bladet Försäljningsrapport"/>
        </xdr:cNvPr>
        <xdr:cNvSpPr/>
      </xdr:nvSpPr>
      <xdr:spPr>
        <a:xfrm>
          <a:off x="4686301" y="228600"/>
          <a:ext cx="1296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>
              <a:solidFill>
                <a:schemeClr val="bg1"/>
              </a:solidFill>
              <a:latin typeface="+mn-lt"/>
              <a:ea typeface="+mn-ea"/>
              <a:cs typeface="+mn-cs"/>
            </a:rPr>
            <a:t>Försäljningsrapport</a:t>
          </a:r>
        </a:p>
      </xdr:txBody>
    </xdr:sp>
    <xdr:clientData fPrintsWithSheet="0"/>
  </xdr:twoCellAnchor>
  <xdr:twoCellAnchor>
    <xdr:from>
      <xdr:col>7</xdr:col>
      <xdr:colOff>47625</xdr:colOff>
      <xdr:row>1</xdr:row>
      <xdr:rowOff>85726</xdr:rowOff>
    </xdr:from>
    <xdr:to>
      <xdr:col>8</xdr:col>
      <xdr:colOff>596475</xdr:colOff>
      <xdr:row>1</xdr:row>
      <xdr:rowOff>314326</xdr:rowOff>
    </xdr:to>
    <xdr:sp macro="" textlink="">
      <xdr:nvSpPr>
        <xdr:cNvPr id="3" name="Försäljningsprognos" descr="Klicka om du vill visa bladet Försäljningsprognos." title="Navigeringsknappen Försäljningsprognos">
          <a:hlinkClick xmlns:r="http://schemas.openxmlformats.org/officeDocument/2006/relationships" r:id="rId2" tooltip="Klicka om du vill visa bladet Försäljningsprognos"/>
        </xdr:cNvPr>
        <xdr:cNvSpPr/>
      </xdr:nvSpPr>
      <xdr:spPr>
        <a:xfrm>
          <a:off x="6067425" y="228601"/>
          <a:ext cx="1368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>
              <a:solidFill>
                <a:schemeClr val="bg1"/>
              </a:solidFill>
              <a:latin typeface="+mn-lt"/>
              <a:ea typeface="+mn-ea"/>
              <a:cs typeface="+mn-cs"/>
            </a:rPr>
            <a:t>Försäljningsprognos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704851</xdr:colOff>
      <xdr:row>1</xdr:row>
      <xdr:rowOff>85725</xdr:rowOff>
    </xdr:from>
    <xdr:to>
      <xdr:col>6</xdr:col>
      <xdr:colOff>268225</xdr:colOff>
      <xdr:row>1</xdr:row>
      <xdr:rowOff>314325</xdr:rowOff>
    </xdr:to>
    <xdr:sp macro="" textlink="">
      <xdr:nvSpPr>
        <xdr:cNvPr id="7" name="Försäljningsrapport" descr="Klicka för att visa kalkylbladet Inmatning." title="Knapp för inmatningsnavigering">
          <a:hlinkClick xmlns:r="http://schemas.openxmlformats.org/officeDocument/2006/relationships" r:id="rId1" tooltip="Klicka för att visa kalkylbladet Inmatning"/>
        </xdr:cNvPr>
        <xdr:cNvSpPr/>
      </xdr:nvSpPr>
      <xdr:spPr>
        <a:xfrm>
          <a:off x="5924551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v-SE" sz="1000" smtClean="0">
              <a:solidFill>
                <a:schemeClr val="bg1"/>
              </a:solidFill>
              <a:latin typeface="+mn-lt"/>
              <a:ea typeface="+mn-ea"/>
              <a:cs typeface="+mn-cs"/>
            </a:rPr>
            <a:t>Datainmatning</a:t>
          </a:r>
          <a:endParaRPr lang="en-US" sz="1000" smtClean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323850</xdr:colOff>
      <xdr:row>1</xdr:row>
      <xdr:rowOff>85726</xdr:rowOff>
    </xdr:from>
    <xdr:to>
      <xdr:col>9</xdr:col>
      <xdr:colOff>91650</xdr:colOff>
      <xdr:row>1</xdr:row>
      <xdr:rowOff>314326</xdr:rowOff>
    </xdr:to>
    <xdr:sp macro="" textlink="">
      <xdr:nvSpPr>
        <xdr:cNvPr id="8" name="Försäljningsprognos" descr="Klicka om du vill visa bladet Försäljningsprognos." title="Navigeringsknappen Försäljningsprognos">
          <a:hlinkClick xmlns:r="http://schemas.openxmlformats.org/officeDocument/2006/relationships" r:id="rId2" tooltip="Klicka om du vill visa bladet Försäljningsprognos"/>
        </xdr:cNvPr>
        <xdr:cNvSpPr/>
      </xdr:nvSpPr>
      <xdr:spPr>
        <a:xfrm>
          <a:off x="7086600" y="228601"/>
          <a:ext cx="1368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smtClean="0">
              <a:solidFill>
                <a:schemeClr val="bg1"/>
              </a:solidFill>
              <a:latin typeface="+mn-lt"/>
              <a:ea typeface="+mn-ea"/>
              <a:cs typeface="+mn-cs"/>
            </a:rPr>
            <a:t>Försäljningsprognos</a:t>
          </a:r>
          <a:endParaRPr lang="en-US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Försäljningshistorik" descr="Säljhistorikdiagram" title="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Månadsprognos" descr="Diagram för månadsprognos" title="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Kvartalsprognos" descr="Diagram för kvartalsprognos" title="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Årsprognos" descr="Diagram för årsprognos" title="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Intäktsström" descr="Diagram för intäktsström" title="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533400</xdr:colOff>
      <xdr:row>1</xdr:row>
      <xdr:rowOff>85725</xdr:rowOff>
    </xdr:from>
    <xdr:to>
      <xdr:col>7</xdr:col>
      <xdr:colOff>174150</xdr:colOff>
      <xdr:row>1</xdr:row>
      <xdr:rowOff>314325</xdr:rowOff>
    </xdr:to>
    <xdr:sp macro="" textlink="">
      <xdr:nvSpPr>
        <xdr:cNvPr id="10" name="Försäljningsrapport" descr="Klicka om du vill visa bladet Datainmatning." title="Navigeringsknappen Datainmatning">
          <a:hlinkClick xmlns:r="http://schemas.openxmlformats.org/officeDocument/2006/relationships" r:id="rId6" tooltip="Klicka om du vill visa bladet Datainmatning"/>
        </xdr:cNvPr>
        <xdr:cNvSpPr/>
      </xdr:nvSpPr>
      <xdr:spPr>
        <a:xfrm>
          <a:off x="5915025" y="228600"/>
          <a:ext cx="1260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v-SE" sz="1000" smtClean="0">
              <a:solidFill>
                <a:schemeClr val="bg1"/>
              </a:solidFill>
              <a:latin typeface="+mn-lt"/>
              <a:ea typeface="+mn-ea"/>
              <a:cs typeface="+mn-cs"/>
            </a:rPr>
            <a:t>Datainmatning</a:t>
          </a:r>
          <a:endParaRPr lang="en-US" sz="1000" smtClean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7</xdr:col>
      <xdr:colOff>334662</xdr:colOff>
      <xdr:row>1</xdr:row>
      <xdr:rowOff>85726</xdr:rowOff>
    </xdr:from>
    <xdr:to>
      <xdr:col>7</xdr:col>
      <xdr:colOff>1666662</xdr:colOff>
      <xdr:row>1</xdr:row>
      <xdr:rowOff>314326</xdr:rowOff>
    </xdr:to>
    <xdr:sp macro="" textlink="">
      <xdr:nvSpPr>
        <xdr:cNvPr id="11" name="Försäljningsprognos" descr="Klicka om du vill visa bladet Försäljningsrapport." title="Navigeringsknappen Försäljningsrapport">
          <a:hlinkClick xmlns:r="http://schemas.openxmlformats.org/officeDocument/2006/relationships" r:id="rId7" tooltip="Klicka om du vill visa bladet Försäljningsrapport"/>
        </xdr:cNvPr>
        <xdr:cNvSpPr/>
      </xdr:nvSpPr>
      <xdr:spPr>
        <a:xfrm>
          <a:off x="7335537" y="228601"/>
          <a:ext cx="13320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sv-SE" sz="1000" smtClean="0">
              <a:solidFill>
                <a:schemeClr val="bg1"/>
              </a:solidFill>
              <a:latin typeface="+mn-lt"/>
              <a:ea typeface="+mn-ea"/>
              <a:cs typeface="+mn-cs"/>
            </a:rPr>
            <a:t>Försäljningsrapport</a:t>
          </a:r>
          <a:endParaRPr lang="en-US" sz="10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-användare" refreshedDate="41164.803295949074" createdVersion="5" refreshedVersion="5" minRefreshableVersion="3" recordCount="19">
  <cacheSource type="worksheet">
    <worksheetSource name="tabell_Data"/>
  </cacheSource>
  <cacheFields count="16">
    <cacheField name="DATUM" numFmtId="14">
      <sharedItems containsSemiMixedTypes="0" containsNonDate="0" containsDate="1" containsString="0" minDate="2013-04-23T00:00:00" maxDate="2013-12-12T00:00:00"/>
    </cacheField>
    <cacheField name="FÖRETAG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BELOPP" numFmtId="169">
      <sharedItems containsSemiMixedTypes="0" containsString="0" containsNumber="1" containsInteger="1" minValue="4400" maxValue="9500"/>
    </cacheField>
    <cacheField name="PLANERAT" numFmtId="169">
      <sharedItems containsSemiMixedTypes="0" containsString="0" containsNumber="1" containsInteger="1" minValue="4200" maxValue="10000"/>
    </cacheField>
    <cacheField name="KOSTNAD" numFmtId="169">
      <sharedItems containsSemiMixedTypes="0" containsString="0" containsNumber="1" containsInteger="1" minValue="2600" maxValue="8500"/>
    </cacheField>
    <cacheField name="INTÄKT" numFmtId="169">
      <sharedItems containsSemiMixedTypes="0" containsString="0" containsNumber="1" containsInteger="1" minValue="900" maxValue="1950"/>
    </cacheField>
    <cacheField name="MÅNAD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KVARTAL" numFmtId="170">
      <sharedItems containsSemiMixedTypes="0" containsString="0" containsNumber="1" containsInteger="1" minValue="2" maxValue="4" count="3">
        <n v="2"/>
        <n v="3"/>
        <n v="4"/>
      </sharedItems>
    </cacheField>
    <cacheField name="ÅR" numFmtId="0">
      <sharedItems containsSemiMixedTypes="0" containsString="0" containsNumber="1" containsInteger="1" minValue="2013" maxValue="2013" count="1">
        <n v="2013"/>
      </sharedItems>
    </cacheField>
    <cacheField name="MÅNADSNR (DÖLJ)" numFmtId="0">
      <sharedItems containsSemiMixedTypes="0" containsString="0" containsNumber="1" containsInteger="1" minValue="4" maxValue="12"/>
    </cacheField>
    <cacheField name="MÅNAD " numFmtId="169">
      <sharedItems containsSemiMixedTypes="0" containsString="0" containsNumber="1" containsInteger="1" minValue="8700" maxValue="25600"/>
    </cacheField>
    <cacheField name="KVARTAL " numFmtId="169">
      <sharedItems containsSemiMixedTypes="0" containsString="0" containsNumber="1" containsInteger="1" minValue="43900" maxValue="50800"/>
    </cacheField>
    <cacheField name="PER ÅR " numFmtId="169">
      <sharedItems containsSemiMixedTypes="0" containsString="0" containsNumber="1" containsInteger="1" minValue="143800" maxValue="143800"/>
    </cacheField>
    <cacheField name="MÅNAD  " numFmtId="169">
      <sharedItems containsSemiMixedTypes="0" containsString="0" containsNumber="1" minValue="10776.470588235294" maxValue="29000"/>
    </cacheField>
    <cacheField name="KVARTAL  " numFmtId="169">
      <sharedItems containsSemiMixedTypes="0" containsString="0" containsNumber="1" minValue="41288.23529411765" maxValue="50800"/>
    </cacheField>
    <cacheField name="ÅR  " numFmtId="169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6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F28" firstHeaderRow="1" firstDataRow="1" firstDataCol="4"/>
  <pivotFields count="16">
    <pivotField compact="0" numFmtId="14" outline="0" showAll="0" defaultSubtotal="0"/>
    <pivotField axis="axisRow" compact="0" outline="0" showAll="0">
      <items count="7">
        <item x="0"/>
        <item x="2"/>
        <item x="1"/>
        <item x="3"/>
        <item x="4"/>
        <item x="5"/>
        <item t="default"/>
      </items>
    </pivotField>
    <pivotField dataField="1" compact="0" numFmtId="169" outline="0" showAll="0" defaultSubtotal="0"/>
    <pivotField compact="0" numFmtId="169" outline="0" showAll="0" defaultSubtotal="0"/>
    <pivotField compact="0" numFmtId="169" outline="0" showAll="0" defaultSubtotal="0"/>
    <pivotField compact="0" numFmtId="169" outline="0" showAll="0" defaultSubtotal="0"/>
    <pivotField axis="axisRow" compact="0" numFmtId="168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70" outline="0" showAll="0">
      <items count="4">
        <item x="0"/>
        <item x="1"/>
        <item x="2"/>
        <item t="default"/>
      </items>
    </pivotField>
    <pivotField axis="axisRow" compact="0" numFmtId="167" outline="0" showAll="0">
      <items count="2">
        <item x="0"/>
        <item t="default"/>
      </items>
    </pivotField>
    <pivotField compact="0" outline="0" showAll="0" defaultSubtotal="0"/>
    <pivotField compact="0" numFmtId="169" outline="0" showAll="0" defaultSubtotal="0"/>
    <pivotField compact="0" numFmtId="169" outline="0" showAll="0" defaultSubtotal="0"/>
    <pivotField compact="0" numFmtId="169" outline="0" showAll="0" defaultSubtotal="0"/>
    <pivotField compact="0" numFmtId="169" outline="0" showAll="0" defaultSubtotal="0"/>
    <pivotField compact="0" numFmtId="169" outline="0" showAll="0" defaultSubtotal="0"/>
    <pivotField compact="0" numFmtId="169" outline="0" showAll="0" defaultSubtota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TOTAL FÖRSÄLJNING" fld="2" baseField="1" baseItem="0" numFmtId="169"/>
  </dataFields>
  <formats count="7">
    <format dxfId="23">
      <pivotArea dataOnly="0" labelOnly="1" outline="0" axis="axisValues" fieldPosition="0"/>
    </format>
    <format dxfId="22">
      <pivotArea dataOnly="0" labelOnly="1" outline="0" axis="axisValues" fieldPosition="0"/>
    </format>
    <format dxfId="21">
      <pivotArea outline="0" fieldPosition="0">
        <references count="1">
          <reference field="4294967294" count="1">
            <x v="0"/>
          </reference>
        </references>
      </pivotArea>
    </format>
    <format dxfId="20">
      <pivotArea dataOnly="0" outline="0" fieldPosition="0">
        <references count="1">
          <reference field="8" count="0" defaultSubtotal="1"/>
        </references>
      </pivotArea>
    </format>
    <format dxfId="19">
      <pivotArea dataOnly="0" labelOnly="1" outline="0" fieldPosition="0">
        <references count="1">
          <reference field="8" count="0"/>
        </references>
      </pivotArea>
    </format>
    <format dxfId="18">
      <pivotArea dataOnly="0" labelOnly="1" outline="0" fieldPosition="0">
        <references count="1">
          <reference field="7" count="0"/>
        </references>
      </pivotArea>
    </format>
    <format dxfId="17">
      <pivotArea field="8" type="button" dataOnly="0" labelOnly="1" outline="0" axis="axisRow" fieldPosition="0"/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tabell för månatlig försäljningsrapport" altTextSummary="En pivottabell som visar den månatliga försäljningen, grupperad efter år, kvartal, månad och företag tillsammans med total försäljning för varje grupp." hideValuesRow="1"/>
    </ext>
  </extLst>
</pivotTableDefinition>
</file>

<file path=xl/tables/table1.xml><?xml version="1.0" encoding="utf-8"?>
<table xmlns="http://schemas.openxmlformats.org/spreadsheetml/2006/main" id="1" name="tabell_Data" displayName="tabell_Data" ref="B5:Q24" totalsRowShown="0" headerRowDxfId="45" dataDxfId="44" headerRowCellStyle="Rubrik 4">
  <autoFilter ref="B5:Q24"/>
  <tableColumns count="16">
    <tableColumn id="1" name="DATUM" dataDxfId="43"/>
    <tableColumn id="2" name="FÖRETAG" dataDxfId="42"/>
    <tableColumn id="3" name="BELOPP" dataDxfId="41"/>
    <tableColumn id="4" name="PLANERAT" dataDxfId="40"/>
    <tableColumn id="5" name="KOSTNAD" dataDxfId="39"/>
    <tableColumn id="16" name="INTÄKT" dataDxfId="38">
      <calculatedColumnFormula>tabell_Data[[#This Row],[BELOPP]]-tabell_Data[[#This Row],[KOSTNAD]]</calculatedColumnFormula>
    </tableColumn>
    <tableColumn id="6" name="MÅNAD" dataDxfId="37">
      <calculatedColumnFormula>DATE(YEAR(Datainmatning!$B6),MONTH(Datainmatning!$B6),1)</calculatedColumnFormula>
    </tableColumn>
    <tableColumn id="7" name="KVARTAL" dataDxfId="36">
      <calculatedColumnFormula>LOOKUP(MONTH(Datainmatning!$H6),{1,1;2,1;3,1;4,2;5,2;6,2;7,3;8,3;9,3;10,4;11,4;12,4})</calculatedColumnFormula>
    </tableColumn>
    <tableColumn id="8" name="ÅR" dataDxfId="35">
      <calculatedColumnFormula>YEAR(Datainmatning!$B6)</calculatedColumnFormula>
    </tableColumn>
    <tableColumn id="12" name="MÅNADSNR (DÖLJ)" dataDxfId="34">
      <calculatedColumnFormula>MONTH(tabell_Data[[#This Row],[DATUM]])</calculatedColumnFormula>
    </tableColumn>
    <tableColumn id="9" name="MÅNAD " dataDxfId="33">
      <calculatedColumnFormula>SUMIFS(tabell_Data[BELOPP],tabell_Data[DATUM],"&gt;="&amp;EOMONTH(tabell_Data[[#This Row],[DATUM]],-1)+1,tabell_Data[DATUM],"&lt;="&amp;EOMONTH(tabell_Data[[#This Row],[DATUM]],0))</calculatedColumnFormula>
    </tableColumn>
    <tableColumn id="10" name="KVARTAL " dataDxfId="32">
      <calculatedColumnFormula>SUMIFS(tabell_Data[BELOPP],tabell_Data[DATUM],"&gt;="&amp;DATE(YEAR(tabell_Data[[#This Row],[DATUM]]),1,1),tabell_Data[DATUM],"&lt;="&amp;DATE(YEAR(tabell_Data[[#This Row],[DATUM]]),12,31),tabell_Data[KVARTAL],tabell_Data[[#This Row],[KVARTAL]])</calculatedColumnFormula>
    </tableColumn>
    <tableColumn id="11" name="PER ÅR " dataDxfId="31">
      <calculatedColumnFormula>SUMIFS(tabell_Data[BELOPP],tabell_Data[DATUM],"&gt;="&amp;DATE(YEAR(tabell_Data[[#This Row],[DATUM]]),1,1),tabell_Data[DATUM],"&lt;="&amp;DATE(YEAR(tabell_Data[[#This Row],[DATUM]]),12,31))</calculatedColumnFormula>
    </tableColumn>
    <tableColumn id="13" name="MÅNAD  " dataDxfId="30">
      <calculatedColumnFormula>IFERROR(TREND($L$6:INDEX($L:$L,ROW(),1),$K$6:INDEX($K:$K,ROW(),1),IF(MONTH(tabell_Data[[#This Row],[DATUM]])=12,13,MONTH(tabell_Data[[#This Row],[DATUM]])+1)),"")</calculatedColumnFormula>
    </tableColumn>
    <tableColumn id="14" name="KVARTAL  " dataDxfId="29">
      <calculatedColumnFormula>IFERROR(TREND($M$6:INDEX($M:$M,ROW(),1),$I$6:INDEX($I:$I,ROW(),1),IF(tabell_Data[[#This Row],[KVARTAL]]=4,5,tabell_Data[[#This Row],[KVARTAL]]+1)),"")</calculatedColumnFormula>
    </tableColumn>
    <tableColumn id="15" name="ÅR  " dataDxfId="28">
      <calculatedColumnFormula>IFERROR(TREND($N$6:INDEX($N:$N,ROW(),1),$J$6:INDEX($J:$J,ROW(),1),tabell_Data[[#This Row],[ÅR]]+1),"")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Monthly Data Entry Table" altTextSummary="Enter monthly data in this table such as Date, Company, Amount, Planned, Cost, Revenue, Month, Quarter, and Year. Current and forecasted data will be calculated for you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16.6640625" style="3" customWidth="1"/>
    <col min="6" max="6" width="14.83203125" style="3" customWidth="1"/>
    <col min="7" max="7" width="16.83203125" style="3" customWidth="1"/>
    <col min="8" max="8" width="14.33203125" style="3" customWidth="1"/>
    <col min="9" max="9" width="17.5" style="3" customWidth="1"/>
    <col min="10" max="10" width="12.83203125" style="3" customWidth="1"/>
    <col min="11" max="11" width="12.83203125" style="3" hidden="1" customWidth="1"/>
    <col min="12" max="12" width="13.83203125" style="3" customWidth="1"/>
    <col min="13" max="13" width="16.3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10</v>
      </c>
    </row>
    <row r="3" spans="2:17" customFormat="1" ht="17.25" customHeight="1" x14ac:dyDescent="0.2">
      <c r="L3" s="23" t="s">
        <v>56</v>
      </c>
      <c r="M3" s="6"/>
      <c r="N3" s="6"/>
      <c r="O3" s="23" t="s">
        <v>42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51" t="s">
        <v>11</v>
      </c>
      <c r="C5" s="51" t="s">
        <v>12</v>
      </c>
      <c r="D5" s="39" t="s">
        <v>13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18</v>
      </c>
      <c r="J5" s="39" t="s">
        <v>19</v>
      </c>
      <c r="K5" s="39" t="s">
        <v>20</v>
      </c>
      <c r="L5" s="39" t="s">
        <v>21</v>
      </c>
      <c r="M5" s="39" t="s">
        <v>22</v>
      </c>
      <c r="N5" s="39" t="s">
        <v>23</v>
      </c>
      <c r="O5" s="39" t="s">
        <v>24</v>
      </c>
      <c r="P5" s="39" t="s">
        <v>25</v>
      </c>
      <c r="Q5" s="39" t="s">
        <v>26</v>
      </c>
    </row>
    <row r="6" spans="2:17" ht="17.25" customHeight="1" x14ac:dyDescent="0.2">
      <c r="B6" s="52">
        <f>40657+(365*2)</f>
        <v>41387</v>
      </c>
      <c r="C6" s="4" t="s">
        <v>0</v>
      </c>
      <c r="D6" s="54">
        <v>6400</v>
      </c>
      <c r="E6" s="54">
        <v>6200</v>
      </c>
      <c r="F6" s="54">
        <v>4450</v>
      </c>
      <c r="G6" s="55">
        <f>tabell_Data[[#This Row],[BELOPP]]-tabell_Data[[#This Row],[KOSTNAD]]</f>
        <v>1950</v>
      </c>
      <c r="H6" s="5">
        <f>DATE(YEAR(Datainmatning!$B6),MONTH(Datainmatning!$B6),1)</f>
        <v>41365</v>
      </c>
      <c r="I6" s="58">
        <f>LOOKUP(MONTH(Datainmatning!$H6),{1,1;2,1;3,1;4,2;5,2;6,2;7,3;8,3;9,3;10,4;11,4;12,4})</f>
        <v>2</v>
      </c>
      <c r="J6" s="7">
        <f>YEAR(Datainmatning!$B6)</f>
        <v>2013</v>
      </c>
      <c r="K6" s="8">
        <f>MONTH(tabell_Data[[#This Row],[DATUM]])</f>
        <v>4</v>
      </c>
      <c r="L6" s="56">
        <f>SUMIFS(tabell_Data[BELOPP],tabell_Data[DATUM],"&gt;="&amp;EOMONTH(tabell_Data[[#This Row],[DATUM]],-1)+1,tabell_Data[DATUM],"&lt;="&amp;EOMONTH(tabell_Data[[#This Row],[DATUM]],0))</f>
        <v>14600</v>
      </c>
      <c r="M6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6" s="56">
        <f>SUMIFS(tabell_Data[BELOPP],tabell_Data[DATUM],"&gt;="&amp;DATE(YEAR(tabell_Data[[#This Row],[DATUM]]),1,1),tabell_Data[DATUM],"&lt;="&amp;DATE(YEAR(tabell_Data[[#This Row],[DATUM]]),12,31))</f>
        <v>143800</v>
      </c>
      <c r="O6" s="57">
        <f>IFERROR(TREND($L$6:INDEX($L:$L,ROW(),1),$K$6:INDEX($K:$K,ROW(),1),IF(MONTH(tabell_Data[[#This Row],[DATUM]])=12,13,MONTH(tabell_Data[[#This Row],[DATUM]])+1)),"")</f>
        <v>14600</v>
      </c>
      <c r="P6" s="57">
        <f>IFERROR(TREND($M$6:INDEX($M:$M,ROW(),1),$I$6:INDEX($I:$I,ROW(),1),IF(tabell_Data[[#This Row],[KVARTAL]]=4,5,tabell_Data[[#This Row],[KVARTAL]]+1)),"")</f>
        <v>50800</v>
      </c>
      <c r="Q6" s="57">
        <f>IFERROR(TREND($N$6:INDEX($N:$N,ROW(),1),$J$6:INDEX($J:$J,ROW(),1),tabell_Data[[#This Row],[ÅR]]+1),"")</f>
        <v>143800</v>
      </c>
    </row>
    <row r="7" spans="2:17" ht="17.25" customHeight="1" x14ac:dyDescent="0.2">
      <c r="B7" s="52">
        <f>40659+(365*2)</f>
        <v>41389</v>
      </c>
      <c r="C7" s="4" t="s">
        <v>1</v>
      </c>
      <c r="D7" s="54">
        <v>8200</v>
      </c>
      <c r="E7" s="54">
        <v>8000</v>
      </c>
      <c r="F7" s="54">
        <v>6400</v>
      </c>
      <c r="G7" s="55">
        <f>tabell_Data[[#This Row],[BELOPP]]-tabell_Data[[#This Row],[KOSTNAD]]</f>
        <v>1800</v>
      </c>
      <c r="H7" s="5">
        <f>DATE(YEAR(Datainmatning!$B7),MONTH(Datainmatning!$B7),1)</f>
        <v>41365</v>
      </c>
      <c r="I7" s="58">
        <f>LOOKUP(MONTH(Datainmatning!$H7),{1,1;2,1;3,1;4,2;5,2;6,2;7,3;8,3;9,3;10,4;11,4;12,4})</f>
        <v>2</v>
      </c>
      <c r="J7" s="7">
        <f>YEAR(Datainmatning!$B7)</f>
        <v>2013</v>
      </c>
      <c r="K7" s="8">
        <f>MONTH(tabell_Data[[#This Row],[DATUM]])</f>
        <v>4</v>
      </c>
      <c r="L7" s="56">
        <f>SUMIFS(tabell_Data[BELOPP],tabell_Data[DATUM],"&gt;="&amp;EOMONTH(tabell_Data[[#This Row],[DATUM]],-1)+1,tabell_Data[DATUM],"&lt;="&amp;EOMONTH(tabell_Data[[#This Row],[DATUM]],0))</f>
        <v>14600</v>
      </c>
      <c r="M7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7" s="56">
        <f>SUMIFS(tabell_Data[BELOPP],tabell_Data[DATUM],"&gt;="&amp;DATE(YEAR(tabell_Data[[#This Row],[DATUM]]),1,1),tabell_Data[DATUM],"&lt;="&amp;DATE(YEAR(tabell_Data[[#This Row],[DATUM]]),12,31))</f>
        <v>143800</v>
      </c>
      <c r="O7" s="57">
        <f>IFERROR(TREND($L$6:INDEX($L:$L,ROW(),1),$K$6:INDEX($K:$K,ROW(),1),IF(MONTH(tabell_Data[[#This Row],[DATUM]])=12,13,MONTH(tabell_Data[[#This Row],[DATUM]])+1)),"")</f>
        <v>14600</v>
      </c>
      <c r="P7" s="57">
        <f>IFERROR(TREND($M$6:INDEX($M:$M,ROW(),1),$I$6:INDEX($I:$I,ROW(),1),IF(tabell_Data[[#This Row],[KVARTAL]]=4,5,tabell_Data[[#This Row],[KVARTAL]]+1)),"")</f>
        <v>50800</v>
      </c>
      <c r="Q7" s="57">
        <f>IFERROR(TREND($N$6:INDEX($N:$N,ROW(),1),$J$6:INDEX($J:$J,ROW(),1),tabell_Data[[#This Row],[ÅR]]+1),"")</f>
        <v>143800</v>
      </c>
    </row>
    <row r="8" spans="2:17" ht="17.25" customHeight="1" x14ac:dyDescent="0.2">
      <c r="B8" s="52">
        <f>40671+(365*2)</f>
        <v>41401</v>
      </c>
      <c r="C8" s="4" t="s">
        <v>2</v>
      </c>
      <c r="D8" s="54">
        <v>4400</v>
      </c>
      <c r="E8" s="54">
        <v>4200</v>
      </c>
      <c r="F8" s="54">
        <v>2600</v>
      </c>
      <c r="G8" s="55">
        <f>tabell_Data[[#This Row],[BELOPP]]-tabell_Data[[#This Row],[KOSTNAD]]</f>
        <v>1800</v>
      </c>
      <c r="H8" s="5">
        <f>DATE(YEAR(Datainmatning!$B8),MONTH(Datainmatning!$B8),1)</f>
        <v>41395</v>
      </c>
      <c r="I8" s="58">
        <f>LOOKUP(MONTH(Datainmatning!$H8),{1,1;2,1;3,1;4,2;5,2;6,2;7,3;8,3;9,3;10,4;11,4;12,4})</f>
        <v>2</v>
      </c>
      <c r="J8" s="7">
        <f>YEAR(Datainmatning!$B8)</f>
        <v>2013</v>
      </c>
      <c r="K8" s="8">
        <f>MONTH(tabell_Data[[#This Row],[DATUM]])</f>
        <v>5</v>
      </c>
      <c r="L8" s="56">
        <f>SUMIFS(tabell_Data[BELOPP],tabell_Data[DATUM],"&gt;="&amp;EOMONTH(tabell_Data[[#This Row],[DATUM]],-1)+1,tabell_Data[DATUM],"&lt;="&amp;EOMONTH(tabell_Data[[#This Row],[DATUM]],0))</f>
        <v>21800</v>
      </c>
      <c r="M8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8" s="56">
        <f>SUMIFS(tabell_Data[BELOPP],tabell_Data[DATUM],"&gt;="&amp;DATE(YEAR(tabell_Data[[#This Row],[DATUM]]),1,1),tabell_Data[DATUM],"&lt;="&amp;DATE(YEAR(tabell_Data[[#This Row],[DATUM]]),12,31))</f>
        <v>143800</v>
      </c>
      <c r="O8" s="57">
        <f>IFERROR(TREND($L$6:INDEX($L:$L,ROW(),1),$K$6:INDEX($K:$K,ROW(),1),IF(MONTH(tabell_Data[[#This Row],[DATUM]])=12,13,MONTH(tabell_Data[[#This Row],[DATUM]])+1)),"")</f>
        <v>28999.999999999996</v>
      </c>
      <c r="P8" s="57">
        <f>IFERROR(TREND($M$6:INDEX($M:$M,ROW(),1),$I$6:INDEX($I:$I,ROW(),1),IF(tabell_Data[[#This Row],[KVARTAL]]=4,5,tabell_Data[[#This Row],[KVARTAL]]+1)),"")</f>
        <v>50800</v>
      </c>
      <c r="Q8" s="57">
        <f>IFERROR(TREND($N$6:INDEX($N:$N,ROW(),1),$J$6:INDEX($J:$J,ROW(),1),tabell_Data[[#This Row],[ÅR]]+1),"")</f>
        <v>143800</v>
      </c>
    </row>
    <row r="9" spans="2:17" ht="17.25" customHeight="1" x14ac:dyDescent="0.2">
      <c r="B9" s="52">
        <f>40678+(365*2)</f>
        <v>41408</v>
      </c>
      <c r="C9" s="4" t="s">
        <v>3</v>
      </c>
      <c r="D9" s="54">
        <v>5400</v>
      </c>
      <c r="E9" s="54">
        <v>5500</v>
      </c>
      <c r="F9" s="54">
        <v>4500</v>
      </c>
      <c r="G9" s="55">
        <f>tabell_Data[[#This Row],[BELOPP]]-tabell_Data[[#This Row],[KOSTNAD]]</f>
        <v>900</v>
      </c>
      <c r="H9" s="5">
        <f>DATE(YEAR(Datainmatning!$B9),MONTH(Datainmatning!$B9),1)</f>
        <v>41395</v>
      </c>
      <c r="I9" s="58">
        <f>LOOKUP(MONTH(Datainmatning!$H9),{1,1;2,1;3,1;4,2;5,2;6,2;7,3;8,3;9,3;10,4;11,4;12,4})</f>
        <v>2</v>
      </c>
      <c r="J9" s="7">
        <f>YEAR(Datainmatning!$B9)</f>
        <v>2013</v>
      </c>
      <c r="K9" s="8">
        <f>MONTH(tabell_Data[[#This Row],[DATUM]])</f>
        <v>5</v>
      </c>
      <c r="L9" s="56">
        <f>SUMIFS(tabell_Data[BELOPP],tabell_Data[DATUM],"&gt;="&amp;EOMONTH(tabell_Data[[#This Row],[DATUM]],-1)+1,tabell_Data[DATUM],"&lt;="&amp;EOMONTH(tabell_Data[[#This Row],[DATUM]],0))</f>
        <v>21800</v>
      </c>
      <c r="M9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9" s="56">
        <f>SUMIFS(tabell_Data[BELOPP],tabell_Data[DATUM],"&gt;="&amp;DATE(YEAR(tabell_Data[[#This Row],[DATUM]]),1,1),tabell_Data[DATUM],"&lt;="&amp;DATE(YEAR(tabell_Data[[#This Row],[DATUM]]),12,31))</f>
        <v>143800</v>
      </c>
      <c r="O9" s="57">
        <f>IFERROR(TREND($L$6:INDEX($L:$L,ROW(),1),$K$6:INDEX($K:$K,ROW(),1),IF(MONTH(tabell_Data[[#This Row],[DATUM]])=12,13,MONTH(tabell_Data[[#This Row],[DATUM]])+1)),"")</f>
        <v>29000</v>
      </c>
      <c r="P9" s="57">
        <f>IFERROR(TREND($M$6:INDEX($M:$M,ROW(),1),$I$6:INDEX($I:$I,ROW(),1),IF(tabell_Data[[#This Row],[KVARTAL]]=4,5,tabell_Data[[#This Row],[KVARTAL]]+1)),"")</f>
        <v>50800</v>
      </c>
      <c r="Q9" s="57">
        <f>IFERROR(TREND($N$6:INDEX($N:$N,ROW(),1),$J$6:INDEX($J:$J,ROW(),1),tabell_Data[[#This Row],[ÅR]]+1),"")</f>
        <v>143800</v>
      </c>
    </row>
    <row r="10" spans="2:17" ht="17.25" customHeight="1" x14ac:dyDescent="0.2">
      <c r="B10" s="52">
        <f>40678+(365*2)</f>
        <v>41408</v>
      </c>
      <c r="C10" s="4" t="s">
        <v>4</v>
      </c>
      <c r="D10" s="54">
        <v>5800</v>
      </c>
      <c r="E10" s="54">
        <v>6000</v>
      </c>
      <c r="F10" s="54">
        <v>4500</v>
      </c>
      <c r="G10" s="55">
        <f>tabell_Data[[#This Row],[BELOPP]]-tabell_Data[[#This Row],[KOSTNAD]]</f>
        <v>1300</v>
      </c>
      <c r="H10" s="5">
        <f>DATE(YEAR(Datainmatning!$B10),MONTH(Datainmatning!$B10),1)</f>
        <v>41395</v>
      </c>
      <c r="I10" s="58">
        <f>LOOKUP(MONTH(Datainmatning!$H10),{1,1;2,1;3,1;4,2;5,2;6,2;7,3;8,3;9,3;10,4;11,4;12,4})</f>
        <v>2</v>
      </c>
      <c r="J10" s="7">
        <f>YEAR(Datainmatning!$B10)</f>
        <v>2013</v>
      </c>
      <c r="K10" s="8">
        <f>MONTH(tabell_Data[[#This Row],[DATUM]])</f>
        <v>5</v>
      </c>
      <c r="L10" s="56">
        <f>SUMIFS(tabell_Data[BELOPP],tabell_Data[DATUM],"&gt;="&amp;EOMONTH(tabell_Data[[#This Row],[DATUM]],-1)+1,tabell_Data[DATUM],"&lt;="&amp;EOMONTH(tabell_Data[[#This Row],[DATUM]],0))</f>
        <v>21800</v>
      </c>
      <c r="M10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10" s="56">
        <f>SUMIFS(tabell_Data[BELOPP],tabell_Data[DATUM],"&gt;="&amp;DATE(YEAR(tabell_Data[[#This Row],[DATUM]]),1,1),tabell_Data[DATUM],"&lt;="&amp;DATE(YEAR(tabell_Data[[#This Row],[DATUM]]),12,31))</f>
        <v>143800</v>
      </c>
      <c r="O10" s="57">
        <f>IFERROR(TREND($L$6:INDEX($L:$L,ROW(),1),$K$6:INDEX($K:$K,ROW(),1),IF(MONTH(tabell_Data[[#This Row],[DATUM]])=12,13,MONTH(tabell_Data[[#This Row],[DATUM]])+1)),"")</f>
        <v>29000</v>
      </c>
      <c r="P10" s="57">
        <f>IFERROR(TREND($M$6:INDEX($M:$M,ROW(),1),$I$6:INDEX($I:$I,ROW(),1),IF(tabell_Data[[#This Row],[KVARTAL]]=4,5,tabell_Data[[#This Row],[KVARTAL]]+1)),"")</f>
        <v>50800</v>
      </c>
      <c r="Q10" s="57">
        <f>IFERROR(TREND($N$6:INDEX($N:$N,ROW(),1),$J$6:INDEX($J:$J,ROW(),1),tabell_Data[[#This Row],[ÅR]]+1),"")</f>
        <v>143800</v>
      </c>
    </row>
    <row r="11" spans="2:17" ht="17.25" customHeight="1" x14ac:dyDescent="0.2">
      <c r="B11" s="52">
        <f>40693+(365*2)</f>
        <v>41423</v>
      </c>
      <c r="C11" s="4" t="s">
        <v>5</v>
      </c>
      <c r="D11" s="54">
        <v>6200</v>
      </c>
      <c r="E11" s="54">
        <v>6000</v>
      </c>
      <c r="F11" s="54">
        <v>4500</v>
      </c>
      <c r="G11" s="55">
        <f>tabell_Data[[#This Row],[BELOPP]]-tabell_Data[[#This Row],[KOSTNAD]]</f>
        <v>1700</v>
      </c>
      <c r="H11" s="5">
        <f>DATE(YEAR(Datainmatning!$B11),MONTH(Datainmatning!$B11),1)</f>
        <v>41395</v>
      </c>
      <c r="I11" s="58">
        <f>LOOKUP(MONTH(Datainmatning!$H11),{1,1;2,1;3,1;4,2;5,2;6,2;7,3;8,3;9,3;10,4;11,4;12,4})</f>
        <v>2</v>
      </c>
      <c r="J11" s="7">
        <f>YEAR(Datainmatning!$B11)</f>
        <v>2013</v>
      </c>
      <c r="K11" s="8">
        <f>MONTH(tabell_Data[[#This Row],[DATUM]])</f>
        <v>5</v>
      </c>
      <c r="L11" s="56">
        <f>SUMIFS(tabell_Data[BELOPP],tabell_Data[DATUM],"&gt;="&amp;EOMONTH(tabell_Data[[#This Row],[DATUM]],-1)+1,tabell_Data[DATUM],"&lt;="&amp;EOMONTH(tabell_Data[[#This Row],[DATUM]],0))</f>
        <v>21800</v>
      </c>
      <c r="M11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11" s="56">
        <f>SUMIFS(tabell_Data[BELOPP],tabell_Data[DATUM],"&gt;="&amp;DATE(YEAR(tabell_Data[[#This Row],[DATUM]]),1,1),tabell_Data[DATUM],"&lt;="&amp;DATE(YEAR(tabell_Data[[#This Row],[DATUM]]),12,31))</f>
        <v>143800</v>
      </c>
      <c r="O11" s="57">
        <f>IFERROR(TREND($L$6:INDEX($L:$L,ROW(),1),$K$6:INDEX($K:$K,ROW(),1),IF(MONTH(tabell_Data[[#This Row],[DATUM]])=12,13,MONTH(tabell_Data[[#This Row],[DATUM]])+1)),"")</f>
        <v>29000</v>
      </c>
      <c r="P11" s="57">
        <f>IFERROR(TREND($M$6:INDEX($M:$M,ROW(),1),$I$6:INDEX($I:$I,ROW(),1),IF(tabell_Data[[#This Row],[KVARTAL]]=4,5,tabell_Data[[#This Row],[KVARTAL]]+1)),"")</f>
        <v>50800</v>
      </c>
      <c r="Q11" s="57">
        <f>IFERROR(TREND($N$6:INDEX($N:$N,ROW(),1),$J$6:INDEX($J:$J,ROW(),1),tabell_Data[[#This Row],[ÅR]]+1),"")</f>
        <v>143800</v>
      </c>
    </row>
    <row r="12" spans="2:17" ht="17.25" customHeight="1" x14ac:dyDescent="0.2">
      <c r="B12" s="52">
        <f>40705+(365*2)</f>
        <v>41435</v>
      </c>
      <c r="C12" s="4" t="s">
        <v>0</v>
      </c>
      <c r="D12" s="54">
        <v>6900</v>
      </c>
      <c r="E12" s="54">
        <v>7500</v>
      </c>
      <c r="F12" s="54">
        <v>5400</v>
      </c>
      <c r="G12" s="55">
        <f>tabell_Data[[#This Row],[BELOPP]]-tabell_Data[[#This Row],[KOSTNAD]]</f>
        <v>1500</v>
      </c>
      <c r="H12" s="5">
        <f>DATE(YEAR(Datainmatning!$B12),MONTH(Datainmatning!$B12),1)</f>
        <v>41426</v>
      </c>
      <c r="I12" s="58">
        <f>LOOKUP(MONTH(Datainmatning!$H12),{1,1;2,1;3,1;4,2;5,2;6,2;7,3;8,3;9,3;10,4;11,4;12,4})</f>
        <v>2</v>
      </c>
      <c r="J12" s="7">
        <f>YEAR(Datainmatning!$B12)</f>
        <v>2013</v>
      </c>
      <c r="K12" s="8">
        <f>MONTH(tabell_Data[[#This Row],[DATUM]])</f>
        <v>6</v>
      </c>
      <c r="L12" s="56">
        <f>SUMIFS(tabell_Data[BELOPP],tabell_Data[DATUM],"&gt;="&amp;EOMONTH(tabell_Data[[#This Row],[DATUM]],-1)+1,tabell_Data[DATUM],"&lt;="&amp;EOMONTH(tabell_Data[[#This Row],[DATUM]],0))</f>
        <v>14400</v>
      </c>
      <c r="M12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12" s="56">
        <f>SUMIFS(tabell_Data[BELOPP],tabell_Data[DATUM],"&gt;="&amp;DATE(YEAR(tabell_Data[[#This Row],[DATUM]]),1,1),tabell_Data[DATUM],"&lt;="&amp;DATE(YEAR(tabell_Data[[#This Row],[DATUM]]),12,31))</f>
        <v>143800</v>
      </c>
      <c r="O12" s="57">
        <f>IFERROR(TREND($L$6:INDEX($L:$L,ROW(),1),$K$6:INDEX($K:$K,ROW(),1),IF(MONTH(tabell_Data[[#This Row],[DATUM]])=12,13,MONTH(tabell_Data[[#This Row],[DATUM]])+1)),"")</f>
        <v>21600.000000000004</v>
      </c>
      <c r="P12" s="57">
        <f>IFERROR(TREND($M$6:INDEX($M:$M,ROW(),1),$I$6:INDEX($I:$I,ROW(),1),IF(tabell_Data[[#This Row],[KVARTAL]]=4,5,tabell_Data[[#This Row],[KVARTAL]]+1)),"")</f>
        <v>50800</v>
      </c>
      <c r="Q12" s="57">
        <f>IFERROR(TREND($N$6:INDEX($N:$N,ROW(),1),$J$6:INDEX($J:$J,ROW(),1),tabell_Data[[#This Row],[ÅR]]+1),"")</f>
        <v>143800</v>
      </c>
    </row>
    <row r="13" spans="2:17" ht="17.25" customHeight="1" x14ac:dyDescent="0.2">
      <c r="B13" s="52">
        <f>40716+(365*2)</f>
        <v>41446</v>
      </c>
      <c r="C13" s="4" t="s">
        <v>1</v>
      </c>
      <c r="D13" s="54">
        <v>7500</v>
      </c>
      <c r="E13" s="54">
        <v>7200</v>
      </c>
      <c r="F13" s="54">
        <v>6500</v>
      </c>
      <c r="G13" s="55">
        <f>tabell_Data[[#This Row],[BELOPP]]-tabell_Data[[#This Row],[KOSTNAD]]</f>
        <v>1000</v>
      </c>
      <c r="H13" s="5">
        <f>DATE(YEAR(Datainmatning!$B13),MONTH(Datainmatning!$B13),1)</f>
        <v>41426</v>
      </c>
      <c r="I13" s="58">
        <f>LOOKUP(MONTH(Datainmatning!$H13),{1,1;2,1;3,1;4,2;5,2;6,2;7,3;8,3;9,3;10,4;11,4;12,4})</f>
        <v>2</v>
      </c>
      <c r="J13" s="7">
        <f>YEAR(Datainmatning!$B13)</f>
        <v>2013</v>
      </c>
      <c r="K13" s="8">
        <f>MONTH(tabell_Data[[#This Row],[DATUM]])</f>
        <v>6</v>
      </c>
      <c r="L13" s="56">
        <f>SUMIFS(tabell_Data[BELOPP],tabell_Data[DATUM],"&gt;="&amp;EOMONTH(tabell_Data[[#This Row],[DATUM]],-1)+1,tabell_Data[DATUM],"&lt;="&amp;EOMONTH(tabell_Data[[#This Row],[DATUM]],0))</f>
        <v>14400</v>
      </c>
      <c r="M13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50800</v>
      </c>
      <c r="N13" s="56">
        <f>SUMIFS(tabell_Data[BELOPP],tabell_Data[DATUM],"&gt;="&amp;DATE(YEAR(tabell_Data[[#This Row],[DATUM]]),1,1),tabell_Data[DATUM],"&lt;="&amp;DATE(YEAR(tabell_Data[[#This Row],[DATUM]]),12,31))</f>
        <v>143800</v>
      </c>
      <c r="O13" s="57">
        <f>IFERROR(TREND($L$6:INDEX($L:$L,ROW(),1),$K$6:INDEX($K:$K,ROW(),1),IF(MONTH(tabell_Data[[#This Row],[DATUM]])=12,13,MONTH(tabell_Data[[#This Row],[DATUM]])+1)),"")</f>
        <v>17950</v>
      </c>
      <c r="P13" s="57">
        <f>IFERROR(TREND($M$6:INDEX($M:$M,ROW(),1),$I$6:INDEX($I:$I,ROW(),1),IF(tabell_Data[[#This Row],[KVARTAL]]=4,5,tabell_Data[[#This Row],[KVARTAL]]+1)),"")</f>
        <v>50800</v>
      </c>
      <c r="Q13" s="57">
        <f>IFERROR(TREND($N$6:INDEX($N:$N,ROW(),1),$J$6:INDEX($J:$J,ROW(),1),tabell_Data[[#This Row],[ÅR]]+1),"")</f>
        <v>143800</v>
      </c>
    </row>
    <row r="14" spans="2:17" ht="17.25" customHeight="1" x14ac:dyDescent="0.2">
      <c r="B14" s="52">
        <f>40731+(365*2)</f>
        <v>41461</v>
      </c>
      <c r="C14" s="4" t="s">
        <v>2</v>
      </c>
      <c r="D14" s="54">
        <v>8700</v>
      </c>
      <c r="E14" s="54">
        <v>8500</v>
      </c>
      <c r="F14" s="54">
        <v>7250</v>
      </c>
      <c r="G14" s="55">
        <f>tabell_Data[[#This Row],[BELOPP]]-tabell_Data[[#This Row],[KOSTNAD]]</f>
        <v>1450</v>
      </c>
      <c r="H14" s="5">
        <f>DATE(YEAR(Datainmatning!$B14),MONTH(Datainmatning!$B14),1)</f>
        <v>41456</v>
      </c>
      <c r="I14" s="58">
        <f>LOOKUP(MONTH(Datainmatning!$H14),{1,1;2,1;3,1;4,2;5,2;6,2;7,3;8,3;9,3;10,4;11,4;12,4})</f>
        <v>3</v>
      </c>
      <c r="J14" s="7">
        <f>YEAR(Datainmatning!$B14)</f>
        <v>2013</v>
      </c>
      <c r="K14" s="8">
        <f>MONTH(tabell_Data[[#This Row],[DATUM]])</f>
        <v>7</v>
      </c>
      <c r="L14" s="56">
        <f>SUMIFS(tabell_Data[BELOPP],tabell_Data[DATUM],"&gt;="&amp;EOMONTH(tabell_Data[[#This Row],[DATUM]],-1)+1,tabell_Data[DATUM],"&lt;="&amp;EOMONTH(tabell_Data[[#This Row],[DATUM]],0))</f>
        <v>8700</v>
      </c>
      <c r="M14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4" s="56">
        <f>SUMIFS(tabell_Data[BELOPP],tabell_Data[DATUM],"&gt;="&amp;DATE(YEAR(tabell_Data[[#This Row],[DATUM]]),1,1),tabell_Data[DATUM],"&lt;="&amp;DATE(YEAR(tabell_Data[[#This Row],[DATUM]]),12,31))</f>
        <v>143800</v>
      </c>
      <c r="O14" s="57">
        <f>IFERROR(TREND($L$6:INDEX($L:$L,ROW(),1),$K$6:INDEX($K:$K,ROW(),1),IF(MONTH(tabell_Data[[#This Row],[DATUM]])=12,13,MONTH(tabell_Data[[#This Row],[DATUM]])+1)),"")</f>
        <v>10776.470588235294</v>
      </c>
      <c r="P14" s="57">
        <f>IFERROR(TREND($M$6:INDEX($M:$M,ROW(),1),$I$6:INDEX($I:$I,ROW(),1),IF(tabell_Data[[#This Row],[KVARTAL]]=4,5,tabell_Data[[#This Row],[KVARTAL]]+1)),"")</f>
        <v>47400</v>
      </c>
      <c r="Q14" s="57">
        <f>IFERROR(TREND($N$6:INDEX($N:$N,ROW(),1),$J$6:INDEX($J:$J,ROW(),1),tabell_Data[[#This Row],[ÅR]]+1),"")</f>
        <v>143800</v>
      </c>
    </row>
    <row r="15" spans="2:17" ht="17.25" customHeight="1" x14ac:dyDescent="0.2">
      <c r="B15" s="52">
        <f>40761+(365*2)</f>
        <v>41491</v>
      </c>
      <c r="C15" s="4" t="s">
        <v>3</v>
      </c>
      <c r="D15" s="54">
        <v>8500</v>
      </c>
      <c r="E15" s="54">
        <v>8300</v>
      </c>
      <c r="F15" s="54">
        <v>7100</v>
      </c>
      <c r="G15" s="55">
        <f>tabell_Data[[#This Row],[BELOPP]]-tabell_Data[[#This Row],[KOSTNAD]]</f>
        <v>1400</v>
      </c>
      <c r="H15" s="5">
        <f>DATE(YEAR(Datainmatning!$B15),MONTH(Datainmatning!$B15),1)</f>
        <v>41487</v>
      </c>
      <c r="I15" s="58">
        <f>LOOKUP(MONTH(Datainmatning!$H15),{1,1;2,1;3,1;4,2;5,2;6,2;7,3;8,3;9,3;10,4;11,4;12,4})</f>
        <v>3</v>
      </c>
      <c r="J15" s="7">
        <f>YEAR(Datainmatning!$B15)</f>
        <v>2013</v>
      </c>
      <c r="K15" s="8">
        <f>MONTH(tabell_Data[[#This Row],[DATUM]])</f>
        <v>8</v>
      </c>
      <c r="L15" s="56">
        <f>SUMIFS(tabell_Data[BELOPP],tabell_Data[DATUM],"&gt;="&amp;EOMONTH(tabell_Data[[#This Row],[DATUM]],-1)+1,tabell_Data[DATUM],"&lt;="&amp;EOMONTH(tabell_Data[[#This Row],[DATUM]],0))</f>
        <v>16400</v>
      </c>
      <c r="M15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5" s="56">
        <f>SUMIFS(tabell_Data[BELOPP],tabell_Data[DATUM],"&gt;="&amp;DATE(YEAR(tabell_Data[[#This Row],[DATUM]]),1,1),tabell_Data[DATUM],"&lt;="&amp;DATE(YEAR(tabell_Data[[#This Row],[DATUM]]),12,31))</f>
        <v>143800</v>
      </c>
      <c r="O15" s="57">
        <f>IFERROR(TREND($L$6:INDEX($L:$L,ROW(),1),$K$6:INDEX($K:$K,ROW(),1),IF(MONTH(tabell_Data[[#This Row],[DATUM]])=12,13,MONTH(tabell_Data[[#This Row],[DATUM]])+1)),"")</f>
        <v>12455.862068965516</v>
      </c>
      <c r="P15" s="57">
        <f>IFERROR(TREND($M$6:INDEX($M:$M,ROW(),1),$I$6:INDEX($I:$I,ROW(),1),IF(tabell_Data[[#This Row],[KVARTAL]]=4,5,tabell_Data[[#This Row],[KVARTAL]]+1)),"")</f>
        <v>47400</v>
      </c>
      <c r="Q15" s="57">
        <f>IFERROR(TREND($N$6:INDEX($N:$N,ROW(),1),$J$6:INDEX($J:$J,ROW(),1),tabell_Data[[#This Row],[ÅR]]+1),"")</f>
        <v>143800</v>
      </c>
    </row>
    <row r="16" spans="2:17" ht="17.25" customHeight="1" x14ac:dyDescent="0.2">
      <c r="B16" s="52">
        <f>40775+(365*2)</f>
        <v>41505</v>
      </c>
      <c r="C16" s="4" t="s">
        <v>4</v>
      </c>
      <c r="D16" s="54">
        <v>7900</v>
      </c>
      <c r="E16" s="54">
        <v>7700</v>
      </c>
      <c r="F16" s="54">
        <v>6600</v>
      </c>
      <c r="G16" s="55">
        <f>tabell_Data[[#This Row],[BELOPP]]-tabell_Data[[#This Row],[KOSTNAD]]</f>
        <v>1300</v>
      </c>
      <c r="H16" s="5">
        <f>DATE(YEAR(Datainmatning!$B16),MONTH(Datainmatning!$B16),1)</f>
        <v>41487</v>
      </c>
      <c r="I16" s="58">
        <f>LOOKUP(MONTH(Datainmatning!$H16),{1,1;2,1;3,1;4,2;5,2;6,2;7,3;8,3;9,3;10,4;11,4;12,4})</f>
        <v>3</v>
      </c>
      <c r="J16" s="7">
        <f>YEAR(Datainmatning!$B16)</f>
        <v>2013</v>
      </c>
      <c r="K16" s="8">
        <f>MONTH(tabell_Data[[#This Row],[DATUM]])</f>
        <v>8</v>
      </c>
      <c r="L16" s="56">
        <f>SUMIFS(tabell_Data[BELOPP],tabell_Data[DATUM],"&gt;="&amp;EOMONTH(tabell_Data[[#This Row],[DATUM]],-1)+1,tabell_Data[DATUM],"&lt;="&amp;EOMONTH(tabell_Data[[#This Row],[DATUM]],0))</f>
        <v>16400</v>
      </c>
      <c r="M16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6" s="56">
        <f>SUMIFS(tabell_Data[BELOPP],tabell_Data[DATUM],"&gt;="&amp;DATE(YEAR(tabell_Data[[#This Row],[DATUM]]),1,1),tabell_Data[DATUM],"&lt;="&amp;DATE(YEAR(tabell_Data[[#This Row],[DATUM]]),12,31))</f>
        <v>143800</v>
      </c>
      <c r="O16" s="57">
        <f>IFERROR(TREND($L$6:INDEX($L:$L,ROW(),1),$K$6:INDEX($K:$K,ROW(),1),IF(MONTH(tabell_Data[[#This Row],[DATUM]])=12,13,MONTH(tabell_Data[[#This Row],[DATUM]])+1)),"")</f>
        <v>13667.567567567567</v>
      </c>
      <c r="P16" s="57">
        <f>IFERROR(TREND($M$6:INDEX($M:$M,ROW(),1),$I$6:INDEX($I:$I,ROW(),1),IF(tabell_Data[[#This Row],[KVARTAL]]=4,5,tabell_Data[[#This Row],[KVARTAL]]+1)),"")</f>
        <v>47400.000000000007</v>
      </c>
      <c r="Q16" s="57">
        <f>IFERROR(TREND($N$6:INDEX($N:$N,ROW(),1),$J$6:INDEX($J:$J,ROW(),1),tabell_Data[[#This Row],[ÅR]]+1),"")</f>
        <v>143800</v>
      </c>
    </row>
    <row r="17" spans="2:17" ht="17.25" customHeight="1" x14ac:dyDescent="0.2">
      <c r="B17" s="52">
        <f>40791+(365*2)</f>
        <v>41521</v>
      </c>
      <c r="C17" s="4" t="s">
        <v>5</v>
      </c>
      <c r="D17" s="54">
        <v>9100</v>
      </c>
      <c r="E17" s="54">
        <v>8900</v>
      </c>
      <c r="F17" s="54">
        <v>7900</v>
      </c>
      <c r="G17" s="55">
        <f>tabell_Data[[#This Row],[BELOPP]]-tabell_Data[[#This Row],[KOSTNAD]]</f>
        <v>1200</v>
      </c>
      <c r="H17" s="5">
        <f>DATE(YEAR(Datainmatning!$B17),MONTH(Datainmatning!$B17),1)</f>
        <v>41518</v>
      </c>
      <c r="I17" s="58">
        <f>LOOKUP(MONTH(Datainmatning!$H17),{1,1;2,1;3,1;4,2;5,2;6,2;7,3;8,3;9,3;10,4;11,4;12,4})</f>
        <v>3</v>
      </c>
      <c r="J17" s="7">
        <f>YEAR(Datainmatning!$B17)</f>
        <v>2013</v>
      </c>
      <c r="K17" s="8">
        <f>MONTH(tabell_Data[[#This Row],[DATUM]])</f>
        <v>9</v>
      </c>
      <c r="L17" s="56">
        <f>SUMIFS(tabell_Data[BELOPP],tabell_Data[DATUM],"&gt;="&amp;EOMONTH(tabell_Data[[#This Row],[DATUM]],-1)+1,tabell_Data[DATUM],"&lt;="&amp;EOMONTH(tabell_Data[[#This Row],[DATUM]],0))</f>
        <v>24000</v>
      </c>
      <c r="M17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7" s="56">
        <f>SUMIFS(tabell_Data[BELOPP],tabell_Data[DATUM],"&gt;="&amp;DATE(YEAR(tabell_Data[[#This Row],[DATUM]]),1,1),tabell_Data[DATUM],"&lt;="&amp;DATE(YEAR(tabell_Data[[#This Row],[DATUM]]),12,31))</f>
        <v>143800</v>
      </c>
      <c r="O17" s="57">
        <f>IFERROR(TREND($L$6:INDEX($L:$L,ROW(),1),$K$6:INDEX($K:$K,ROW(),1),IF(MONTH(tabell_Data[[#This Row],[DATUM]])=12,13,MONTH(tabell_Data[[#This Row],[DATUM]])+1)),"")</f>
        <v>17651.666666666668</v>
      </c>
      <c r="P17" s="57">
        <f>IFERROR(TREND($M$6:INDEX($M:$M,ROW(),1),$I$6:INDEX($I:$I,ROW(),1),IF(tabell_Data[[#This Row],[KVARTAL]]=4,5,tabell_Data[[#This Row],[KVARTAL]]+1)),"")</f>
        <v>47400</v>
      </c>
      <c r="Q17" s="57">
        <f>IFERROR(TREND($N$6:INDEX($N:$N,ROW(),1),$J$6:INDEX($J:$J,ROW(),1),tabell_Data[[#This Row],[ÅR]]+1),"")</f>
        <v>143800</v>
      </c>
    </row>
    <row r="18" spans="2:17" ht="17.25" customHeight="1" x14ac:dyDescent="0.2">
      <c r="B18" s="52">
        <f>40807+(365*2)</f>
        <v>41537</v>
      </c>
      <c r="C18" s="4" t="s">
        <v>1</v>
      </c>
      <c r="D18" s="54">
        <v>5600</v>
      </c>
      <c r="E18" s="54">
        <v>5800</v>
      </c>
      <c r="F18" s="54">
        <v>4500</v>
      </c>
      <c r="G18" s="55">
        <f>tabell_Data[[#This Row],[BELOPP]]-tabell_Data[[#This Row],[KOSTNAD]]</f>
        <v>1100</v>
      </c>
      <c r="H18" s="5">
        <f>DATE(YEAR(Datainmatning!$B18),MONTH(Datainmatning!$B18),1)</f>
        <v>41518</v>
      </c>
      <c r="I18" s="58">
        <f>LOOKUP(MONTH(Datainmatning!$H18),{1,1;2,1;3,1;4,2;5,2;6,2;7,3;8,3;9,3;10,4;11,4;12,4})</f>
        <v>3</v>
      </c>
      <c r="J18" s="7">
        <f>YEAR(Datainmatning!$B18)</f>
        <v>2013</v>
      </c>
      <c r="K18" s="8">
        <f>MONTH(tabell_Data[[#This Row],[DATUM]])</f>
        <v>9</v>
      </c>
      <c r="L18" s="56">
        <f>SUMIFS(tabell_Data[BELOPP],tabell_Data[DATUM],"&gt;="&amp;EOMONTH(tabell_Data[[#This Row],[DATUM]],-1)+1,tabell_Data[DATUM],"&lt;="&amp;EOMONTH(tabell_Data[[#This Row],[DATUM]],0))</f>
        <v>24000</v>
      </c>
      <c r="M18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8" s="56">
        <f>SUMIFS(tabell_Data[BELOPP],tabell_Data[DATUM],"&gt;="&amp;DATE(YEAR(tabell_Data[[#This Row],[DATUM]]),1,1),tabell_Data[DATUM],"&lt;="&amp;DATE(YEAR(tabell_Data[[#This Row],[DATUM]]),12,31))</f>
        <v>143800</v>
      </c>
      <c r="O18" s="57">
        <f>IFERROR(TREND($L$6:INDEX($L:$L,ROW(),1),$K$6:INDEX($K:$K,ROW(),1),IF(MONTH(tabell_Data[[#This Row],[DATUM]])=12,13,MONTH(tabell_Data[[#This Row],[DATUM]])+1)),"")</f>
        <v>19877.911646586344</v>
      </c>
      <c r="P18" s="57">
        <f>IFERROR(TREND($M$6:INDEX($M:$M,ROW(),1),$I$6:INDEX($I:$I,ROW(),1),IF(tabell_Data[[#This Row],[KVARTAL]]=4,5,tabell_Data[[#This Row],[KVARTAL]]+1)),"")</f>
        <v>47400</v>
      </c>
      <c r="Q18" s="57">
        <f>IFERROR(TREND($N$6:INDEX($N:$N,ROW(),1),$J$6:INDEX($J:$J,ROW(),1),tabell_Data[[#This Row],[ÅR]]+1),"")</f>
        <v>143800</v>
      </c>
    </row>
    <row r="19" spans="2:17" ht="17.25" customHeight="1" x14ac:dyDescent="0.2">
      <c r="B19" s="52">
        <f>40812+(365*2)</f>
        <v>41542</v>
      </c>
      <c r="C19" s="4" t="s">
        <v>2</v>
      </c>
      <c r="D19" s="54">
        <v>9300</v>
      </c>
      <c r="E19" s="54">
        <v>9100</v>
      </c>
      <c r="F19" s="54">
        <v>7500</v>
      </c>
      <c r="G19" s="55">
        <f>tabell_Data[[#This Row],[BELOPP]]-tabell_Data[[#This Row],[KOSTNAD]]</f>
        <v>1800</v>
      </c>
      <c r="H19" s="5">
        <f>DATE(YEAR(Datainmatning!$B19),MONTH(Datainmatning!$B19),1)</f>
        <v>41518</v>
      </c>
      <c r="I19" s="58">
        <f>LOOKUP(MONTH(Datainmatning!$H19),{1,1;2,1;3,1;4,2;5,2;6,2;7,3;8,3;9,3;10,4;11,4;12,4})</f>
        <v>3</v>
      </c>
      <c r="J19" s="7">
        <f>YEAR(Datainmatning!$B19)</f>
        <v>2013</v>
      </c>
      <c r="K19" s="8">
        <f>MONTH(tabell_Data[[#This Row],[DATUM]])</f>
        <v>9</v>
      </c>
      <c r="L19" s="56">
        <f>SUMIFS(tabell_Data[BELOPP],tabell_Data[DATUM],"&gt;="&amp;EOMONTH(tabell_Data[[#This Row],[DATUM]],-1)+1,tabell_Data[DATUM],"&lt;="&amp;EOMONTH(tabell_Data[[#This Row],[DATUM]],0))</f>
        <v>24000</v>
      </c>
      <c r="M19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49100</v>
      </c>
      <c r="N19" s="56">
        <f>SUMIFS(tabell_Data[BELOPP],tabell_Data[DATUM],"&gt;="&amp;DATE(YEAR(tabell_Data[[#This Row],[DATUM]]),1,1),tabell_Data[DATUM],"&lt;="&amp;DATE(YEAR(tabell_Data[[#This Row],[DATUM]]),12,31))</f>
        <v>143800</v>
      </c>
      <c r="O19" s="57">
        <f>IFERROR(TREND($L$6:INDEX($L:$L,ROW(),1),$K$6:INDEX($K:$K,ROW(),1),IF(MONTH(tabell_Data[[#This Row],[DATUM]])=12,13,MONTH(tabell_Data[[#This Row],[DATUM]])+1)),"")</f>
        <v>21138.050314465407</v>
      </c>
      <c r="P19" s="57">
        <f>IFERROR(TREND($M$6:INDEX($M:$M,ROW(),1),$I$6:INDEX($I:$I,ROW(),1),IF(tabell_Data[[#This Row],[KVARTAL]]=4,5,tabell_Data[[#This Row],[KVARTAL]]+1)),"")</f>
        <v>47400</v>
      </c>
      <c r="Q19" s="57">
        <f>IFERROR(TREND($N$6:INDEX($N:$N,ROW(),1),$J$6:INDEX($J:$J,ROW(),1),tabell_Data[[#This Row],[ÅR]]+1),"")</f>
        <v>143800</v>
      </c>
    </row>
    <row r="20" spans="2:17" ht="17.25" customHeight="1" x14ac:dyDescent="0.2">
      <c r="B20" s="52">
        <f>40832+(365*2)</f>
        <v>41562</v>
      </c>
      <c r="C20" s="4" t="s">
        <v>3</v>
      </c>
      <c r="D20" s="54">
        <v>8800</v>
      </c>
      <c r="E20" s="54">
        <v>9350</v>
      </c>
      <c r="F20" s="54">
        <v>7100</v>
      </c>
      <c r="G20" s="55">
        <f>tabell_Data[[#This Row],[BELOPP]]-tabell_Data[[#This Row],[KOSTNAD]]</f>
        <v>1700</v>
      </c>
      <c r="H20" s="5">
        <f>DATE(YEAR(Datainmatning!$B20),MONTH(Datainmatning!$B20),1)</f>
        <v>41548</v>
      </c>
      <c r="I20" s="58">
        <f>LOOKUP(MONTH(Datainmatning!$H20),{1,1;2,1;3,1;4,2;5,2;6,2;7,3;8,3;9,3;10,4;11,4;12,4})</f>
        <v>4</v>
      </c>
      <c r="J20" s="7">
        <f>YEAR(Datainmatning!$B20)</f>
        <v>2013</v>
      </c>
      <c r="K20" s="8">
        <f>MONTH(tabell_Data[[#This Row],[DATUM]])</f>
        <v>10</v>
      </c>
      <c r="L20" s="56">
        <f>SUMIFS(tabell_Data[BELOPP],tabell_Data[DATUM],"&gt;="&amp;EOMONTH(tabell_Data[[#This Row],[DATUM]],-1)+1,tabell_Data[DATUM],"&lt;="&amp;EOMONTH(tabell_Data[[#This Row],[DATUM]],0))</f>
        <v>8800</v>
      </c>
      <c r="M20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43900</v>
      </c>
      <c r="N20" s="56">
        <f>SUMIFS(tabell_Data[BELOPP],tabell_Data[DATUM],"&gt;="&amp;DATE(YEAR(tabell_Data[[#This Row],[DATUM]]),1,1),tabell_Data[DATUM],"&lt;="&amp;DATE(YEAR(tabell_Data[[#This Row],[DATUM]]),12,31))</f>
        <v>143800</v>
      </c>
      <c r="O20" s="57">
        <f>IFERROR(TREND($L$6:INDEX($L:$L,ROW(),1),$K$6:INDEX($K:$K,ROW(),1),IF(MONTH(tabell_Data[[#This Row],[DATUM]])=12,13,MONTH(tabell_Data[[#This Row],[DATUM]])+1)),"")</f>
        <v>17951.744186046511</v>
      </c>
      <c r="P20" s="57">
        <f>IFERROR(TREND($M$6:INDEX($M:$M,ROW(),1),$I$6:INDEX($I:$I,ROW(),1),IF(tabell_Data[[#This Row],[KVARTAL]]=4,5,tabell_Data[[#This Row],[KVARTAL]]+1)),"")</f>
        <v>43258.139534883725</v>
      </c>
      <c r="Q20" s="57">
        <f>IFERROR(TREND($N$6:INDEX($N:$N,ROW(),1),$J$6:INDEX($J:$J,ROW(),1),tabell_Data[[#This Row],[ÅR]]+1),"")</f>
        <v>143800</v>
      </c>
    </row>
    <row r="21" spans="2:17" ht="17.25" customHeight="1" x14ac:dyDescent="0.2">
      <c r="B21" s="52">
        <f>40853+(365*2)</f>
        <v>41583</v>
      </c>
      <c r="C21" s="4" t="s">
        <v>4</v>
      </c>
      <c r="D21" s="54">
        <v>9100</v>
      </c>
      <c r="E21" s="54">
        <v>9200</v>
      </c>
      <c r="F21" s="54">
        <v>7850</v>
      </c>
      <c r="G21" s="55">
        <f>tabell_Data[[#This Row],[BELOPP]]-tabell_Data[[#This Row],[KOSTNAD]]</f>
        <v>1250</v>
      </c>
      <c r="H21" s="5">
        <f>DATE(YEAR(Datainmatning!$B21),MONTH(Datainmatning!$B21),1)</f>
        <v>41579</v>
      </c>
      <c r="I21" s="58">
        <f>LOOKUP(MONTH(Datainmatning!$H21),{1,1;2,1;3,1;4,2;5,2;6,2;7,3;8,3;9,3;10,4;11,4;12,4})</f>
        <v>4</v>
      </c>
      <c r="J21" s="7">
        <f>YEAR(Datainmatning!$B21)</f>
        <v>2013</v>
      </c>
      <c r="K21" s="8">
        <f>MONTH(tabell_Data[[#This Row],[DATUM]])</f>
        <v>11</v>
      </c>
      <c r="L21" s="56">
        <f>SUMIFS(tabell_Data[BELOPP],tabell_Data[DATUM],"&gt;="&amp;EOMONTH(tabell_Data[[#This Row],[DATUM]],-1)+1,tabell_Data[DATUM],"&lt;="&amp;EOMONTH(tabell_Data[[#This Row],[DATUM]],0))</f>
        <v>25600</v>
      </c>
      <c r="M21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43900</v>
      </c>
      <c r="N21" s="56">
        <f>SUMIFS(tabell_Data[BELOPP],tabell_Data[DATUM],"&gt;="&amp;DATE(YEAR(tabell_Data[[#This Row],[DATUM]]),1,1),tabell_Data[DATUM],"&lt;="&amp;DATE(YEAR(tabell_Data[[#This Row],[DATUM]]),12,31))</f>
        <v>143800</v>
      </c>
      <c r="O21" s="57">
        <f>IFERROR(TREND($L$6:INDEX($L:$L,ROW(),1),$K$6:INDEX($K:$K,ROW(),1),IF(MONTH(tabell_Data[[#This Row],[DATUM]])=12,13,MONTH(tabell_Data[[#This Row],[DATUM]])+1)),"")</f>
        <v>20556.130108423687</v>
      </c>
      <c r="P21" s="57">
        <f>IFERROR(TREND($M$6:INDEX($M:$M,ROW(),1),$I$6:INDEX($I:$I,ROW(),1),IF(tabell_Data[[#This Row],[KVARTAL]]=4,5,tabell_Data[[#This Row],[KVARTAL]]+1)),"")</f>
        <v>42312.903225806447</v>
      </c>
      <c r="Q21" s="57">
        <f>IFERROR(TREND($N$6:INDEX($N:$N,ROW(),1),$J$6:INDEX($J:$J,ROW(),1),tabell_Data[[#This Row],[ÅR]]+1),"")</f>
        <v>143800</v>
      </c>
    </row>
    <row r="22" spans="2:17" ht="17.25" customHeight="1" x14ac:dyDescent="0.2">
      <c r="B22" s="52">
        <f>40874+(365*2)</f>
        <v>41604</v>
      </c>
      <c r="C22" s="4" t="s">
        <v>5</v>
      </c>
      <c r="D22" s="54">
        <v>9000</v>
      </c>
      <c r="E22" s="54">
        <v>10000</v>
      </c>
      <c r="F22" s="54">
        <v>7575</v>
      </c>
      <c r="G22" s="55">
        <f>tabell_Data[[#This Row],[BELOPP]]-tabell_Data[[#This Row],[KOSTNAD]]</f>
        <v>1425</v>
      </c>
      <c r="H22" s="5">
        <f>DATE(YEAR(Datainmatning!$B22),MONTH(Datainmatning!$B22),1)</f>
        <v>41579</v>
      </c>
      <c r="I22" s="58">
        <f>LOOKUP(MONTH(Datainmatning!$H22),{1,1;2,1;3,1;4,2;5,2;6,2;7,3;8,3;9,3;10,4;11,4;12,4})</f>
        <v>4</v>
      </c>
      <c r="J22" s="7">
        <f>YEAR(Datainmatning!$B22)</f>
        <v>2013</v>
      </c>
      <c r="K22" s="8">
        <f>MONTH(tabell_Data[[#This Row],[DATUM]])</f>
        <v>11</v>
      </c>
      <c r="L22" s="56">
        <f>SUMIFS(tabell_Data[BELOPP],tabell_Data[DATUM],"&gt;="&amp;EOMONTH(tabell_Data[[#This Row],[DATUM]],-1)+1,tabell_Data[DATUM],"&lt;="&amp;EOMONTH(tabell_Data[[#This Row],[DATUM]],0))</f>
        <v>25600</v>
      </c>
      <c r="M22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43900</v>
      </c>
      <c r="N22" s="56">
        <f>SUMIFS(tabell_Data[BELOPP],tabell_Data[DATUM],"&gt;="&amp;DATE(YEAR(tabell_Data[[#This Row],[DATUM]]),1,1),tabell_Data[DATUM],"&lt;="&amp;DATE(YEAR(tabell_Data[[#This Row],[DATUM]]),12,31))</f>
        <v>143800</v>
      </c>
      <c r="O22" s="57">
        <f>IFERROR(TREND($L$6:INDEX($L:$L,ROW(),1),$K$6:INDEX($K:$K,ROW(),1),IF(MONTH(tabell_Data[[#This Row],[DATUM]])=12,13,MONTH(tabell_Data[[#This Row],[DATUM]])+1)),"")</f>
        <v>21997.139141742522</v>
      </c>
      <c r="P22" s="57">
        <f>IFERROR(TREND($M$6:INDEX($M:$M,ROW(),1),$I$6:INDEX($I:$I,ROW(),1),IF(tabell_Data[[#This Row],[KVARTAL]]=4,5,tabell_Data[[#This Row],[KVARTAL]]+1)),"")</f>
        <v>41811.111111111109</v>
      </c>
      <c r="Q22" s="57">
        <f>IFERROR(TREND($N$6:INDEX($N:$N,ROW(),1),$J$6:INDEX($J:$J,ROW(),1),tabell_Data[[#This Row],[ÅR]]+1),"")</f>
        <v>143800</v>
      </c>
    </row>
    <row r="23" spans="2:17" ht="17.25" customHeight="1" x14ac:dyDescent="0.2">
      <c r="B23" s="52">
        <f>40878+(365*2)</f>
        <v>41608</v>
      </c>
      <c r="C23" s="4" t="s">
        <v>5</v>
      </c>
      <c r="D23" s="54">
        <v>7500</v>
      </c>
      <c r="E23" s="54">
        <v>8000</v>
      </c>
      <c r="F23" s="54">
        <v>5850</v>
      </c>
      <c r="G23" s="55">
        <f>tabell_Data[[#This Row],[BELOPP]]-tabell_Data[[#This Row],[KOSTNAD]]</f>
        <v>1650</v>
      </c>
      <c r="H23" s="5">
        <f>DATE(YEAR(Datainmatning!$B23),MONTH(Datainmatning!$B23),1)</f>
        <v>41579</v>
      </c>
      <c r="I23" s="58">
        <f>LOOKUP(MONTH(Datainmatning!$H23),{1,1;2,1;3,1;4,2;5,2;6,2;7,3;8,3;9,3;10,4;11,4;12,4})</f>
        <v>4</v>
      </c>
      <c r="J23" s="7">
        <f>YEAR(Datainmatning!$B23)</f>
        <v>2013</v>
      </c>
      <c r="K23" s="8">
        <f>MONTH(tabell_Data[[#This Row],[DATUM]])</f>
        <v>11</v>
      </c>
      <c r="L23" s="56">
        <f>SUMIFS(tabell_Data[BELOPP],tabell_Data[DATUM],"&gt;="&amp;EOMONTH(tabell_Data[[#This Row],[DATUM]],-1)+1,tabell_Data[DATUM],"&lt;="&amp;EOMONTH(tabell_Data[[#This Row],[DATUM]],0))</f>
        <v>25600</v>
      </c>
      <c r="M23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43900</v>
      </c>
      <c r="N23" s="56">
        <f>SUMIFS(tabell_Data[BELOPP],tabell_Data[DATUM],"&gt;="&amp;DATE(YEAR(tabell_Data[[#This Row],[DATUM]]),1,1),tabell_Data[DATUM],"&lt;="&amp;DATE(YEAR(tabell_Data[[#This Row],[DATUM]]),12,31))</f>
        <v>143800</v>
      </c>
      <c r="O23" s="57">
        <f>IFERROR(TREND($L$6:INDEX($L:$L,ROW(),1),$K$6:INDEX($K:$K,ROW(),1),IF(MONTH(tabell_Data[[#This Row],[DATUM]])=12,13,MONTH(tabell_Data[[#This Row],[DATUM]])+1)),"")</f>
        <v>22917.634523175278</v>
      </c>
      <c r="P23" s="57">
        <f>IFERROR(TREND($M$6:INDEX($M:$M,ROW(),1),$I$6:INDEX($I:$I,ROW(),1),IF(tabell_Data[[#This Row],[KVARTAL]]=4,5,tabell_Data[[#This Row],[KVARTAL]]+1)),"")</f>
        <v>41500</v>
      </c>
      <c r="Q23" s="57">
        <f>IFERROR(TREND($N$6:INDEX($N:$N,ROW(),1),$J$6:INDEX($J:$J,ROW(),1),tabell_Data[[#This Row],[ÅR]]+1),"")</f>
        <v>143800</v>
      </c>
    </row>
    <row r="24" spans="2:17" ht="17.25" customHeight="1" x14ac:dyDescent="0.2">
      <c r="B24" s="52">
        <f>40889+(365*2)</f>
        <v>41619</v>
      </c>
      <c r="C24" s="4" t="s">
        <v>1</v>
      </c>
      <c r="D24" s="54">
        <v>9500</v>
      </c>
      <c r="E24" s="54">
        <v>9200</v>
      </c>
      <c r="F24" s="54">
        <v>8500</v>
      </c>
      <c r="G24" s="55">
        <f>tabell_Data[[#This Row],[BELOPP]]-tabell_Data[[#This Row],[KOSTNAD]]</f>
        <v>1000</v>
      </c>
      <c r="H24" s="5">
        <f>DATE(YEAR(Datainmatning!$B24),MONTH(Datainmatning!$B24),1)</f>
        <v>41609</v>
      </c>
      <c r="I24" s="58">
        <f>LOOKUP(MONTH(Datainmatning!$H24),{1,1;2,1;3,1;4,2;5,2;6,2;7,3;8,3;9,3;10,4;11,4;12,4})</f>
        <v>4</v>
      </c>
      <c r="J24" s="7">
        <f>YEAR(Datainmatning!$B24)</f>
        <v>2013</v>
      </c>
      <c r="K24" s="8">
        <f>MONTH(tabell_Data[[#This Row],[DATUM]])</f>
        <v>12</v>
      </c>
      <c r="L24" s="56">
        <f>SUMIFS(tabell_Data[BELOPP],tabell_Data[DATUM],"&gt;="&amp;EOMONTH(tabell_Data[[#This Row],[DATUM]],-1)+1,tabell_Data[DATUM],"&lt;="&amp;EOMONTH(tabell_Data[[#This Row],[DATUM]],0))</f>
        <v>9500</v>
      </c>
      <c r="M24" s="56">
        <f>SUMIFS(tabell_Data[BELOPP],tabell_Data[DATUM],"&gt;="&amp;DATE(YEAR(tabell_Data[[#This Row],[DATUM]]),1,1),tabell_Data[DATUM],"&lt;="&amp;DATE(YEAR(tabell_Data[[#This Row],[DATUM]]),12,31),tabell_Data[KVARTAL],tabell_Data[[#This Row],[KVARTAL]])</f>
        <v>43900</v>
      </c>
      <c r="N24" s="56">
        <f>SUMIFS(tabell_Data[BELOPP],tabell_Data[DATUM],"&gt;="&amp;DATE(YEAR(tabell_Data[[#This Row],[DATUM]]),1,1),tabell_Data[DATUM],"&lt;="&amp;DATE(YEAR(tabell_Data[[#This Row],[DATUM]]),12,31))</f>
        <v>143800</v>
      </c>
      <c r="O24" s="57">
        <f>IFERROR(TREND($L$6:INDEX($L:$L,ROW(),1),$K$6:INDEX($K:$K,ROW(),1),IF(MONTH(tabell_Data[[#This Row],[DATUM]])=12,13,MONTH(tabell_Data[[#This Row],[DATUM]])+1)),"")</f>
        <v>20504.314720812181</v>
      </c>
      <c r="P24" s="57">
        <f>IFERROR(TREND($M$6:INDEX($M:$M,ROW(),1),$I$6:INDEX($I:$I,ROW(),1),IF(tabell_Data[[#This Row],[KVARTAL]]=4,5,tabell_Data[[#This Row],[KVARTAL]]+1)),"")</f>
        <v>41288.23529411765</v>
      </c>
      <c r="Q24" s="57">
        <f>IFERROR(TREND($N$6:INDEX($N:$N,ROW(),1),$J$6:INDEX($J:$J,ROW(),1),tabell_Data[[#This Row],[ÅR]]+1),"")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29"/>
  <sheetViews>
    <sheetView showGridLines="0" zoomScaleNormal="100" workbookViewId="0"/>
  </sheetViews>
  <sheetFormatPr defaultRowHeight="17.25" customHeight="1" x14ac:dyDescent="0.2"/>
  <cols>
    <col min="1" max="1" width="2" style="31" customWidth="1"/>
    <col min="2" max="3" width="16.6640625" style="28" customWidth="1"/>
    <col min="4" max="4" width="16.6640625" style="29" customWidth="1"/>
    <col min="5" max="5" width="39.33203125" style="29" customWidth="1"/>
    <col min="6" max="6" width="27" style="30" customWidth="1"/>
    <col min="7" max="16384" width="9.33203125" style="31"/>
  </cols>
  <sheetData>
    <row r="1" spans="1:6" s="27" customFormat="1" ht="11.25" customHeight="1" x14ac:dyDescent="0.2">
      <c r="B1" s="28"/>
      <c r="C1" s="28"/>
      <c r="D1" s="29"/>
      <c r="E1" s="29"/>
      <c r="F1" s="30"/>
    </row>
    <row r="2" spans="1:6" customFormat="1" ht="33.75" x14ac:dyDescent="0.2">
      <c r="B2" s="2" t="s">
        <v>51</v>
      </c>
    </row>
    <row r="3" spans="1:6" ht="17.25" customHeight="1" x14ac:dyDescent="0.2">
      <c r="A3" s="27"/>
    </row>
    <row r="4" spans="1:6" ht="17.25" customHeight="1" x14ac:dyDescent="0.2">
      <c r="A4" s="27"/>
    </row>
    <row r="5" spans="1:6" ht="12.75" x14ac:dyDescent="0.2">
      <c r="B5" s="63" t="s">
        <v>19</v>
      </c>
      <c r="C5" s="53" t="s">
        <v>18</v>
      </c>
      <c r="D5" s="53" t="s">
        <v>17</v>
      </c>
      <c r="E5" s="53" t="s">
        <v>12</v>
      </c>
      <c r="F5" s="67" t="s">
        <v>52</v>
      </c>
    </row>
    <row r="6" spans="1:6" ht="17.25" customHeight="1" x14ac:dyDescent="0.2">
      <c r="B6" s="36">
        <v>2013</v>
      </c>
      <c r="C6" s="62">
        <v>2</v>
      </c>
      <c r="D6" s="66">
        <v>41365</v>
      </c>
      <c r="E6" t="s">
        <v>0</v>
      </c>
      <c r="F6" s="60">
        <v>6400</v>
      </c>
    </row>
    <row r="7" spans="1:6" ht="17.25" customHeight="1" x14ac:dyDescent="0.2">
      <c r="B7" s="33"/>
      <c r="C7" s="33"/>
      <c r="D7"/>
      <c r="E7" t="s">
        <v>1</v>
      </c>
      <c r="F7" s="60">
        <v>8200</v>
      </c>
    </row>
    <row r="8" spans="1:6" ht="17.25" customHeight="1" x14ac:dyDescent="0.2">
      <c r="B8" s="33"/>
      <c r="C8" s="33"/>
      <c r="D8" s="66">
        <v>41395</v>
      </c>
      <c r="E8" t="s">
        <v>2</v>
      </c>
      <c r="F8" s="60">
        <v>4400</v>
      </c>
    </row>
    <row r="9" spans="1:6" ht="17.25" customHeight="1" x14ac:dyDescent="0.2">
      <c r="B9" s="33"/>
      <c r="C9" s="33"/>
      <c r="D9"/>
      <c r="E9" t="s">
        <v>3</v>
      </c>
      <c r="F9" s="60">
        <v>5400</v>
      </c>
    </row>
    <row r="10" spans="1:6" ht="17.25" customHeight="1" x14ac:dyDescent="0.2">
      <c r="B10" s="33"/>
      <c r="C10" s="33"/>
      <c r="D10"/>
      <c r="E10" t="s">
        <v>4</v>
      </c>
      <c r="F10" s="60">
        <v>5800</v>
      </c>
    </row>
    <row r="11" spans="1:6" ht="17.25" customHeight="1" x14ac:dyDescent="0.2">
      <c r="B11" s="33"/>
      <c r="C11" s="33"/>
      <c r="D11"/>
      <c r="E11" t="s">
        <v>5</v>
      </c>
      <c r="F11" s="60">
        <v>6200</v>
      </c>
    </row>
    <row r="12" spans="1:6" ht="17.25" customHeight="1" x14ac:dyDescent="0.2">
      <c r="B12" s="33"/>
      <c r="C12" s="33"/>
      <c r="D12" s="66">
        <v>41426</v>
      </c>
      <c r="E12" t="s">
        <v>0</v>
      </c>
      <c r="F12" s="60">
        <v>6900</v>
      </c>
    </row>
    <row r="13" spans="1:6" ht="17.25" customHeight="1" x14ac:dyDescent="0.2">
      <c r="B13" s="33"/>
      <c r="C13" s="33"/>
      <c r="D13"/>
      <c r="E13" t="s">
        <v>1</v>
      </c>
      <c r="F13" s="60">
        <v>7500</v>
      </c>
    </row>
    <row r="14" spans="1:6" ht="17.25" customHeight="1" x14ac:dyDescent="0.2">
      <c r="B14" s="33"/>
      <c r="C14" s="59" t="s">
        <v>53</v>
      </c>
      <c r="D14"/>
      <c r="E14"/>
      <c r="F14" s="60">
        <v>50800</v>
      </c>
    </row>
    <row r="15" spans="1:6" ht="17.25" customHeight="1" x14ac:dyDescent="0.2">
      <c r="B15" s="33"/>
      <c r="C15" s="62">
        <v>3</v>
      </c>
      <c r="D15" s="66">
        <v>41456</v>
      </c>
      <c r="E15" t="s">
        <v>2</v>
      </c>
      <c r="F15" s="60">
        <v>8700</v>
      </c>
    </row>
    <row r="16" spans="1:6" ht="17.25" customHeight="1" x14ac:dyDescent="0.2">
      <c r="B16" s="33"/>
      <c r="C16" s="33"/>
      <c r="D16" s="66">
        <v>41487</v>
      </c>
      <c r="E16" t="s">
        <v>3</v>
      </c>
      <c r="F16" s="60">
        <v>8500</v>
      </c>
    </row>
    <row r="17" spans="2:6" ht="17.25" customHeight="1" x14ac:dyDescent="0.2">
      <c r="B17" s="33"/>
      <c r="C17" s="33"/>
      <c r="D17"/>
      <c r="E17" t="s">
        <v>4</v>
      </c>
      <c r="F17" s="60">
        <v>7900</v>
      </c>
    </row>
    <row r="18" spans="2:6" ht="17.25" customHeight="1" x14ac:dyDescent="0.2">
      <c r="B18" s="33"/>
      <c r="C18" s="33"/>
      <c r="D18" s="66">
        <v>41518</v>
      </c>
      <c r="E18" t="s">
        <v>2</v>
      </c>
      <c r="F18" s="60">
        <v>9300</v>
      </c>
    </row>
    <row r="19" spans="2:6" ht="17.25" customHeight="1" x14ac:dyDescent="0.2">
      <c r="B19" s="33"/>
      <c r="C19" s="33"/>
      <c r="D19"/>
      <c r="E19" t="s">
        <v>1</v>
      </c>
      <c r="F19" s="60">
        <v>5600</v>
      </c>
    </row>
    <row r="20" spans="2:6" ht="17.25" customHeight="1" x14ac:dyDescent="0.2">
      <c r="B20" s="33"/>
      <c r="C20" s="33"/>
      <c r="D20"/>
      <c r="E20" t="s">
        <v>5</v>
      </c>
      <c r="F20" s="60">
        <v>9100</v>
      </c>
    </row>
    <row r="21" spans="2:6" ht="17.25" customHeight="1" x14ac:dyDescent="0.2">
      <c r="B21" s="33"/>
      <c r="C21" s="59" t="s">
        <v>54</v>
      </c>
      <c r="D21"/>
      <c r="E21"/>
      <c r="F21" s="60">
        <v>49100</v>
      </c>
    </row>
    <row r="22" spans="2:6" ht="17.25" customHeight="1" x14ac:dyDescent="0.2">
      <c r="B22" s="33"/>
      <c r="C22" s="62">
        <v>4</v>
      </c>
      <c r="D22" s="66">
        <v>41548</v>
      </c>
      <c r="E22" t="s">
        <v>3</v>
      </c>
      <c r="F22" s="60">
        <v>8800</v>
      </c>
    </row>
    <row r="23" spans="2:6" ht="17.25" customHeight="1" x14ac:dyDescent="0.2">
      <c r="B23" s="33"/>
      <c r="C23" s="33"/>
      <c r="D23" s="66">
        <v>41579</v>
      </c>
      <c r="E23" t="s">
        <v>4</v>
      </c>
      <c r="F23" s="60">
        <v>9100</v>
      </c>
    </row>
    <row r="24" spans="2:6" ht="11.25" x14ac:dyDescent="0.2">
      <c r="B24" s="33"/>
      <c r="C24" s="33"/>
      <c r="D24"/>
      <c r="E24" t="s">
        <v>5</v>
      </c>
      <c r="F24" s="60">
        <v>16500</v>
      </c>
    </row>
    <row r="25" spans="2:6" ht="17.25" customHeight="1" x14ac:dyDescent="0.2">
      <c r="B25" s="33"/>
      <c r="C25" s="33"/>
      <c r="D25" s="66">
        <v>41609</v>
      </c>
      <c r="E25" t="s">
        <v>1</v>
      </c>
      <c r="F25" s="60">
        <v>9500</v>
      </c>
    </row>
    <row r="26" spans="2:6" ht="17.25" customHeight="1" x14ac:dyDescent="0.2">
      <c r="B26" s="33"/>
      <c r="C26" s="59" t="s">
        <v>55</v>
      </c>
      <c r="D26"/>
      <c r="E26"/>
      <c r="F26" s="60">
        <v>43900</v>
      </c>
    </row>
    <row r="27" spans="2:6" ht="11.25" x14ac:dyDescent="0.2">
      <c r="B27" s="35" t="s">
        <v>8</v>
      </c>
      <c r="C27" s="32"/>
      <c r="D27" s="32"/>
      <c r="E27" s="32"/>
      <c r="F27" s="61">
        <v>143800</v>
      </c>
    </row>
    <row r="28" spans="2:6" ht="11.25" x14ac:dyDescent="0.2">
      <c r="B28" s="34" t="s">
        <v>9</v>
      </c>
      <c r="C28"/>
      <c r="D28"/>
      <c r="E28"/>
      <c r="F28" s="60">
        <v>143800</v>
      </c>
    </row>
    <row r="29" spans="2:6" ht="17.25" customHeight="1" x14ac:dyDescent="0.2">
      <c r="B29"/>
      <c r="C29"/>
      <c r="D29"/>
      <c r="E29"/>
      <c r="F29"/>
    </row>
  </sheetData>
  <conditionalFormatting sqref="E1:E4 E30:E1048553">
    <cfRule type="expression" dxfId="27" priority="4">
      <formula>(LEN($E1)&gt;0)*(LEN($D2)&gt;0)</formula>
    </cfRule>
  </conditionalFormatting>
  <conditionalFormatting sqref="D1:D5 D26:D1048576 F30:F1048576">
    <cfRule type="expression" dxfId="26" priority="3">
      <formula>(LEN($D1)&gt;0)*(LEN($C1)=0)</formula>
    </cfRule>
  </conditionalFormatting>
  <conditionalFormatting sqref="F1:F5">
    <cfRule type="expression" dxfId="25" priority="1">
      <formula>(LEN($D1)&gt;0)*(LEN($C1)=0)</formula>
    </cfRule>
  </conditionalFormatting>
  <conditionalFormatting sqref="E1048554:E1048576">
    <cfRule type="expression" dxfId="24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8.1640625" customWidth="1"/>
    <col min="3" max="6" width="16" customWidth="1"/>
    <col min="7" max="7" width="28.33203125" bestFit="1" customWidth="1"/>
    <col min="8" max="8" width="30.6640625" bestFit="1" customWidth="1"/>
    <col min="9" max="9" width="27.6640625" bestFit="1" customWidth="1"/>
    <col min="10" max="10" width="17" bestFit="1" customWidth="1"/>
  </cols>
  <sheetData>
    <row r="2" spans="2:10" ht="33.75" x14ac:dyDescent="0.2">
      <c r="B2" s="2" t="s">
        <v>27</v>
      </c>
    </row>
    <row r="3" spans="2:10" ht="27.75" customHeight="1" x14ac:dyDescent="0.2">
      <c r="B3" s="20" t="str">
        <f ca="1">"DAGENS DATUM: "&amp;UPPER(TEXT(TODAY(),"d MMM åååå"))</f>
        <v>DAGENS DATUM: 12 SEP 2012</v>
      </c>
      <c r="D3" s="22">
        <f ca="1">--TRIM(RIGHT(B3,LEN(B3)-FIND(":",B3)))</f>
        <v>41164</v>
      </c>
    </row>
    <row r="4" spans="2:10" ht="15" customHeight="1" x14ac:dyDescent="0.2"/>
    <row r="5" spans="2:10" ht="18.75" customHeight="1" x14ac:dyDescent="0.2">
      <c r="B5" s="50" t="s">
        <v>28</v>
      </c>
      <c r="C5" s="49" t="s">
        <v>29</v>
      </c>
      <c r="D5" s="49" t="s">
        <v>30</v>
      </c>
      <c r="E5" s="49" t="s">
        <v>31</v>
      </c>
      <c r="F5" s="49" t="s">
        <v>6</v>
      </c>
      <c r="G5" s="49" t="s">
        <v>32</v>
      </c>
      <c r="H5" s="49" t="s">
        <v>33</v>
      </c>
      <c r="I5" s="49" t="s">
        <v>34</v>
      </c>
      <c r="J5" s="38" t="s">
        <v>35</v>
      </c>
    </row>
    <row r="6" spans="2:10" s="3" customFormat="1" ht="15" customHeight="1" x14ac:dyDescent="0.2">
      <c r="B6" s="9" t="s">
        <v>36</v>
      </c>
      <c r="C6" s="44">
        <f ca="1">COUNTIF(Datainmatning!$B$6:$B$24,"&gt;="&amp;DATE(fÅr,MONTH(fDatum),1))-COUNTIF(Datainmatning!$B$6:$B$24,"&gt;"&amp;EOMONTH(fDatum,0))</f>
        <v>0</v>
      </c>
      <c r="D6" s="48"/>
      <c r="E6" s="11"/>
      <c r="F6" s="12"/>
      <c r="G6" s="44">
        <f ca="1">COUNTIF(tabell_Data[DATUM],"&lt;="&amp;EOMONTH(fDatum,0))</f>
        <v>0</v>
      </c>
      <c r="H6" s="10"/>
      <c r="I6" s="10"/>
      <c r="J6" s="13"/>
    </row>
    <row r="7" spans="2:10" s="3" customFormat="1" ht="15" customHeight="1" x14ac:dyDescent="0.2">
      <c r="B7" s="14" t="s">
        <v>37</v>
      </c>
      <c r="C7" s="64">
        <f ca="1">SUMIF(tabell_Data[DATUM],"&gt;="&amp;DATE(fÅr,MONTH(fDatum),1),tabell_Data[BELOPP])-SUMIF(tabell_Data[DATUM],"&gt;"&amp;EOMONTH(fDatum,0),tabell_Data[BELOPP])</f>
        <v>0</v>
      </c>
      <c r="D7" s="64">
        <f ca="1">SUMIF(Datainmatning!$B$6:$B$24,"&gt;="&amp;DATE(fÅr,MONTH(fDatum),1),Datainmatning!$E$6:$E$24)-SUMIF(Datainmatning!$B$6:$B$24,"&gt;"&amp;EOMONTH(fDatum,0),Datainmatning!$E$6:$E$24)</f>
        <v>0</v>
      </c>
      <c r="E7" s="64">
        <f ca="1">D7-C7</f>
        <v>0</v>
      </c>
      <c r="F7" s="46" t="str">
        <f ca="1">IFERROR(D7/C7,"-")</f>
        <v>-</v>
      </c>
      <c r="G7" s="64">
        <f ca="1">SUMIF(tabell_Data[DATUM],"&lt;="&amp;EOMONTH(fDatum,0),tabell_Data[BELOPP])</f>
        <v>0</v>
      </c>
      <c r="H7" s="64">
        <f ca="1">SUMIF(tabell_Data[DATUM],"&lt;="&amp;EOMONTH(fDatum,0),tabell_Data[PLANERAT])</f>
        <v>0</v>
      </c>
      <c r="I7" s="64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38</v>
      </c>
      <c r="C8" s="64">
        <f ca="1">(SUMIF(tabell_Data[DATUM],"&gt;="&amp;DATE(fÅr,MONTH(fDatum),1),tabell_Data[BELOPP])-SUMIF(tabell_Data[DATUM],"&gt;"&amp;EOMONTH(fDatum,0),tabell_Data[BELOPP]))-(SUMIF(tabell_Data[DATUM],"&gt;="&amp;DATE(fÅr,MONTH(fDatum),1),tabell_Data[KOSTNAD])-SUMIF(tabell_Data[DATUM],"&gt;"&amp;EOMONTH(fDatum,0),tabell_Data[KOSTNAD]))</f>
        <v>0</v>
      </c>
      <c r="D8" s="64">
        <f ca="1">(SUMIF(Datainmatning!$B$6:$B$24,"&gt;="&amp;DATE(fÅr,MONTH(fDatum),1),Datainmatning!$E$6:$E$24)-SUMIF(Datainmatning!$B$6:$B$24,"&gt;"&amp;EOMONTH(fDatum,0),Datainmatning!$E$6:$E$24))-(SUMIF(Datainmatning!$B$6:$B$24,"&gt;="&amp;DATE(fÅr,MONTH(fDatum),1),Datainmatning!$F$6:$F$24)-SUMIF(Datainmatning!$B$6:$B$24,"&gt;"&amp;EOMONTH(fDatum,0),Datainmatning!$F$6:$F$24))</f>
        <v>0</v>
      </c>
      <c r="E8" s="64">
        <f ca="1">D8-C8</f>
        <v>0</v>
      </c>
      <c r="F8" s="46" t="str">
        <f ca="1">IFERROR(D8/C8,"-")</f>
        <v>-</v>
      </c>
      <c r="G8" s="64">
        <f ca="1">SUMIF(Datainmatning!$B$6:$B$24,"&lt;="&amp;EOMONTH(fDatum,0),Datainmatning!$F$6:$F$24)</f>
        <v>0</v>
      </c>
      <c r="H8" s="64">
        <f ca="1">SUMIF(tabell_Data[DATUM],"&lt;="&amp;EOMONTH(fDatum,0),tabell_Data[KOSTNAD])</f>
        <v>0</v>
      </c>
      <c r="I8" s="64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39</v>
      </c>
      <c r="C9" s="46" t="str">
        <f ca="1">IFERROR(C8/C7,"-")</f>
        <v>-</v>
      </c>
      <c r="D9" s="46" t="str">
        <f ca="1">IFERROR(D8/D7,"-")</f>
        <v>-</v>
      </c>
      <c r="E9" s="46"/>
      <c r="F9" s="46" t="str">
        <f ca="1">IFERROR(F8/F7,"-")</f>
        <v>-</v>
      </c>
      <c r="G9" s="46" t="str">
        <f ca="1">IFERROR(G8/G7,"")</f>
        <v/>
      </c>
      <c r="H9" s="46" t="str">
        <f ca="1">IFERROR(H8/H7,"")</f>
        <v/>
      </c>
      <c r="I9" s="46"/>
      <c r="J9" s="15" t="str">
        <f ca="1">IFERROR(J8/J7,"")</f>
        <v/>
      </c>
    </row>
    <row r="10" spans="2:10" s="3" customFormat="1" ht="15" customHeight="1" x14ac:dyDescent="0.2">
      <c r="B10" s="14" t="s">
        <v>40</v>
      </c>
      <c r="C10" s="47">
        <f ca="1">COUNTIF(tabell_Data[DATUM],"&gt;="&amp;DATE(fÅr,MONTH(fDatum),1))-COUNTIF(tabell_Data[DATUM],"&gt;"&amp;EOMONTH(fDatum,0))</f>
        <v>0</v>
      </c>
      <c r="D10" s="16"/>
      <c r="E10" s="16"/>
      <c r="F10" s="16"/>
      <c r="G10" s="47">
        <f ca="1">COUNTIF(tabell_Data[DATUM],"&gt;"&amp;EOMONTH(fDatum,0))</f>
        <v>19</v>
      </c>
      <c r="H10" s="16"/>
      <c r="I10" s="16"/>
      <c r="J10" s="17"/>
    </row>
    <row r="11" spans="2:10" s="3" customFormat="1" ht="15" customHeight="1" x14ac:dyDescent="0.2">
      <c r="B11" s="14" t="s">
        <v>41</v>
      </c>
      <c r="C11" s="45" t="str">
        <f ca="1">IFERROR(C7/C10,"-")</f>
        <v>-</v>
      </c>
      <c r="D11" s="16"/>
      <c r="E11" s="16"/>
      <c r="F11" s="16"/>
      <c r="G11" s="64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7" t="s">
        <v>42</v>
      </c>
      <c r="C13" s="37"/>
      <c r="D13" s="37" t="s">
        <v>43</v>
      </c>
      <c r="E13" s="43"/>
      <c r="F13" s="37" t="s">
        <v>44</v>
      </c>
      <c r="G13" s="43"/>
      <c r="H13" s="37"/>
      <c r="I13" s="37" t="s">
        <v>45</v>
      </c>
      <c r="J13" s="18"/>
    </row>
    <row r="14" spans="2:10" x14ac:dyDescent="0.2">
      <c r="B14" s="40" t="s">
        <v>37</v>
      </c>
      <c r="C14" s="40"/>
      <c r="D14" s="65">
        <f ca="1">TREND(tabell_Data[[MÅNAD ]],tabell_Data[MÅNADSNR (DÖLJ)],IF(MONTH(fDatum)=12,13,MONTH(fDatum)+1))</f>
        <v>19451.903553299489</v>
      </c>
      <c r="E14" s="42"/>
      <c r="F14" s="65">
        <f ca="1">TREND(tabell_Data[[KVARTAL ]],tabell_Data[MÅNADSNR (DÖLJ)],IF(MONTH(fDatum)=12,13,MONTH(fDatum)+1))</f>
        <v>46098.98477157361</v>
      </c>
      <c r="G14" s="42"/>
      <c r="H14" s="41"/>
      <c r="I14" s="65">
        <f ca="1">TREND(tabell_Data[[PER ÅR ]],tabell_Data[MÅNADSNR (DÖLJ)],IF(MONTH(fDatum)=12,13,MONTH(fDatum)+1))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46</v>
      </c>
    </row>
    <row r="30" spans="2:6" s="21" customFormat="1" ht="27" customHeight="1" x14ac:dyDescent="0.2">
      <c r="B30" s="21" t="s">
        <v>47</v>
      </c>
      <c r="F30" s="21" t="s">
        <v>48</v>
      </c>
    </row>
    <row r="38" spans="2:10" s="21" customFormat="1" ht="27" customHeight="1" x14ac:dyDescent="0.2">
      <c r="B38" s="21" t="s">
        <v>50</v>
      </c>
      <c r="F38" s="21" t="s">
        <v>49</v>
      </c>
    </row>
    <row r="43" spans="2:10" x14ac:dyDescent="0.2">
      <c r="J43" t="s">
        <v>7</v>
      </c>
    </row>
  </sheetData>
  <conditionalFormatting sqref="E2">
    <cfRule type="expression" dxfId="16" priority="3">
      <formula>(LEN($E2)&gt;0)*(LEN($D3)&gt;0)</formula>
    </cfRule>
  </conditionalFormatting>
  <conditionalFormatting sqref="D2">
    <cfRule type="expression" dxfId="15" priority="2">
      <formula>(LEN($D2)&gt;0)*(LEN($C2)=0)</formula>
    </cfRule>
  </conditionalFormatting>
  <conditionalFormatting sqref="F2">
    <cfRule type="expression" dxfId="14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6b809b-b7bc-48ce-813f-22e66fa9c53a" xsi:nil="true"/>
    <AssetExpire xmlns="296b809b-b7bc-48ce-813f-22e66fa9c53a">2029-01-01T08:00:00+00:00</AssetExpire>
    <CampaignTagsTaxHTField0 xmlns="296b809b-b7bc-48ce-813f-22e66fa9c53a">
      <Terms xmlns="http://schemas.microsoft.com/office/infopath/2007/PartnerControls"/>
    </CampaignTagsTaxHTField0>
    <IntlLangReviewDate xmlns="296b809b-b7bc-48ce-813f-22e66fa9c53a" xsi:nil="true"/>
    <TPFriendlyName xmlns="296b809b-b7bc-48ce-813f-22e66fa9c53a" xsi:nil="true"/>
    <IntlLangReview xmlns="296b809b-b7bc-48ce-813f-22e66fa9c53a">false</IntlLangReview>
    <LocLastLocAttemptVersionLookup xmlns="296b809b-b7bc-48ce-813f-22e66fa9c53a">845880</LocLastLocAttemptVersionLookup>
    <PolicheckWords xmlns="296b809b-b7bc-48ce-813f-22e66fa9c53a" xsi:nil="true"/>
    <SubmitterId xmlns="296b809b-b7bc-48ce-813f-22e66fa9c53a" xsi:nil="true"/>
    <AcquiredFrom xmlns="296b809b-b7bc-48ce-813f-22e66fa9c53a">Internal MS</AcquiredFrom>
    <EditorialStatus xmlns="296b809b-b7bc-48ce-813f-22e66fa9c53a" xsi:nil="true"/>
    <Markets xmlns="296b809b-b7bc-48ce-813f-22e66fa9c53a"/>
    <OriginAsset xmlns="296b809b-b7bc-48ce-813f-22e66fa9c53a" xsi:nil="true"/>
    <AssetStart xmlns="296b809b-b7bc-48ce-813f-22e66fa9c53a">2012-06-28T22:27:47+00:00</AssetStart>
    <FriendlyTitle xmlns="296b809b-b7bc-48ce-813f-22e66fa9c53a" xsi:nil="true"/>
    <MarketSpecific xmlns="296b809b-b7bc-48ce-813f-22e66fa9c53a">false</MarketSpecific>
    <TPNamespace xmlns="296b809b-b7bc-48ce-813f-22e66fa9c53a" xsi:nil="true"/>
    <PublishStatusLookup xmlns="296b809b-b7bc-48ce-813f-22e66fa9c53a">
      <Value>380111</Value>
    </PublishStatusLookup>
    <APAuthor xmlns="296b809b-b7bc-48ce-813f-22e66fa9c53a">
      <UserInfo>
        <DisplayName/>
        <AccountId>2566</AccountId>
        <AccountType/>
      </UserInfo>
    </APAuthor>
    <TPCommandLine xmlns="296b809b-b7bc-48ce-813f-22e66fa9c53a" xsi:nil="true"/>
    <IntlLangReviewer xmlns="296b809b-b7bc-48ce-813f-22e66fa9c53a" xsi:nil="true"/>
    <OpenTemplate xmlns="296b809b-b7bc-48ce-813f-22e66fa9c53a">true</OpenTemplate>
    <CSXSubmissionDate xmlns="296b809b-b7bc-48ce-813f-22e66fa9c53a" xsi:nil="true"/>
    <TaxCatchAll xmlns="296b809b-b7bc-48ce-813f-22e66fa9c53a"/>
    <Manager xmlns="296b809b-b7bc-48ce-813f-22e66fa9c53a" xsi:nil="true"/>
    <NumericId xmlns="296b809b-b7bc-48ce-813f-22e66fa9c53a" xsi:nil="true"/>
    <ParentAssetId xmlns="296b809b-b7bc-48ce-813f-22e66fa9c53a" xsi:nil="true"/>
    <OriginalSourceMarket xmlns="296b809b-b7bc-48ce-813f-22e66fa9c53a">english</OriginalSourceMarket>
    <ApprovalStatus xmlns="296b809b-b7bc-48ce-813f-22e66fa9c53a">InProgress</ApprovalStatus>
    <TPComponent xmlns="296b809b-b7bc-48ce-813f-22e66fa9c53a" xsi:nil="true"/>
    <EditorialTags xmlns="296b809b-b7bc-48ce-813f-22e66fa9c53a" xsi:nil="true"/>
    <TPExecutable xmlns="296b809b-b7bc-48ce-813f-22e66fa9c53a" xsi:nil="true"/>
    <TPLaunchHelpLink xmlns="296b809b-b7bc-48ce-813f-22e66fa9c53a" xsi:nil="true"/>
    <LocComments xmlns="296b809b-b7bc-48ce-813f-22e66fa9c53a" xsi:nil="true"/>
    <LocRecommendedHandoff xmlns="296b809b-b7bc-48ce-813f-22e66fa9c53a" xsi:nil="true"/>
    <SourceTitle xmlns="296b809b-b7bc-48ce-813f-22e66fa9c53a" xsi:nil="true"/>
    <CSXUpdate xmlns="296b809b-b7bc-48ce-813f-22e66fa9c53a">false</CSXUpdate>
    <IntlLocPriority xmlns="296b809b-b7bc-48ce-813f-22e66fa9c53a" xsi:nil="true"/>
    <UAProjectedTotalWords xmlns="296b809b-b7bc-48ce-813f-22e66fa9c53a" xsi:nil="true"/>
    <AssetType xmlns="296b809b-b7bc-48ce-813f-22e66fa9c53a" xsi:nil="true"/>
    <MachineTranslated xmlns="296b809b-b7bc-48ce-813f-22e66fa9c53a">false</MachineTranslated>
    <OutputCachingOn xmlns="296b809b-b7bc-48ce-813f-22e66fa9c53a">false</OutputCachingOn>
    <TemplateStatus xmlns="296b809b-b7bc-48ce-813f-22e66fa9c53a">Complete</TemplateStatus>
    <IsSearchable xmlns="296b809b-b7bc-48ce-813f-22e66fa9c53a">false</IsSearchable>
    <ContentItem xmlns="296b809b-b7bc-48ce-813f-22e66fa9c53a" xsi:nil="true"/>
    <HandoffToMSDN xmlns="296b809b-b7bc-48ce-813f-22e66fa9c53a" xsi:nil="true"/>
    <ShowIn xmlns="296b809b-b7bc-48ce-813f-22e66fa9c53a">Show everywhere</ShowIn>
    <ThumbnailAssetId xmlns="296b809b-b7bc-48ce-813f-22e66fa9c53a" xsi:nil="true"/>
    <UALocComments xmlns="296b809b-b7bc-48ce-813f-22e66fa9c53a" xsi:nil="true"/>
    <UALocRecommendation xmlns="296b809b-b7bc-48ce-813f-22e66fa9c53a">Localize</UALocRecommendation>
    <LastModifiedDateTime xmlns="296b809b-b7bc-48ce-813f-22e66fa9c53a" xsi:nil="true"/>
    <LegacyData xmlns="296b809b-b7bc-48ce-813f-22e66fa9c53a" xsi:nil="true"/>
    <LocManualTestRequired xmlns="296b809b-b7bc-48ce-813f-22e66fa9c53a">false</LocManualTestRequired>
    <LocMarketGroupTiers2 xmlns="296b809b-b7bc-48ce-813f-22e66fa9c53a" xsi:nil="true"/>
    <ClipArtFilename xmlns="296b809b-b7bc-48ce-813f-22e66fa9c53a" xsi:nil="true"/>
    <TPApplication xmlns="296b809b-b7bc-48ce-813f-22e66fa9c53a" xsi:nil="true"/>
    <CSXHash xmlns="296b809b-b7bc-48ce-813f-22e66fa9c53a" xsi:nil="true"/>
    <DirectSourceMarket xmlns="296b809b-b7bc-48ce-813f-22e66fa9c53a">english</DirectSourceMarket>
    <PrimaryImageGen xmlns="296b809b-b7bc-48ce-813f-22e66fa9c53a">false</PrimaryImageGen>
    <PlannedPubDate xmlns="296b809b-b7bc-48ce-813f-22e66fa9c53a" xsi:nil="true"/>
    <CSXSubmissionMarket xmlns="296b809b-b7bc-48ce-813f-22e66fa9c53a" xsi:nil="true"/>
    <Downloads xmlns="296b809b-b7bc-48ce-813f-22e66fa9c53a">0</Downloads>
    <ArtSampleDocs xmlns="296b809b-b7bc-48ce-813f-22e66fa9c53a" xsi:nil="true"/>
    <TrustLevel xmlns="296b809b-b7bc-48ce-813f-22e66fa9c53a">1 Microsoft Managed Content</TrustLevel>
    <BlockPublish xmlns="296b809b-b7bc-48ce-813f-22e66fa9c53a">false</BlockPublish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BusinessGroup xmlns="296b809b-b7bc-48ce-813f-22e66fa9c53a" xsi:nil="true"/>
    <Providers xmlns="296b809b-b7bc-48ce-813f-22e66fa9c53a" xsi:nil="true"/>
    <TemplateTemplateType xmlns="296b809b-b7bc-48ce-813f-22e66fa9c53a">Excel Spreadsheet Template</TemplateTemplateType>
    <TimesCloned xmlns="296b809b-b7bc-48ce-813f-22e66fa9c53a" xsi:nil="true"/>
    <TPAppVersion xmlns="296b809b-b7bc-48ce-813f-22e66fa9c53a" xsi:nil="true"/>
    <VoteCount xmlns="296b809b-b7bc-48ce-813f-22e66fa9c53a" xsi:nil="true"/>
    <FeatureTagsTaxHTField0 xmlns="296b809b-b7bc-48ce-813f-22e66fa9c53a">
      <Terms xmlns="http://schemas.microsoft.com/office/infopath/2007/PartnerControls"/>
    </FeatureTagsTaxHTField0>
    <Provider xmlns="296b809b-b7bc-48ce-813f-22e66fa9c53a" xsi:nil="true"/>
    <UACurrentWords xmlns="296b809b-b7bc-48ce-813f-22e66fa9c53a" xsi:nil="true"/>
    <AssetId xmlns="296b809b-b7bc-48ce-813f-22e66fa9c53a">TP102929974</AssetId>
    <TPClientViewer xmlns="296b809b-b7bc-48ce-813f-22e66fa9c53a" xsi:nil="true"/>
    <DSATActionTaken xmlns="296b809b-b7bc-48ce-813f-22e66fa9c53a" xsi:nil="true"/>
    <APEditor xmlns="296b809b-b7bc-48ce-813f-22e66fa9c53a">
      <UserInfo>
        <DisplayName/>
        <AccountId xsi:nil="true"/>
        <AccountType/>
      </UserInfo>
    </APEditor>
    <TPInstallLocation xmlns="296b809b-b7bc-48ce-813f-22e66fa9c53a" xsi:nil="true"/>
    <OOCacheId xmlns="296b809b-b7bc-48ce-813f-22e66fa9c53a" xsi:nil="true"/>
    <IsDeleted xmlns="296b809b-b7bc-48ce-813f-22e66fa9c53a">false</IsDeleted>
    <PublishTargets xmlns="296b809b-b7bc-48ce-813f-22e66fa9c53a">OfficeOnlineVNext</PublishTargets>
    <ApprovalLog xmlns="296b809b-b7bc-48ce-813f-22e66fa9c53a" xsi:nil="true"/>
    <BugNumber xmlns="296b809b-b7bc-48ce-813f-22e66fa9c53a" xsi:nil="true"/>
    <CrawlForDependencies xmlns="296b809b-b7bc-48ce-813f-22e66fa9c53a">false</CrawlForDependencies>
    <InternalTagsTaxHTField0 xmlns="296b809b-b7bc-48ce-813f-22e66fa9c53a">
      <Terms xmlns="http://schemas.microsoft.com/office/infopath/2007/PartnerControls"/>
    </InternalTagsTaxHTField0>
    <LastHandOff xmlns="296b809b-b7bc-48ce-813f-22e66fa9c53a" xsi:nil="true"/>
    <Milestone xmlns="296b809b-b7bc-48ce-813f-22e66fa9c53a" xsi:nil="true"/>
    <OriginalRelease xmlns="296b809b-b7bc-48ce-813f-22e66fa9c53a">15</OriginalRelease>
    <RecommendationsModifier xmlns="296b809b-b7bc-48ce-813f-22e66fa9c53a" xsi:nil="true"/>
    <ScenarioTagsTaxHTField0 xmlns="296b809b-b7bc-48ce-813f-22e66fa9c53a">
      <Terms xmlns="http://schemas.microsoft.com/office/infopath/2007/PartnerControls"/>
    </ScenarioTagsTaxHTField0>
    <UANotes xmlns="296b809b-b7bc-48ce-813f-22e66fa9c53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D5DEE2-7546-4E1E-AAC5-FC484186A9B1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7</vt:i4>
      </vt:variant>
    </vt:vector>
  </HeadingPairs>
  <TitlesOfParts>
    <vt:vector size="10" baseType="lpstr">
      <vt:lpstr>Datainmatning</vt:lpstr>
      <vt:lpstr>Försäljningsrapport</vt:lpstr>
      <vt:lpstr>Försäljningsprognos</vt:lpstr>
      <vt:lpstr>fDag</vt:lpstr>
      <vt:lpstr>fDatum</vt:lpstr>
      <vt:lpstr>fMånad</vt:lpstr>
      <vt:lpstr>fÅr</vt:lpstr>
      <vt:lpstr>Prognosdatum</vt:lpstr>
      <vt:lpstr>Försäljningsprognos!Utskriftsområde</vt:lpstr>
      <vt:lpstr>Försäljningsrapport!Utskriftsrubriker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Windows-användare</cp:lastModifiedBy>
  <dcterms:created xsi:type="dcterms:W3CDTF">2012-06-20T20:17:06Z</dcterms:created>
  <dcterms:modified xsi:type="dcterms:W3CDTF">2012-09-12T12:18:21Z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0x010100BE4E3BC60946534DB8314F473FCD9CA804001E6F70B81F461A41B87FD4CE9EC386B3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