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10"/>
  <workbookPr/>
  <mc:AlternateContent xmlns:mc="http://schemas.openxmlformats.org/markup-compatibility/2006">
    <mc:Choice Requires="x15">
      <x15ac:absPath xmlns:x15ac="http://schemas.microsoft.com/office/spreadsheetml/2010/11/ac" url="\\deli\projects\Office_Online\technicians\ZivYang\20200416\Bug 11142\sl-SI\target\"/>
    </mc:Choice>
  </mc:AlternateContent>
  <xr:revisionPtr revIDLastSave="0" documentId="13_ncr:1_{E5170B9D-1066-4E95-9B73-7F69A1F136BF}" xr6:coauthVersionLast="45" xr6:coauthVersionMax="45" xr10:uidLastSave="{00000000-0000-0000-0000-000000000000}"/>
  <bookViews>
    <workbookView xWindow="-120" yWindow="-120" windowWidth="23670" windowHeight="16215" xr2:uid="{00000000-000D-0000-FFFF-FFFF00000000}"/>
  </bookViews>
  <sheets>
    <sheet name="Začetek" sheetId="5" r:id="rId1"/>
    <sheet name="Družinski koledar" sheetId="4" r:id="rId2"/>
  </sheets>
  <definedNames>
    <definedName name="AprNed1">DATE(KoledarskoLeto,4,1)-WEEKDAY(DATE(KoledarskoLeto,4,1))+1</definedName>
    <definedName name="AvgNed1">DATE(KoledarskoLeto,8,1)-WEEKDAY(DATE(KoledarskoLeto,8,1))+1</definedName>
    <definedName name="DecNed1">DATE(KoledarskoLeto,12,1)-WEEKDAY(DATE(KoledarskoLeto,12,1))+1</definedName>
    <definedName name="FebNed1">DATE(KoledarskoLeto,2,1)-WEEKDAY(DATE(KoledarskoLeto,2,1))+1</definedName>
    <definedName name="JanNed1">DATE(KoledarskoLeto,1,1)-WEEKDAY(DATE(KoledarskoLeto,1,1))+1</definedName>
    <definedName name="JulNed1">DATE(KoledarskoLeto,7,1)-WEEKDAY(DATE(KoledarskoLeto,7,1))+1</definedName>
    <definedName name="JunNed1">DATE(KoledarskoLeto,6,1)-WEEKDAY(DATE(KoledarskoLeto,6,1))+1</definedName>
    <definedName name="KoledarskoLeto">'Družinski koledar'!$AE$3</definedName>
    <definedName name="MajNed1">DATE(KoledarskoLeto,5,1)-WEEKDAY(DATE(KoledarskoLeto,5,1))+1</definedName>
    <definedName name="MarNed1">DATE(KoledarskoLeto,3,1)-WEEKDAY(DATE(KoledarskoLeto,3,1))+1</definedName>
    <definedName name="NovNed1">DATE(KoledarskoLeto,11,1)-WEEKDAY(DATE(KoledarskoLeto,11,1))+1</definedName>
    <definedName name="OktNed1">DATE(KoledarskoLeto,10,1)-WEEKDAY(DATE(KoledarskoLeto,10,1))+1</definedName>
    <definedName name="_xlnm.Print_Area" localSheetId="1">'Družinski koledar'!$B$1:$AK$50</definedName>
    <definedName name="PomembniDatumi">'Družinski koledar'!$D$6:$G$20</definedName>
    <definedName name="SepNed1">DATE(KoledarskoLeto,9,1)-WEEKDAY(DATE(KoledarskoLeto,9,1))+1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 i="4" l="1"/>
  <c r="D7" i="4" l="1"/>
  <c r="D6" i="4"/>
  <c r="AJ49" i="4" l="1"/>
  <c r="AI49" i="4"/>
  <c r="AH49" i="4"/>
  <c r="AG49" i="4"/>
  <c r="AF49" i="4"/>
  <c r="AE49" i="4"/>
  <c r="AD49" i="4"/>
  <c r="AJ48" i="4"/>
  <c r="AI48" i="4"/>
  <c r="AH48" i="4"/>
  <c r="AG48" i="4"/>
  <c r="AF48" i="4"/>
  <c r="AE48" i="4"/>
  <c r="AD48" i="4"/>
  <c r="AJ47" i="4"/>
  <c r="AI47" i="4"/>
  <c r="AH47" i="4"/>
  <c r="AG47" i="4"/>
  <c r="AF47" i="4"/>
  <c r="AE47" i="4"/>
  <c r="AD47" i="4"/>
  <c r="AJ46" i="4"/>
  <c r="AI46" i="4"/>
  <c r="AH46" i="4"/>
  <c r="AG46" i="4"/>
  <c r="AF46" i="4"/>
  <c r="AE46" i="4"/>
  <c r="AD46" i="4"/>
  <c r="AJ45" i="4"/>
  <c r="AI45" i="4"/>
  <c r="AH45" i="4"/>
  <c r="AG45" i="4"/>
  <c r="AF45" i="4"/>
  <c r="AE45" i="4"/>
  <c r="AD45" i="4"/>
  <c r="AJ44" i="4"/>
  <c r="AI44" i="4"/>
  <c r="AH44" i="4"/>
  <c r="AG44" i="4"/>
  <c r="AF44" i="4"/>
  <c r="AE44" i="4"/>
  <c r="AD44" i="4"/>
  <c r="AA49" i="4"/>
  <c r="Z49" i="4"/>
  <c r="Y49" i="4"/>
  <c r="X49" i="4"/>
  <c r="W49" i="4"/>
  <c r="V49" i="4"/>
  <c r="U49" i="4"/>
  <c r="AA48" i="4"/>
  <c r="Z48" i="4"/>
  <c r="Y48" i="4"/>
  <c r="X48" i="4"/>
  <c r="W48" i="4"/>
  <c r="V48" i="4"/>
  <c r="U48" i="4"/>
  <c r="AA47" i="4"/>
  <c r="Z47" i="4"/>
  <c r="Y47" i="4"/>
  <c r="X47" i="4"/>
  <c r="W47" i="4"/>
  <c r="V47" i="4"/>
  <c r="U47" i="4"/>
  <c r="AA46" i="4"/>
  <c r="Z46" i="4"/>
  <c r="Y46" i="4"/>
  <c r="X46" i="4"/>
  <c r="W46" i="4"/>
  <c r="V46" i="4"/>
  <c r="U46" i="4"/>
  <c r="AA45" i="4"/>
  <c r="Z45" i="4"/>
  <c r="Y45" i="4"/>
  <c r="X45" i="4"/>
  <c r="W45" i="4"/>
  <c r="V45" i="4"/>
  <c r="U45" i="4"/>
  <c r="AA44" i="4"/>
  <c r="Z44" i="4"/>
  <c r="Y44" i="4"/>
  <c r="X44" i="4"/>
  <c r="W44" i="4"/>
  <c r="V44" i="4"/>
  <c r="U44" i="4"/>
  <c r="R49" i="4"/>
  <c r="Q49" i="4"/>
  <c r="P49" i="4"/>
  <c r="O49" i="4"/>
  <c r="N49" i="4"/>
  <c r="M49" i="4"/>
  <c r="L49" i="4"/>
  <c r="R48" i="4"/>
  <c r="Q48" i="4"/>
  <c r="P48" i="4"/>
  <c r="O48" i="4"/>
  <c r="N48" i="4"/>
  <c r="M48" i="4"/>
  <c r="L48" i="4"/>
  <c r="R47" i="4"/>
  <c r="Q47" i="4"/>
  <c r="P47" i="4"/>
  <c r="O47" i="4"/>
  <c r="N47" i="4"/>
  <c r="M47" i="4"/>
  <c r="L47" i="4"/>
  <c r="R46" i="4"/>
  <c r="Q46" i="4"/>
  <c r="P46" i="4"/>
  <c r="O46" i="4"/>
  <c r="N46" i="4"/>
  <c r="M46" i="4"/>
  <c r="L46" i="4"/>
  <c r="R45" i="4"/>
  <c r="Q45" i="4"/>
  <c r="P45" i="4"/>
  <c r="O45" i="4"/>
  <c r="N45" i="4"/>
  <c r="M45" i="4"/>
  <c r="L45" i="4"/>
  <c r="R44" i="4"/>
  <c r="Q44" i="4"/>
  <c r="P44" i="4"/>
  <c r="O44" i="4"/>
  <c r="N44" i="4"/>
  <c r="M44" i="4"/>
  <c r="L44" i="4"/>
  <c r="I49" i="4"/>
  <c r="H49" i="4"/>
  <c r="G49" i="4"/>
  <c r="F49" i="4"/>
  <c r="E49" i="4"/>
  <c r="D49" i="4"/>
  <c r="C49" i="4"/>
  <c r="I48" i="4"/>
  <c r="H48" i="4"/>
  <c r="G48" i="4"/>
  <c r="F48" i="4"/>
  <c r="E48" i="4"/>
  <c r="D48" i="4"/>
  <c r="C48" i="4"/>
  <c r="I47" i="4"/>
  <c r="H47" i="4"/>
  <c r="G47" i="4"/>
  <c r="F47" i="4"/>
  <c r="E47" i="4"/>
  <c r="D47" i="4"/>
  <c r="C47" i="4"/>
  <c r="I46" i="4"/>
  <c r="H46" i="4"/>
  <c r="G46" i="4"/>
  <c r="F46" i="4"/>
  <c r="E46" i="4"/>
  <c r="D46" i="4"/>
  <c r="C46" i="4"/>
  <c r="I45" i="4"/>
  <c r="H45" i="4"/>
  <c r="G45" i="4"/>
  <c r="F45" i="4"/>
  <c r="E45" i="4"/>
  <c r="D45" i="4"/>
  <c r="C45" i="4"/>
  <c r="I44" i="4"/>
  <c r="H44" i="4"/>
  <c r="G44" i="4"/>
  <c r="F44" i="4"/>
  <c r="E44" i="4"/>
  <c r="D44" i="4"/>
  <c r="C44" i="4"/>
  <c r="AJ40" i="4"/>
  <c r="AI40" i="4"/>
  <c r="AH40" i="4"/>
  <c r="AG40" i="4"/>
  <c r="AF40" i="4"/>
  <c r="AE40" i="4"/>
  <c r="AD40" i="4"/>
  <c r="AJ39" i="4"/>
  <c r="AI39" i="4"/>
  <c r="AH39" i="4"/>
  <c r="AG39" i="4"/>
  <c r="AF39" i="4"/>
  <c r="AE39" i="4"/>
  <c r="AD39" i="4"/>
  <c r="AJ38" i="4"/>
  <c r="AI38" i="4"/>
  <c r="AH38" i="4"/>
  <c r="AG38" i="4"/>
  <c r="AF38" i="4"/>
  <c r="AE38" i="4"/>
  <c r="AD38" i="4"/>
  <c r="AJ37" i="4"/>
  <c r="AI37" i="4"/>
  <c r="AH37" i="4"/>
  <c r="AG37" i="4"/>
  <c r="AF37" i="4"/>
  <c r="AE37" i="4"/>
  <c r="AD37" i="4"/>
  <c r="AJ36" i="4"/>
  <c r="AI36" i="4"/>
  <c r="AH36" i="4"/>
  <c r="AG36" i="4"/>
  <c r="AF36" i="4"/>
  <c r="AE36" i="4"/>
  <c r="AD36" i="4"/>
  <c r="AJ35" i="4"/>
  <c r="AI35" i="4"/>
  <c r="AH35" i="4"/>
  <c r="AG35" i="4"/>
  <c r="AF35" i="4"/>
  <c r="AE35" i="4"/>
  <c r="AD35" i="4"/>
  <c r="AA40" i="4"/>
  <c r="Z40" i="4"/>
  <c r="Y40" i="4"/>
  <c r="X40" i="4"/>
  <c r="W40" i="4"/>
  <c r="V40" i="4"/>
  <c r="U40" i="4"/>
  <c r="AA39" i="4"/>
  <c r="Z39" i="4"/>
  <c r="Y39" i="4"/>
  <c r="X39" i="4"/>
  <c r="W39" i="4"/>
  <c r="V39" i="4"/>
  <c r="U39" i="4"/>
  <c r="AA38" i="4"/>
  <c r="Z38" i="4"/>
  <c r="Y38" i="4"/>
  <c r="X38" i="4"/>
  <c r="W38" i="4"/>
  <c r="V38" i="4"/>
  <c r="U38" i="4"/>
  <c r="AA37" i="4"/>
  <c r="Z37" i="4"/>
  <c r="Y37" i="4"/>
  <c r="X37" i="4"/>
  <c r="W37" i="4"/>
  <c r="V37" i="4"/>
  <c r="U37" i="4"/>
  <c r="AA36" i="4"/>
  <c r="Z36" i="4"/>
  <c r="Y36" i="4"/>
  <c r="X36" i="4"/>
  <c r="W36" i="4"/>
  <c r="V36" i="4"/>
  <c r="U36" i="4"/>
  <c r="AA35" i="4"/>
  <c r="Z35" i="4"/>
  <c r="Y35" i="4"/>
  <c r="X35" i="4"/>
  <c r="W35" i="4"/>
  <c r="V35" i="4"/>
  <c r="U35" i="4"/>
  <c r="R40" i="4"/>
  <c r="Q40" i="4"/>
  <c r="P40" i="4"/>
  <c r="O40" i="4"/>
  <c r="N40" i="4"/>
  <c r="M40" i="4"/>
  <c r="L40" i="4"/>
  <c r="R39" i="4"/>
  <c r="Q39" i="4"/>
  <c r="P39" i="4"/>
  <c r="O39" i="4"/>
  <c r="N39" i="4"/>
  <c r="M39" i="4"/>
  <c r="L39" i="4"/>
  <c r="R38" i="4"/>
  <c r="Q38" i="4"/>
  <c r="P38" i="4"/>
  <c r="O38" i="4"/>
  <c r="N38" i="4"/>
  <c r="M38" i="4"/>
  <c r="L38" i="4"/>
  <c r="R37" i="4"/>
  <c r="Q37" i="4"/>
  <c r="P37" i="4"/>
  <c r="O37" i="4"/>
  <c r="N37" i="4"/>
  <c r="M37" i="4"/>
  <c r="L37" i="4"/>
  <c r="R36" i="4"/>
  <c r="Q36" i="4"/>
  <c r="P36" i="4"/>
  <c r="O36" i="4"/>
  <c r="N36" i="4"/>
  <c r="M36" i="4"/>
  <c r="L36" i="4"/>
  <c r="R35" i="4"/>
  <c r="Q35" i="4"/>
  <c r="P35" i="4"/>
  <c r="O35" i="4"/>
  <c r="N35" i="4"/>
  <c r="M35" i="4"/>
  <c r="L35" i="4"/>
  <c r="I40" i="4"/>
  <c r="H40" i="4"/>
  <c r="G40" i="4"/>
  <c r="F40" i="4"/>
  <c r="E40" i="4"/>
  <c r="D40" i="4"/>
  <c r="C40" i="4"/>
  <c r="I39" i="4"/>
  <c r="H39" i="4"/>
  <c r="G39" i="4"/>
  <c r="F39" i="4"/>
  <c r="E39" i="4"/>
  <c r="D39" i="4"/>
  <c r="C39" i="4"/>
  <c r="I38" i="4"/>
  <c r="H38" i="4"/>
  <c r="G38" i="4"/>
  <c r="F38" i="4"/>
  <c r="E38" i="4"/>
  <c r="D38" i="4"/>
  <c r="C38" i="4"/>
  <c r="I37" i="4"/>
  <c r="H37" i="4"/>
  <c r="G37" i="4"/>
  <c r="F37" i="4"/>
  <c r="E37" i="4"/>
  <c r="D37" i="4"/>
  <c r="C37" i="4"/>
  <c r="I36" i="4"/>
  <c r="H36" i="4"/>
  <c r="G36" i="4"/>
  <c r="F36" i="4"/>
  <c r="E36" i="4"/>
  <c r="D36" i="4"/>
  <c r="C36" i="4"/>
  <c r="I35" i="4"/>
  <c r="H35" i="4"/>
  <c r="G35" i="4"/>
  <c r="F35" i="4"/>
  <c r="E35" i="4"/>
  <c r="D35" i="4"/>
  <c r="C35" i="4"/>
  <c r="AJ31" i="4"/>
  <c r="AI31" i="4"/>
  <c r="AH31" i="4"/>
  <c r="AG31" i="4"/>
  <c r="AF31" i="4"/>
  <c r="AE31" i="4"/>
  <c r="AD31" i="4"/>
  <c r="AJ30" i="4"/>
  <c r="AI30" i="4"/>
  <c r="AH30" i="4"/>
  <c r="AG30" i="4"/>
  <c r="AF30" i="4"/>
  <c r="AE30" i="4"/>
  <c r="AD30" i="4"/>
  <c r="AJ29" i="4"/>
  <c r="AI29" i="4"/>
  <c r="AH29" i="4"/>
  <c r="AG29" i="4"/>
  <c r="AF29" i="4"/>
  <c r="AE29" i="4"/>
  <c r="AD29" i="4"/>
  <c r="AJ28" i="4"/>
  <c r="AI28" i="4"/>
  <c r="AH28" i="4"/>
  <c r="AG28" i="4"/>
  <c r="AF28" i="4"/>
  <c r="AE28" i="4"/>
  <c r="AD28" i="4"/>
  <c r="AJ27" i="4"/>
  <c r="AI27" i="4"/>
  <c r="AH27" i="4"/>
  <c r="AG27" i="4"/>
  <c r="AF27" i="4"/>
  <c r="AE27" i="4"/>
  <c r="AD27" i="4"/>
  <c r="AJ26" i="4"/>
  <c r="AI26" i="4"/>
  <c r="AH26" i="4"/>
  <c r="AG26" i="4"/>
  <c r="AF26" i="4"/>
  <c r="AE26" i="4"/>
  <c r="AD26" i="4"/>
  <c r="AA31" i="4"/>
  <c r="Z31" i="4"/>
  <c r="Y31" i="4"/>
  <c r="X31" i="4"/>
  <c r="W31" i="4"/>
  <c r="V31" i="4"/>
  <c r="U31" i="4"/>
  <c r="AA30" i="4"/>
  <c r="Z30" i="4"/>
  <c r="Y30" i="4"/>
  <c r="X30" i="4"/>
  <c r="W30" i="4"/>
  <c r="V30" i="4"/>
  <c r="U30" i="4"/>
  <c r="AA29" i="4"/>
  <c r="Z29" i="4"/>
  <c r="Y29" i="4"/>
  <c r="X29" i="4"/>
  <c r="W29" i="4"/>
  <c r="V29" i="4"/>
  <c r="U29" i="4"/>
  <c r="AA28" i="4"/>
  <c r="Z28" i="4"/>
  <c r="Y28" i="4"/>
  <c r="X28" i="4"/>
  <c r="W28" i="4"/>
  <c r="V28" i="4"/>
  <c r="U28" i="4"/>
  <c r="AA27" i="4"/>
  <c r="Z27" i="4"/>
  <c r="Y27" i="4"/>
  <c r="X27" i="4"/>
  <c r="W27" i="4"/>
  <c r="V27" i="4"/>
  <c r="U27" i="4"/>
  <c r="AA26" i="4"/>
  <c r="Z26" i="4"/>
  <c r="Y26" i="4"/>
  <c r="X26" i="4"/>
  <c r="W26" i="4"/>
  <c r="V26" i="4"/>
  <c r="U26" i="4"/>
  <c r="R31" i="4"/>
  <c r="Q31" i="4"/>
  <c r="P31" i="4"/>
  <c r="O31" i="4"/>
  <c r="N31" i="4"/>
  <c r="M31" i="4"/>
  <c r="L31" i="4"/>
  <c r="R30" i="4"/>
  <c r="Q30" i="4"/>
  <c r="P30" i="4"/>
  <c r="O30" i="4"/>
  <c r="N30" i="4"/>
  <c r="M30" i="4"/>
  <c r="L30" i="4"/>
  <c r="R29" i="4"/>
  <c r="Q29" i="4"/>
  <c r="P29" i="4"/>
  <c r="O29" i="4"/>
  <c r="N29" i="4"/>
  <c r="M29" i="4"/>
  <c r="L29" i="4"/>
  <c r="R28" i="4"/>
  <c r="Q28" i="4"/>
  <c r="P28" i="4"/>
  <c r="O28" i="4"/>
  <c r="N28" i="4"/>
  <c r="M28" i="4"/>
  <c r="L28" i="4"/>
  <c r="R27" i="4"/>
  <c r="Q27" i="4"/>
  <c r="P27" i="4"/>
  <c r="O27" i="4"/>
  <c r="N27" i="4"/>
  <c r="M27" i="4"/>
  <c r="L27" i="4"/>
  <c r="R26" i="4"/>
  <c r="Q26" i="4"/>
  <c r="P26" i="4"/>
  <c r="O26" i="4"/>
  <c r="N26" i="4"/>
  <c r="M26" i="4"/>
  <c r="L26" i="4"/>
  <c r="I31" i="4"/>
  <c r="H31" i="4"/>
  <c r="G31" i="4"/>
  <c r="F31" i="4"/>
  <c r="E31" i="4"/>
  <c r="D31" i="4"/>
  <c r="C31" i="4"/>
  <c r="I30" i="4"/>
  <c r="H30" i="4"/>
  <c r="G30" i="4"/>
  <c r="F30" i="4"/>
  <c r="E30" i="4"/>
  <c r="D30" i="4"/>
  <c r="C30" i="4"/>
  <c r="I29" i="4"/>
  <c r="H29" i="4"/>
  <c r="G29" i="4"/>
  <c r="F29" i="4"/>
  <c r="E29" i="4"/>
  <c r="D29" i="4"/>
  <c r="C29" i="4"/>
  <c r="I28" i="4"/>
  <c r="H28" i="4"/>
  <c r="G28" i="4"/>
  <c r="F28" i="4"/>
  <c r="E28" i="4"/>
  <c r="D28" i="4"/>
  <c r="C28" i="4"/>
  <c r="I27" i="4"/>
  <c r="H27" i="4"/>
  <c r="G27" i="4"/>
  <c r="F27" i="4"/>
  <c r="E27" i="4"/>
  <c r="D27" i="4"/>
  <c r="C27" i="4"/>
  <c r="I26" i="4"/>
  <c r="H26" i="4"/>
  <c r="G26" i="4"/>
  <c r="F26" i="4"/>
  <c r="E26" i="4"/>
  <c r="D26" i="4"/>
  <c r="C26" i="4"/>
  <c r="AD42" i="4"/>
  <c r="U42" i="4"/>
  <c r="L42" i="4"/>
  <c r="C42" i="4"/>
  <c r="AD33" i="4"/>
  <c r="U33" i="4"/>
  <c r="L33" i="4"/>
  <c r="C33" i="4"/>
  <c r="AD24" i="4"/>
  <c r="U24" i="4"/>
  <c r="L24" i="4"/>
  <c r="C24" i="4"/>
</calcChain>
</file>

<file path=xl/sharedStrings.xml><?xml version="1.0" encoding="utf-8"?>
<sst xmlns="http://schemas.openxmlformats.org/spreadsheetml/2006/main" count="112" uniqueCount="35">
  <si>
    <t>O TEJ PREDLOGI</t>
  </si>
  <si>
    <t>Prilagodite naslov koledarja in izberite leto.</t>
  </si>
  <si>
    <t>Vsak mesečni koledar se samodejno posodobi.</t>
  </si>
  <si>
    <t>Opomba: </t>
  </si>
  <si>
    <t>Dodatna navodila so na voljo v stolpcu A na delovnem listu DRUŽINSKI KOLEDAR. To besedilo je bilo namenoma skrito. Če želite besedilo premakniti, izberite stolpec A, nato izberite še IZBRIŠI. Če želite besedilo razkriti, izberite stolpec A, nato zamenjajte barvo pisave.</t>
  </si>
  <si>
    <t>Če želite izvedeti več o tabelah, znotraj tabele pritisnite SHIFT in nato F10, izberite možnost TABELA in nato izberite še NADOMESTNO BESEDILO</t>
  </si>
  <si>
    <t>Na tem delovnem listu lahko ustvarite družinski koledar za poljubno leto. Koristna navodila za uporabo tega delovnega lista najdete v celicah v tem stolpcu. Naslednje navodilo je v celici A3.</t>
  </si>
  <si>
    <t>Oznaka pomembnih datumov je v celici D5, oznaka opomb pa v celici U5. Vnesite pomembne datume v celice od D6 do D20, prireditve ali dogodke v celice od H6 do H20, opombe pa v celice od U6 do U20. Naslednje navodilo je v celici A23.</t>
  </si>
  <si>
    <t>Letni koledar je v celicah C24–AJ49, koledar za januar je v celicah C25–I31, koledar za februar je v celicah L25–R31, koledar za marec je v celicah U25–AA31, koledar za april pa je v celicah AD25–AJ31.</t>
  </si>
  <si>
    <t>Imena mesecev so v tej vrstici. Oznaka za januar je v celici C24, oznaka za februar je v celici L24, za marec v celici U24 in za april v celici AD24.</t>
  </si>
  <si>
    <t>Imena dni v tednu so v tej vrstici. Imena dni v tednu za januar so v celicah od C25 do I25, za dneve v tednu za februar od L25 do R25, za dneve v tednu za marec od U25 do AA25 in za dneve v tednu za april so v celicah od AD25 do AJ25.</t>
  </si>
  <si>
    <t>Datumi so samodejno posodobljeni v tej vrstici. Datumi za januar so v celicah na desni, od C26 do I31, datumi za februar so v celicah od L26 do R31, datumi za marec so v celicah od U26 do AA31 in za april v celicah od AD26 do AJ31. Naslednji korak je v celici A32.</t>
  </si>
  <si>
    <t>Koledar za maj je v celicah od C34 do I40, za junij v celicah od L34 do R40, za julij v celicah od U34 do AA40 in koledar za avgust je v celicah od AD34 do AJ40.</t>
  </si>
  <si>
    <t>Imena mesecev so v tej vrstici. Oznaka za maj je v celici C33, za junij v celici L33, za julij v celici U33, za avgust pa v celici AD33.</t>
  </si>
  <si>
    <t>Imena dni v tednu so v tej vrstici. Imena dni v tednu za maj so v celicah C34–I34, imena dni v tednu za junij so v celicah L34–R34, imena dni v tednu za julij so v celicah U34–AA34, imena dni v tednu za avgust pa so v celicah AD34–AJ34.</t>
  </si>
  <si>
    <t>Datumi so samodejno posodobljeni v tej vrstici. Datumi za maj so v celicah na desni, od celice C35 do I40, za junij v celicah od L35 do R40, za julij v celicah od U35 do AA35, datumi za avgust pa so v celicah od AD35 do AJ40. Naslednje navodilo je v celici A41.</t>
  </si>
  <si>
    <t>Koledar za september je v celicah od C43 do I49, za oktober v celicah od L43 do R49, za november v celicah od U43 do AA49, koledar za december pa je celicah od AD43 do AJ49.</t>
  </si>
  <si>
    <t>Imena mesecev so v tej vrstici. Oznaka za september je v celici C42, oznaka za oktober je v celici L42, za november v celici U42, za december pa v celici AD42.</t>
  </si>
  <si>
    <t>Imena dni v tednu so v tej vrstici. Imena dni v tednu za september so v celicah C43–I43, imena dni v tednu za oktober so v celicah L43–R43, imena dni v tednu za november so v celicah U43–AA43, imena dni v tednu za december pa so v celicah AD43–AJ43.</t>
  </si>
  <si>
    <t>Datumi so samodejno posodobljeni v tej vrstici. Datumi za september so v celicah na desni, od C44 do I49, za oktober v celicah L44 do R49, za november v celicah od U44 do AA49, datumi za december pa so v celicah od AD44 do AJ49.</t>
  </si>
  <si>
    <t>Po</t>
  </si>
  <si>
    <t>Koledar družine Novak</t>
  </si>
  <si>
    <t>Pomembni datumi</t>
  </si>
  <si>
    <t>To</t>
  </si>
  <si>
    <t>Sr</t>
  </si>
  <si>
    <t>Če</t>
  </si>
  <si>
    <t>Pe</t>
  </si>
  <si>
    <t>Novo leto</t>
  </si>
  <si>
    <t>Matejev rojstni dan</t>
  </si>
  <si>
    <t>So</t>
  </si>
  <si>
    <t>Ne</t>
  </si>
  <si>
    <t>Opombe</t>
  </si>
  <si>
    <t>Namig: Če želite spremeniti koledarsko leto v tej celici, uporabite vrtavko.</t>
  </si>
  <si>
    <t>Prilagodite naslov koledarja v celici D3 in vnesite leto v celico AE3. Namig je v celici AL3. Naslednji korak je v celici A5.</t>
  </si>
  <si>
    <t>Sledite pomembnim datumom in vnašajte opombe v ta družinski koledar.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</si>
</sst>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 numFmtId="167" formatCode="mmmm"/>
  </numFmts>
  <fonts count="42" x14ac:knownFonts="1">
    <font>
      <sz val="10"/>
      <color theme="1"/>
      <name val="Calibri"/>
      <family val="2"/>
      <scheme val="minor"/>
    </font>
    <font>
      <sz val="11"/>
      <color theme="1"/>
      <name val="Calibri"/>
      <family val="2"/>
      <scheme val="minor"/>
    </font>
    <font>
      <sz val="11"/>
      <color theme="1"/>
      <name val="Calibri"/>
      <family val="2"/>
      <scheme val="minor"/>
    </font>
    <font>
      <b/>
      <sz val="12"/>
      <color theme="0"/>
      <name val="Cambria"/>
      <family val="4"/>
      <scheme val="major"/>
    </font>
    <font>
      <sz val="11"/>
      <color theme="1"/>
      <name val="Cambria"/>
      <family val="4"/>
      <scheme val="major"/>
    </font>
    <font>
      <sz val="11"/>
      <color rgb="FFFFFF00"/>
      <name val="Cambria"/>
      <family val="4"/>
      <scheme val="major"/>
    </font>
    <font>
      <sz val="10"/>
      <color rgb="FFFFFF00"/>
      <name val="Cambria"/>
      <family val="4"/>
      <scheme val="major"/>
    </font>
    <font>
      <sz val="10"/>
      <color theme="4"/>
      <name val="Cambria"/>
      <family val="4"/>
      <scheme val="major"/>
    </font>
    <font>
      <b/>
      <sz val="12"/>
      <color theme="1"/>
      <name val="Cambria"/>
      <family val="2"/>
      <scheme val="major"/>
    </font>
    <font>
      <sz val="9"/>
      <color theme="1"/>
      <name val="Calibri"/>
      <family val="2"/>
      <scheme val="minor"/>
    </font>
    <font>
      <sz val="10"/>
      <color theme="4"/>
      <name val="Calibri"/>
      <family val="2"/>
      <scheme val="minor"/>
    </font>
    <font>
      <sz val="11"/>
      <color theme="4"/>
      <name val="Cambria"/>
      <family val="4"/>
      <scheme val="major"/>
    </font>
    <font>
      <b/>
      <sz val="11.5"/>
      <color theme="1"/>
      <name val="Cambria"/>
      <family val="2"/>
      <scheme val="major"/>
    </font>
    <font>
      <b/>
      <sz val="11.5"/>
      <color theme="0" tint="-0.249977111117893"/>
      <name val="Calibri"/>
      <family val="2"/>
      <scheme val="minor"/>
    </font>
    <font>
      <b/>
      <sz val="12"/>
      <color theme="0"/>
      <name val="Cambria"/>
      <family val="1"/>
      <scheme val="major"/>
    </font>
    <font>
      <b/>
      <sz val="28"/>
      <color theme="0"/>
      <name val="Cambria"/>
      <family val="1"/>
      <scheme val="major"/>
    </font>
    <font>
      <sz val="10"/>
      <color theme="0"/>
      <name val="Calibri"/>
      <family val="2"/>
      <scheme val="minor"/>
    </font>
    <font>
      <sz val="11"/>
      <color theme="0"/>
      <name val="Cambria"/>
      <family val="4"/>
      <scheme val="major"/>
    </font>
    <font>
      <sz val="12"/>
      <color theme="0"/>
      <name val="Cambria"/>
      <family val="1"/>
      <scheme val="major"/>
    </font>
    <font>
      <sz val="12"/>
      <color theme="0"/>
      <name val="Cambria"/>
      <family val="4"/>
      <scheme val="major"/>
    </font>
    <font>
      <sz val="12"/>
      <color theme="0"/>
      <name val="Calibri"/>
      <family val="2"/>
      <scheme val="minor"/>
    </font>
    <font>
      <sz val="11"/>
      <name val="Calibri"/>
      <family val="2"/>
      <scheme val="minor"/>
    </font>
    <font>
      <b/>
      <sz val="11.5"/>
      <color theme="1" tint="0.34998626667073579"/>
      <name val="Calibri"/>
      <family val="2"/>
      <scheme val="minor"/>
    </font>
    <font>
      <b/>
      <sz val="13"/>
      <color theme="3"/>
      <name val="Calibri"/>
      <family val="2"/>
      <scheme val="minor"/>
    </font>
    <font>
      <b/>
      <sz val="13"/>
      <color theme="3" tint="-0.249977111117893"/>
      <name val="Calibri"/>
      <family val="2"/>
      <scheme val="minor"/>
    </font>
    <font>
      <b/>
      <sz val="11"/>
      <color theme="1"/>
      <name val="Calibri"/>
      <family val="2"/>
      <scheme val="minor"/>
    </font>
    <font>
      <sz val="11"/>
      <color theme="0"/>
      <name val="Calibri"/>
      <family val="2"/>
      <scheme val="minor"/>
    </font>
    <font>
      <sz val="11"/>
      <name val="Calibri"/>
      <family val="2"/>
    </font>
    <font>
      <sz val="10"/>
      <color theme="1"/>
      <name val="Calibri"/>
      <family val="2"/>
      <scheme val="minor"/>
    </font>
    <font>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5">
    <fill>
      <patternFill patternType="none"/>
    </fill>
    <fill>
      <patternFill patternType="gray125"/>
    </fill>
    <fill>
      <patternFill patternType="solid">
        <fgColor theme="1" tint="0.14999847407452621"/>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style="thin">
        <color theme="0" tint="-0.14996795556505021"/>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1" fillId="0" borderId="0"/>
    <xf numFmtId="0" fontId="23" fillId="0" borderId="4" applyNumberFormat="0" applyFill="0" applyAlignment="0" applyProtection="0"/>
    <xf numFmtId="165" fontId="28" fillId="0" borderId="0" applyFont="0" applyFill="0" applyBorder="0" applyAlignment="0" applyProtection="0"/>
    <xf numFmtId="164"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7" applyNumberFormat="0" applyAlignment="0" applyProtection="0"/>
    <xf numFmtId="0" fontId="36" fillId="8" borderId="8" applyNumberFormat="0" applyAlignment="0" applyProtection="0"/>
    <xf numFmtId="0" fontId="37" fillId="8" borderId="7" applyNumberFormat="0" applyAlignment="0" applyProtection="0"/>
    <xf numFmtId="0" fontId="38" fillId="0" borderId="9" applyNumberFormat="0" applyFill="0" applyAlignment="0" applyProtection="0"/>
    <xf numFmtId="0" fontId="39" fillId="9" borderId="10" applyNumberFormat="0" applyAlignment="0" applyProtection="0"/>
    <xf numFmtId="0" fontId="40" fillId="0" borderId="0" applyNumberFormat="0" applyFill="0" applyBorder="0" applyAlignment="0" applyProtection="0"/>
    <xf numFmtId="0" fontId="28" fillId="10" borderId="11" applyNumberFormat="0" applyFont="0" applyAlignment="0" applyProtection="0"/>
    <xf numFmtId="0" fontId="41" fillId="0" borderId="0" applyNumberFormat="0" applyFill="0" applyBorder="0" applyAlignment="0" applyProtection="0"/>
    <xf numFmtId="0" fontId="25" fillId="0" borderId="12"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5">
    <xf numFmtId="0" fontId="0" fillId="0" borderId="0" xfId="0"/>
    <xf numFmtId="0" fontId="0" fillId="0" borderId="0" xfId="0" applyFont="1"/>
    <xf numFmtId="0" fontId="0" fillId="0" borderId="0" xfId="0" applyFont="1" applyFill="1" applyBorder="1"/>
    <xf numFmtId="0" fontId="3" fillId="2" borderId="0" xfId="0" applyFont="1" applyFill="1" applyAlignment="1">
      <alignment horizontal="left" indent="1"/>
    </xf>
    <xf numFmtId="0" fontId="10" fillId="2" borderId="0" xfId="0" applyFont="1" applyFill="1"/>
    <xf numFmtId="0" fontId="11" fillId="2" borderId="0" xfId="0" applyFont="1" applyFill="1"/>
    <xf numFmtId="0" fontId="7" fillId="2" borderId="0" xfId="0" applyFont="1" applyFill="1"/>
    <xf numFmtId="0" fontId="4" fillId="0" borderId="0" xfId="0" applyFont="1" applyFill="1"/>
    <xf numFmtId="0" fontId="7" fillId="0" borderId="0" xfId="0" applyFont="1" applyFill="1"/>
    <xf numFmtId="0" fontId="6" fillId="0" borderId="0" xfId="0" applyFont="1" applyFill="1"/>
    <xf numFmtId="0" fontId="5" fillId="0" borderId="0" xfId="0" applyFont="1" applyFill="1"/>
    <xf numFmtId="0" fontId="0" fillId="0" borderId="0" xfId="0" applyFill="1"/>
    <xf numFmtId="0" fontId="14" fillId="2" borderId="0" xfId="0" applyFont="1" applyFill="1"/>
    <xf numFmtId="0" fontId="7" fillId="2" borderId="0" xfId="0" applyFont="1" applyFill="1" applyAlignment="1"/>
    <xf numFmtId="0" fontId="16" fillId="2" borderId="0" xfId="0" applyFont="1" applyFill="1"/>
    <xf numFmtId="0" fontId="17" fillId="2" borderId="0" xfId="0" applyFont="1" applyFill="1"/>
    <xf numFmtId="0" fontId="18" fillId="2" borderId="0" xfId="0" applyFont="1" applyFill="1" applyAlignment="1">
      <alignment horizontal="left" indent="1"/>
    </xf>
    <xf numFmtId="0" fontId="19" fillId="2" borderId="0" xfId="0" applyFont="1" applyFill="1" applyAlignment="1">
      <alignment horizontal="left" indent="1"/>
    </xf>
    <xf numFmtId="0" fontId="19" fillId="2" borderId="0" xfId="0" applyFont="1" applyFill="1"/>
    <xf numFmtId="0" fontId="20" fillId="2" borderId="0" xfId="0" applyFont="1" applyFill="1"/>
    <xf numFmtId="0" fontId="16" fillId="0" borderId="0" xfId="0" applyFont="1"/>
    <xf numFmtId="0" fontId="22" fillId="0" borderId="0" xfId="0" applyFont="1" applyFill="1" applyBorder="1" applyAlignment="1">
      <alignment horizontal="center"/>
    </xf>
    <xf numFmtId="0" fontId="24" fillId="3" borderId="4" xfId="2" applyFont="1" applyFill="1" applyAlignment="1">
      <alignment horizontal="center"/>
    </xf>
    <xf numFmtId="0" fontId="0" fillId="0" borderId="0" xfId="0" applyAlignment="1">
      <alignment vertical="center"/>
    </xf>
    <xf numFmtId="0" fontId="2"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0" fontId="0" fillId="0" borderId="0" xfId="0" applyAlignment="1">
      <alignment wrapText="1"/>
    </xf>
    <xf numFmtId="0" fontId="17" fillId="2" borderId="0" xfId="0" applyFont="1" applyFill="1" applyAlignment="1">
      <alignment wrapText="1"/>
    </xf>
    <xf numFmtId="0" fontId="16" fillId="2" borderId="0" xfId="0" applyFont="1" applyFill="1" applyAlignment="1">
      <alignment wrapText="1"/>
    </xf>
    <xf numFmtId="0" fontId="27" fillId="0" borderId="0" xfId="0" applyFont="1" applyAlignment="1">
      <alignment wrapText="1"/>
    </xf>
    <xf numFmtId="0" fontId="8" fillId="0" borderId="3" xfId="0" applyNumberFormat="1" applyFont="1" applyFill="1" applyBorder="1" applyAlignment="1"/>
    <xf numFmtId="0" fontId="8" fillId="0" borderId="0" xfId="0" applyNumberFormat="1" applyFont="1" applyFill="1" applyBorder="1" applyAlignment="1"/>
    <xf numFmtId="0" fontId="13" fillId="0" borderId="3"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3" xfId="0" applyNumberFormat="1" applyFont="1" applyFill="1" applyBorder="1" applyAlignment="1">
      <alignment horizontal="center"/>
    </xf>
    <xf numFmtId="0" fontId="0" fillId="0" borderId="0" xfId="0" applyNumberFormat="1" applyFont="1" applyFill="1" applyBorder="1"/>
    <xf numFmtId="0" fontId="0" fillId="0" borderId="3" xfId="0" applyNumberFormat="1" applyFont="1" applyBorder="1"/>
    <xf numFmtId="0" fontId="0" fillId="0" borderId="0" xfId="0" applyNumberFormat="1" applyFont="1"/>
    <xf numFmtId="0" fontId="0" fillId="0" borderId="0" xfId="0" applyNumberFormat="1"/>
    <xf numFmtId="0" fontId="0" fillId="0" borderId="3" xfId="0" applyNumberFormat="1" applyBorder="1"/>
    <xf numFmtId="0" fontId="9" fillId="0" borderId="0" xfId="0" applyNumberFormat="1" applyFont="1"/>
    <xf numFmtId="166" fontId="0" fillId="0" borderId="0" xfId="0" applyNumberFormat="1" applyFont="1" applyFill="1" applyBorder="1" applyAlignment="1">
      <alignment horizontal="center"/>
    </xf>
    <xf numFmtId="0" fontId="1" fillId="0" borderId="0" xfId="0" applyFont="1" applyAlignment="1">
      <alignment vertical="center" wrapText="1"/>
    </xf>
    <xf numFmtId="167" fontId="12" fillId="0" borderId="0" xfId="0" applyNumberFormat="1" applyFont="1" applyFill="1" applyBorder="1" applyAlignment="1">
      <alignment horizontal="left"/>
    </xf>
    <xf numFmtId="0" fontId="7" fillId="0" borderId="0" xfId="0" applyFont="1" applyFill="1"/>
    <xf numFmtId="0" fontId="7" fillId="2" borderId="0" xfId="0" applyFont="1" applyFill="1"/>
    <xf numFmtId="0" fontId="7" fillId="2" borderId="0" xfId="0" applyFont="1" applyFill="1" applyAlignment="1"/>
    <xf numFmtId="14" fontId="7" fillId="2" borderId="0" xfId="0" applyNumberFormat="1" applyFont="1" applyFill="1" applyAlignment="1">
      <alignment horizontal="right" indent="1"/>
    </xf>
    <xf numFmtId="0" fontId="10" fillId="2" borderId="2" xfId="0" applyFont="1" applyFill="1" applyBorder="1"/>
    <xf numFmtId="0" fontId="16" fillId="0" borderId="0" xfId="0" applyFont="1" applyAlignment="1">
      <alignment horizontal="center" wrapText="1"/>
    </xf>
    <xf numFmtId="0" fontId="15" fillId="2" borderId="0" xfId="0" applyFont="1" applyFill="1" applyAlignment="1">
      <alignment horizontal="left" wrapText="1"/>
    </xf>
    <xf numFmtId="0" fontId="15" fillId="2" borderId="0" xfId="0" applyFont="1" applyFill="1" applyAlignment="1">
      <alignment horizontal="right" wrapText="1"/>
    </xf>
    <xf numFmtId="0" fontId="10" fillId="2" borderId="1" xfId="0" applyFont="1" applyFill="1" applyBorder="1"/>
  </cellXfs>
  <cellStyles count="48">
    <cellStyle name="20 % – Poudarek1" xfId="25" builtinId="30" customBuiltin="1"/>
    <cellStyle name="20 % – Poudarek2" xfId="29" builtinId="34" customBuiltin="1"/>
    <cellStyle name="20 % – Poudarek3" xfId="33" builtinId="38" customBuiltin="1"/>
    <cellStyle name="20 % – Poudarek4" xfId="37" builtinId="42" customBuiltin="1"/>
    <cellStyle name="20 % – Poudarek5" xfId="41" builtinId="46" customBuiltin="1"/>
    <cellStyle name="20 % – Poudarek6" xfId="45" builtinId="50" customBuiltin="1"/>
    <cellStyle name="40 % – Poudarek1" xfId="26" builtinId="31" customBuiltin="1"/>
    <cellStyle name="40 % – Poudarek2" xfId="30" builtinId="35" customBuiltin="1"/>
    <cellStyle name="40 % – Poudarek3" xfId="34" builtinId="39" customBuiltin="1"/>
    <cellStyle name="40 % – Poudarek4" xfId="38" builtinId="43" customBuiltin="1"/>
    <cellStyle name="40 % – Poudarek5" xfId="42" builtinId="47" customBuiltin="1"/>
    <cellStyle name="40 % – Poudarek6" xfId="46" builtinId="51" customBuiltin="1"/>
    <cellStyle name="60 % – Poudarek1" xfId="27" builtinId="32" customBuiltin="1"/>
    <cellStyle name="60 % – Poudarek2" xfId="31" builtinId="36" customBuiltin="1"/>
    <cellStyle name="60 % – Poudarek3" xfId="35" builtinId="40" customBuiltin="1"/>
    <cellStyle name="60 % – Poudarek4" xfId="39" builtinId="44" customBuiltin="1"/>
    <cellStyle name="60 % – Poudarek5" xfId="43" builtinId="48" customBuiltin="1"/>
    <cellStyle name="60 % – Poudarek6" xfId="47" builtinId="52" customBuiltin="1"/>
    <cellStyle name="Dobro" xfId="12" builtinId="26" customBuiltin="1"/>
    <cellStyle name="Izhod" xfId="16" builtinId="21" customBuiltin="1"/>
    <cellStyle name="Naslov" xfId="8" builtinId="15" customBuiltin="1"/>
    <cellStyle name="Naslov 1" xfId="9" builtinId="16" customBuiltin="1"/>
    <cellStyle name="Naslov 2" xfId="2" builtinId="17" customBuiltin="1"/>
    <cellStyle name="Naslov 3" xfId="10" builtinId="18" customBuiltin="1"/>
    <cellStyle name="Naslov 4" xfId="11" builtinId="19" customBuiltin="1"/>
    <cellStyle name="Navadno" xfId="0" builtinId="0" customBuiltin="1"/>
    <cellStyle name="Navadno 2" xfId="1" xr:uid="{00000000-0005-0000-0000-000001000000}"/>
    <cellStyle name="Nevtralno" xfId="14" builtinId="28" customBuiltin="1"/>
    <cellStyle name="Odstotek" xfId="7" builtinId="5" customBuiltin="1"/>
    <cellStyle name="Opomba" xfId="21" builtinId="10" customBuiltin="1"/>
    <cellStyle name="Opozorilo" xfId="20" builtinId="11" customBuiltin="1"/>
    <cellStyle name="Pojasnjevalno besedilo" xfId="22" builtinId="53" customBuiltin="1"/>
    <cellStyle name="Poudarek1" xfId="24" builtinId="29" customBuiltin="1"/>
    <cellStyle name="Poudarek2" xfId="28" builtinId="33" customBuiltin="1"/>
    <cellStyle name="Poudarek3" xfId="32" builtinId="37" customBuiltin="1"/>
    <cellStyle name="Poudarek4" xfId="36" builtinId="41" customBuiltin="1"/>
    <cellStyle name="Poudarek5" xfId="40" builtinId="45" customBuiltin="1"/>
    <cellStyle name="Poudarek6" xfId="44" builtinId="49" customBuiltin="1"/>
    <cellStyle name="Povezana celica" xfId="18" builtinId="24" customBuiltin="1"/>
    <cellStyle name="Preveri celico" xfId="19" builtinId="23" customBuiltin="1"/>
    <cellStyle name="Računanje" xfId="17" builtinId="22" customBuiltin="1"/>
    <cellStyle name="Slabo" xfId="13" builtinId="27" customBuiltin="1"/>
    <cellStyle name="Valuta" xfId="5" builtinId="4" customBuiltin="1"/>
    <cellStyle name="Valuta [0]" xfId="6" builtinId="7" customBuiltin="1"/>
    <cellStyle name="Vejica" xfId="3" builtinId="3" customBuiltin="1"/>
    <cellStyle name="Vejica [0]" xfId="4" builtinId="6" customBuiltin="1"/>
    <cellStyle name="Vnos" xfId="15" builtinId="20" customBuiltin="1"/>
    <cellStyle name="Vsota" xfId="23" builtinId="25" customBuiltin="1"/>
  </cellStyles>
  <dxfs count="109">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6"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AE$3" max="2999" min="1900" page="10" val="202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85725</xdr:rowOff>
    </xdr:from>
    <xdr:to>
      <xdr:col>36</xdr:col>
      <xdr:colOff>172576</xdr:colOff>
      <xdr:row>22</xdr:row>
      <xdr:rowOff>7239</xdr:rowOff>
    </xdr:to>
    <xdr:sp macro="" textlink="">
      <xdr:nvSpPr>
        <xdr:cNvPr id="2" name="Okvir šolske table" descr="Leseni okvir šolske table">
          <a:extLst>
            <a:ext uri="{FF2B5EF4-FFF2-40B4-BE49-F238E27FC236}">
              <a16:creationId xmlns:a16="http://schemas.microsoft.com/office/drawing/2014/main" id="{00000000-0008-0000-0100-000002000000}"/>
            </a:ext>
          </a:extLst>
        </xdr:cNvPr>
        <xdr:cNvSpPr/>
      </xdr:nvSpPr>
      <xdr:spPr>
        <a:xfrm>
          <a:off x="238126" y="85725"/>
          <a:ext cx="9288000" cy="4188714"/>
        </a:xfrm>
        <a:prstGeom prst="frame">
          <a:avLst>
            <a:gd name="adj1" fmla="val 4776"/>
          </a:avLst>
        </a:prstGeom>
        <a:blipFill>
          <a:blip xmlns:r="http://schemas.openxmlformats.org/officeDocument/2006/relationships" r:embed="rId1">
            <a:extLst>
              <a:ext uri="{BEBA8EAE-BF5A-486C-A8C5-ECC9F3942E4B}">
                <a14:imgProps xmlns:a14="http://schemas.microsoft.com/office/drawing/2010/main">
                  <a14:imgLayer r:embed="rId2">
                    <a14:imgEffect>
                      <a14:artisticCrisscrossEtching/>
                    </a14:imgEffect>
                  </a14:imgLayer>
                </a14:imgProps>
              </a:ext>
            </a:extLst>
          </a:blip>
          <a:tile tx="0" ty="0" sx="100000" sy="100000" flip="none" algn="tl"/>
        </a:blipFill>
        <a:ln>
          <a:noFill/>
        </a:ln>
        <a:effectLst>
          <a:innerShdw blurRad="114300">
            <a:prstClr val="black"/>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twoCellAnchor editAs="oneCell">
    <xdr:from>
      <xdr:col>37</xdr:col>
      <xdr:colOff>9527</xdr:colOff>
      <xdr:row>2</xdr:row>
      <xdr:rowOff>104776</xdr:rowOff>
    </xdr:from>
    <xdr:to>
      <xdr:col>40</xdr:col>
      <xdr:colOff>1</xdr:colOff>
      <xdr:row>3</xdr:row>
      <xdr:rowOff>0</xdr:rowOff>
    </xdr:to>
    <xdr:sp macro="" textlink="">
      <xdr:nvSpPr>
        <xdr:cNvPr id="4" name="Navodila" descr="Nasvet: če želite spremeniti koledarsko leto, uporabite vrtavko.">
          <a:extLst>
            <a:ext uri="{FF2B5EF4-FFF2-40B4-BE49-F238E27FC236}">
              <a16:creationId xmlns:a16="http://schemas.microsoft.com/office/drawing/2014/main" id="{00000000-0008-0000-0100-000004000000}"/>
            </a:ext>
          </a:extLst>
        </xdr:cNvPr>
        <xdr:cNvSpPr txBox="1"/>
      </xdr:nvSpPr>
      <xdr:spPr>
        <a:xfrm>
          <a:off x="7715252" y="552451"/>
          <a:ext cx="1819274"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r>
            <a:rPr lang="sl" sz="1000" b="0" i="1">
              <a:solidFill>
                <a:schemeClr val="tx1">
                  <a:lumMod val="75000"/>
                  <a:lumOff val="25000"/>
                </a:schemeClr>
              </a:solidFill>
              <a:latin typeface="Calibri" panose="020F0502020204030204" pitchFamily="34" charset="0"/>
            </a:rPr>
            <a:t>Če želite spremeniti koledarsko leto, uporabite vrtavko.</a:t>
          </a:r>
        </a:p>
      </xdr:txBody>
    </xdr:sp>
    <xdr:clientData fPrintsWithSheet="0"/>
  </xdr:twoCellAnchor>
  <xdr:twoCellAnchor editAs="oneCell">
    <xdr:from>
      <xdr:col>18</xdr:col>
      <xdr:colOff>114300</xdr:colOff>
      <xdr:row>4</xdr:row>
      <xdr:rowOff>85725</xdr:rowOff>
    </xdr:from>
    <xdr:to>
      <xdr:col>18</xdr:col>
      <xdr:colOff>114300</xdr:colOff>
      <xdr:row>20</xdr:row>
      <xdr:rowOff>24765</xdr:rowOff>
    </xdr:to>
    <xdr:cxnSp macro="">
      <xdr:nvCxnSpPr>
        <xdr:cNvPr id="6" name="Razdelilna črta na šolski tabli" descr="Razdelilna črta na šolski tabli">
          <a:extLst>
            <a:ext uri="{FF2B5EF4-FFF2-40B4-BE49-F238E27FC236}">
              <a16:creationId xmlns:a16="http://schemas.microsoft.com/office/drawing/2014/main" id="{00000000-0008-0000-0100-000006000000}"/>
            </a:ext>
          </a:extLst>
        </xdr:cNvPr>
        <xdr:cNvCxnSpPr/>
      </xdr:nvCxnSpPr>
      <xdr:spPr>
        <a:xfrm>
          <a:off x="4343400" y="1076325"/>
          <a:ext cx="0" cy="2834640"/>
        </a:xfrm>
        <a:prstGeom prst="line">
          <a:avLst/>
        </a:prstGeom>
        <a:ln w="3175">
          <a:solidFill>
            <a:schemeClr val="accent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35</xdr:col>
          <xdr:colOff>0</xdr:colOff>
          <xdr:row>2</xdr:row>
          <xdr:rowOff>85725</xdr:rowOff>
        </xdr:from>
        <xdr:to>
          <xdr:col>35</xdr:col>
          <xdr:colOff>152400</xdr:colOff>
          <xdr:row>2</xdr:row>
          <xdr:rowOff>390525</xdr:rowOff>
        </xdr:to>
        <xdr:sp macro="" textlink="">
          <xdr:nvSpPr>
            <xdr:cNvPr id="1025" name="Vrtavka" descr="Z gumbom vrtavke spremenite koledarsko leto ali spremenite leto v celici AE3."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084D8F-5E57-4031-AB3B-95BABC13017E}" name="Januar" displayName="Januar" ref="C25:I31" totalsRowShown="0" headerRowDxfId="107" dataDxfId="106">
  <autoFilter ref="C25:I31" xr:uid="{1ADE8804-B0AD-4D11-994B-A0B41F6BA2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197DA7-A53D-40E2-83EB-11047B8FB9A1}" name="Po" dataDxfId="105"/>
    <tableColumn id="2" xr3:uid="{D28A6F25-5E4C-4F17-88ED-16968913DBE9}" name="To" dataDxfId="104"/>
    <tableColumn id="3" xr3:uid="{BB2355F6-BB28-486C-8D20-834DCACD4F3F}" name="Sr" dataDxfId="103"/>
    <tableColumn id="4" xr3:uid="{50E92CC5-40CA-4805-9BB5-CE0DB8786693}" name="Če" dataDxfId="102"/>
    <tableColumn id="5" xr3:uid="{E4BB72AD-4D9E-41F4-90A0-D41C1000188D}" name="Pe" dataDxfId="101"/>
    <tableColumn id="6" xr3:uid="{2B371CF3-31DE-453E-9B23-86C0A18DD970}" name="So" dataDxfId="100"/>
    <tableColumn id="7" xr3:uid="{66ED2259-FB70-4D39-BDC5-24C72D11CFAF}" name="Ne" dataDxfId="99"/>
  </tableColumns>
  <tableStyleInfo showFirstColumn="0" showLastColumn="0" showRowStripes="0" showColumnStripes="0"/>
  <extLst>
    <ext xmlns:x14="http://schemas.microsoft.com/office/spreadsheetml/2009/9/main" uri="{504A1905-F514-4f6f-8877-14C23A59335A}">
      <x14:table altTextSummary="Januarski koledar in dan v tednu sta samodejno izračunana za leto, ki je vneseno v celici AE3 v tej tabeli."/>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09AB6E0-CD0E-4829-AEC6-6555470351F2}" name="Maj" displayName="Maj" ref="C34:I40" totalsRowShown="0" headerRowDxfId="26" dataDxfId="25">
  <autoFilter ref="C34:I40" xr:uid="{DD84EE09-28A1-495B-AAF7-8A0DC4C4308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B5F498-A896-471E-B854-83E1F5569372}" name="Po" dataDxfId="24"/>
    <tableColumn id="2" xr3:uid="{BA329B39-24F6-49D6-B18B-B0D068298D8D}" name="To" dataDxfId="23"/>
    <tableColumn id="3" xr3:uid="{C799F152-9858-4AF4-A0FF-8FCA81C8D628}" name="Sr" dataDxfId="22"/>
    <tableColumn id="4" xr3:uid="{E983E442-3CDE-46FF-8F09-DAE022ADCC87}" name="Če" dataDxfId="21"/>
    <tableColumn id="5" xr3:uid="{8149405D-CCBC-4B4B-85BE-1A4FF328E013}" name="Pe" dataDxfId="20"/>
    <tableColumn id="6" xr3:uid="{9C43832F-4334-4B42-B414-EFF19262FEE6}" name="So" dataDxfId="19"/>
    <tableColumn id="7" xr3:uid="{9AF096CA-BE9E-4E1D-838B-C9706D1EF82D}" name="Ne" dataDxfId="18"/>
  </tableColumns>
  <tableStyleInfo showFirstColumn="0" showLastColumn="0" showRowStripes="0" showColumnStripes="0"/>
  <extLst>
    <ext xmlns:x14="http://schemas.microsoft.com/office/spreadsheetml/2009/9/main" uri="{504A1905-F514-4f6f-8877-14C23A59335A}">
      <x14:table altTextSummary="Majski koledar in dan v tednu sta samodejno izračunana za leto, ki je vneseno v celici AE3 v tej tabeli."/>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C1C30F-F899-4F2F-ACC1-9E735A2D638E}" name="Junij" displayName="Junij" ref="L34:R40" totalsRowShown="0" headerRowDxfId="17" dataDxfId="16">
  <autoFilter ref="L34:R40" xr:uid="{06E6625D-5B44-4419-B810-7FC21D452B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503938C-7986-49FF-9501-DDC17B342FAA}" name="Po" dataDxfId="15"/>
    <tableColumn id="2" xr3:uid="{D09E41EB-4C62-4845-BE36-E7C6C3889C0C}" name="To" dataDxfId="14"/>
    <tableColumn id="3" xr3:uid="{7E15A4CB-F43F-4EBE-BA7C-AF20ECC6CFCF}" name="Sr" dataDxfId="13"/>
    <tableColumn id="4" xr3:uid="{FB6E5EE0-423F-4A55-9060-8B0B30DC7B4C}" name="Če" dataDxfId="12"/>
    <tableColumn id="5" xr3:uid="{C7F55345-04C4-4F39-ADF6-BE38EF870C9A}" name="Pe" dataDxfId="11"/>
    <tableColumn id="6" xr3:uid="{89E766D5-3601-41EB-A409-D3C988BFEBDC}" name="So" dataDxfId="10"/>
    <tableColumn id="7" xr3:uid="{B37A6A8B-9721-42FA-8CA0-0914B15D5A98}" name="Ne" dataDxfId="9"/>
  </tableColumns>
  <tableStyleInfo showFirstColumn="0" showLastColumn="0" showRowStripes="0" showColumnStripes="0"/>
  <extLst>
    <ext xmlns:x14="http://schemas.microsoft.com/office/spreadsheetml/2009/9/main" uri="{504A1905-F514-4f6f-8877-14C23A59335A}">
      <x14:table altTextSummary="Junijski koledar in dan v tednu sta samodejno izračunana za leto, ki je vneseno v celici AE3 v tej tabeli."/>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EF8228F-878A-4314-8FAB-11CFA7BBDCCE}" name="Julij" displayName="Julij" ref="U34:AA40" totalsRowShown="0" headerRowDxfId="8" dataDxfId="7">
  <autoFilter ref="U34:AA40" xr:uid="{9393EAC2-153E-44A1-8C75-70195AD060C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04AB094-7893-4603-B8E4-15FF6D7C848C}" name="Po" dataDxfId="6"/>
    <tableColumn id="2" xr3:uid="{84C699AB-6496-441A-B237-2EB283CEFEAE}" name="To" dataDxfId="5"/>
    <tableColumn id="3" xr3:uid="{F183BF59-9DC2-4398-81DB-F0438980A67D}" name="Sr" dataDxfId="4"/>
    <tableColumn id="4" xr3:uid="{57B4D1AE-A132-42AB-B0DA-DFFC07D5E12F}" name="Če" dataDxfId="3"/>
    <tableColumn id="5" xr3:uid="{99F0B57B-81B2-4F58-814B-9AF63612A63B}" name="Pe" dataDxfId="2"/>
    <tableColumn id="6" xr3:uid="{85194B0F-B914-42E3-9849-D706E0596F18}" name="So" dataDxfId="1"/>
    <tableColumn id="7" xr3:uid="{D5875EA9-3BE5-41A0-8B63-BDE1DE894F6A}" name="Ne" dataDxfId="0"/>
  </tableColumns>
  <tableStyleInfo showFirstColumn="0" showLastColumn="0" showRowStripes="0" showColumnStripes="0"/>
  <extLst>
    <ext xmlns:x14="http://schemas.microsoft.com/office/spreadsheetml/2009/9/main" uri="{504A1905-F514-4f6f-8877-14C23A59335A}">
      <x14:table altTextSummary="Julijski koledar in dan v tednu sta samodejno izračunana za leto, ki je vneseno v celici AE3 v tej tabel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B1B8811-C173-43D0-81E6-C30611F9E48C}" name="Februar" displayName="Februar" ref="L25:R31" totalsRowShown="0" headerRowDxfId="98" dataDxfId="97">
  <autoFilter ref="L25:R31" xr:uid="{09FFEE6B-010F-48D3-B7C4-7E92ACC16B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ED18BE3-3587-499C-9504-874D29C247A0}" name="Po" dataDxfId="96"/>
    <tableColumn id="2" xr3:uid="{A205A52F-8E37-498A-A5CC-6FD0732AF131}" name="To" dataDxfId="95"/>
    <tableColumn id="3" xr3:uid="{4F8A4A4F-781E-4A2F-9EF3-0FF67EE2444C}" name="Sr" dataDxfId="94"/>
    <tableColumn id="4" xr3:uid="{CDAFA5B3-2779-483C-99FC-75278781B8FD}" name="Če" dataDxfId="93"/>
    <tableColumn id="5" xr3:uid="{C5B99975-7BB5-4A5D-8222-AC94AE515D3A}" name="Pe" dataDxfId="92"/>
    <tableColumn id="6" xr3:uid="{5AF46251-0E40-4F5B-94D6-BDC11EC73FDB}" name="So" dataDxfId="91"/>
    <tableColumn id="7" xr3:uid="{658ADFA5-E083-46E9-B4B2-6F07BA9C7140}" name="Ne" dataDxfId="90"/>
  </tableColumns>
  <tableStyleInfo showFirstColumn="0" showLastColumn="0" showRowStripes="0" showColumnStripes="0"/>
  <extLst>
    <ext xmlns:x14="http://schemas.microsoft.com/office/spreadsheetml/2009/9/main" uri="{504A1905-F514-4f6f-8877-14C23A59335A}">
      <x14:table altTextSummary="Februarski koledar in dan v tednu sta samodejno izračunana za leto, ki je vneseno v celici AE3 v tej tabel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D92657-C237-4754-BCC7-2602796838F9}" name="Marec" displayName="Marec" ref="U25:AA31" totalsRowShown="0" headerRowDxfId="89" dataDxfId="88">
  <autoFilter ref="U25:AA31" xr:uid="{B456D373-3115-41EB-A162-40F83720CC9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4069E1A-70FC-4342-918B-8E6B20A93356}" name="Po" dataDxfId="87"/>
    <tableColumn id="2" xr3:uid="{1976C28A-BF43-4F82-B3A1-179B4B4AF804}" name="To" dataDxfId="86"/>
    <tableColumn id="3" xr3:uid="{DFDBD758-6531-462B-9AE8-3686E98FFCA9}" name="Sr" dataDxfId="85"/>
    <tableColumn id="4" xr3:uid="{3AA99097-3DF7-4398-A496-FF080F2CE97E}" name="Če" dataDxfId="84"/>
    <tableColumn id="5" xr3:uid="{0E76D483-C95C-4DD9-9CAE-A97C8544598B}" name="Pe" dataDxfId="83"/>
    <tableColumn id="6" xr3:uid="{7D921C56-69EB-4ABA-9B90-EA9F831DCC34}" name="So" dataDxfId="82"/>
    <tableColumn id="7" xr3:uid="{03450A21-A6C8-4854-B72B-E981E5FC9DC9}" name="Ne" dataDxfId="81"/>
  </tableColumns>
  <tableStyleInfo showFirstColumn="0" showLastColumn="0" showRowStripes="0" showColumnStripes="0"/>
  <extLst>
    <ext xmlns:x14="http://schemas.microsoft.com/office/spreadsheetml/2009/9/main" uri="{504A1905-F514-4f6f-8877-14C23A59335A}">
      <x14:table altTextSummary="Marčevski koledar in dan v tednu sta samodejno izračunana za leto, ki je vneseno v celici AE3 v tej tabeli."/>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087589-C009-49EB-AFDC-257881EDD147}" name="April" displayName="April" ref="AD25:AJ31" totalsRowShown="0" headerRowDxfId="80" dataDxfId="79">
  <autoFilter ref="AD25:AJ31" xr:uid="{8BFC6485-6E26-4A91-8066-650E029D3FF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EEF355-B82A-4D6F-B450-C6D068838F44}" name="Po" dataDxfId="78"/>
    <tableColumn id="2" xr3:uid="{0221955E-CD3B-479A-BF28-D0EB57D80A7C}" name="To" dataDxfId="77"/>
    <tableColumn id="3" xr3:uid="{273B5508-3FFE-4EFC-8827-E1E9731A6D7E}" name="Sr" dataDxfId="76"/>
    <tableColumn id="4" xr3:uid="{7F787E39-16E5-49DD-AA24-872C926B911A}" name="Če" dataDxfId="75"/>
    <tableColumn id="5" xr3:uid="{8AAAF603-B5C0-498D-9D55-5F9E7E387865}" name="Pe" dataDxfId="74"/>
    <tableColumn id="6" xr3:uid="{79472EDD-BC97-4C5A-A27E-F1390E092491}" name="So" dataDxfId="73"/>
    <tableColumn id="7" xr3:uid="{85A34A75-8BEB-40C8-9A1F-62A4F246DB22}" name="Ne" dataDxfId="72"/>
  </tableColumns>
  <tableStyleInfo showFirstColumn="0" showLastColumn="0" showRowStripes="0" showColumnStripes="0"/>
  <extLst>
    <ext xmlns:x14="http://schemas.microsoft.com/office/spreadsheetml/2009/9/main" uri="{504A1905-F514-4f6f-8877-14C23A59335A}">
      <x14:table altTextSummary="Aprilski koledar in dan v tednu sta samodejno izračunana za leto, ki je vneseno v celici AE3 v tej tabeli."/>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BF5564-BB5A-4618-B4DB-982512EAFB11}" name="Avgust" displayName="Avgust" ref="AD34:AJ40" totalsRowShown="0" headerRowDxfId="71" dataDxfId="70">
  <autoFilter ref="AD34:AJ40" xr:uid="{5719ADA1-9BC9-4D98-B98F-4D6D2024564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67B3F8E-C14A-47E8-8002-E8A7D40C3E27}" name="Po" dataDxfId="69"/>
    <tableColumn id="2" xr3:uid="{01DDCFDC-70E0-489A-AAAE-CD22902F985B}" name="To" dataDxfId="68"/>
    <tableColumn id="3" xr3:uid="{6CBD51C1-76AC-4F6D-BE33-4C9402A220A5}" name="Sr" dataDxfId="67"/>
    <tableColumn id="4" xr3:uid="{EC58AF9D-EB3F-4E1D-8E68-2B1EF525DBAB}" name="Če" dataDxfId="66"/>
    <tableColumn id="5" xr3:uid="{C367D5EF-1033-48E8-A2C7-4068935677BF}" name="Pe" dataDxfId="65"/>
    <tableColumn id="6" xr3:uid="{219986D6-6C09-4E7C-B268-689E81800E13}" name="So" dataDxfId="64"/>
    <tableColumn id="7" xr3:uid="{B02FE3BD-CE1D-4250-99CE-0DB5D42E3E4D}" name="Ne" dataDxfId="63"/>
  </tableColumns>
  <tableStyleInfo showFirstColumn="0" showLastColumn="0" showRowStripes="0" showColumnStripes="0"/>
  <extLst>
    <ext xmlns:x14="http://schemas.microsoft.com/office/spreadsheetml/2009/9/main" uri="{504A1905-F514-4f6f-8877-14C23A59335A}">
      <x14:table altTextSummary="Avgustovski koledar in dan v tednu sta samodejno izračunana za leto, ki je vneseno v celici AE3 v tej tabeli."/>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FF5790-842E-4103-BC29-B54ACD26D025}" name="December" displayName="December" ref="AD43:AJ49" totalsRowShown="0" headerRowDxfId="62" dataDxfId="61">
  <autoFilter ref="AD43:AJ49" xr:uid="{CEC5793F-6ABD-47F5-97E3-AA946FC68D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7CB8969-BEA3-4624-979E-E1374078F18D}" name="Po" dataDxfId="60"/>
    <tableColumn id="2" xr3:uid="{DCB993F9-E5E9-4213-9C84-46F6E62105D7}" name="To" dataDxfId="59"/>
    <tableColumn id="3" xr3:uid="{ED7C5EA4-3B5B-404A-99A0-AD0C523D02E8}" name="Sr" dataDxfId="58"/>
    <tableColumn id="4" xr3:uid="{35FA642E-79F1-4B64-ACDB-3AB30A01BB43}" name="Če" dataDxfId="57"/>
    <tableColumn id="5" xr3:uid="{9119F847-2CFB-4518-954A-408F67803C6D}" name="Pe" dataDxfId="56"/>
    <tableColumn id="6" xr3:uid="{CFC3B963-A43F-4B9E-A411-25CF38B5B8FB}" name="So" dataDxfId="55"/>
    <tableColumn id="7" xr3:uid="{6773B7AD-6C98-4B11-ACCC-958503B6DC12}" name="Ne" dataDxfId="54"/>
  </tableColumns>
  <tableStyleInfo showFirstColumn="0" showLastColumn="0" showRowStripes="0" showColumnStripes="0"/>
  <extLst>
    <ext xmlns:x14="http://schemas.microsoft.com/office/spreadsheetml/2009/9/main" uri="{504A1905-F514-4f6f-8877-14C23A59335A}">
      <x14:table altTextSummary="Decembrski koledar in dan v tednu sta samodejno izračunana za leto, ki je vneseno v celici AE3 v tej tabeli."/>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ECAB4FC-D90C-41D6-90D6-EFB979E90C77}" name="November" displayName="November" ref="U43:AA49" totalsRowShown="0" headerRowDxfId="53" dataDxfId="52">
  <autoFilter ref="U43:AA49" xr:uid="{D2B6EA8E-438C-46C4-92D4-1A158BB89EA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3919A4-2344-4CC2-99FA-245A55B3424B}" name="Po" dataDxfId="51"/>
    <tableColumn id="2" xr3:uid="{AA21C15B-CFEE-4282-AC89-A2518C48FE57}" name="To" dataDxfId="50"/>
    <tableColumn id="3" xr3:uid="{50DEF649-6E83-425F-B0F7-9FB8FE7EBB63}" name="Sr" dataDxfId="49"/>
    <tableColumn id="4" xr3:uid="{2FE2FBD4-4B90-4F5C-A8AE-A8CEA2DD5861}" name="Če" dataDxfId="48"/>
    <tableColumn id="5" xr3:uid="{B65AFF60-D315-4718-AF6E-4F26244C19DF}" name="Pe" dataDxfId="47"/>
    <tableColumn id="6" xr3:uid="{E8D0DE96-B2CD-47F6-94B9-529A472368BA}" name="So" dataDxfId="46"/>
    <tableColumn id="7" xr3:uid="{61C86030-ECA7-41C7-A52D-7CF24741A743}" name="Ne" dataDxfId="45"/>
  </tableColumns>
  <tableStyleInfo showFirstColumn="0" showLastColumn="0" showRowStripes="0" showColumnStripes="0"/>
  <extLst>
    <ext xmlns:x14="http://schemas.microsoft.com/office/spreadsheetml/2009/9/main" uri="{504A1905-F514-4f6f-8877-14C23A59335A}">
      <x14:table altTextSummary="Novembrski koledar in dan v tednu sta samodejno izračunana za leto, ki je vneseno v celici AE3 v tej tabeli."/>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9240A08-42CE-49FA-A2A4-AF37C3C91937}" name="Oktober" displayName="Oktober" ref="L43:R49" totalsRowShown="0" headerRowDxfId="44" dataDxfId="43">
  <autoFilter ref="L43:R49" xr:uid="{190FC243-D4ED-4031-BD65-2508A4CC43A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959FE53-B080-4347-851C-F1E6DF868D1E}" name="Po" dataDxfId="42"/>
    <tableColumn id="2" xr3:uid="{58818C2A-A8BB-4BEE-A471-DDCB2289F220}" name="To" dataDxfId="41"/>
    <tableColumn id="3" xr3:uid="{38A99EE2-D9B0-471F-B412-28E7BA093F28}" name="Sr" dataDxfId="40"/>
    <tableColumn id="4" xr3:uid="{E8BBD341-C110-4365-902F-BF128A3818B7}" name="Če" dataDxfId="39"/>
    <tableColumn id="5" xr3:uid="{AECC25E7-B42C-47DE-AC99-4E3039CC4F71}" name="Pe" dataDxfId="38"/>
    <tableColumn id="6" xr3:uid="{2A622645-E1EE-49EF-9B76-A5C8939E6835}" name="So" dataDxfId="37"/>
    <tableColumn id="7" xr3:uid="{DEF76847-D46C-406F-9AAB-FEC40A323551}" name="Ne" dataDxfId="36"/>
  </tableColumns>
  <tableStyleInfo showFirstColumn="0" showLastColumn="0" showRowStripes="0" showColumnStripes="0"/>
  <extLst>
    <ext xmlns:x14="http://schemas.microsoft.com/office/spreadsheetml/2009/9/main" uri="{504A1905-F514-4f6f-8877-14C23A59335A}">
      <x14:table altTextSummary="Oktobrski koledar in dan v tednu sta samodejno izračunana za leto, ki je vneseno v celici AE3 v tej tabeli."/>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2D64E12-997B-4486-8A95-99D21B562D39}" name="September" displayName="September" ref="C43:I49" totalsRowShown="0" headerRowDxfId="35" dataDxfId="34">
  <autoFilter ref="C43:I49" xr:uid="{3F5C9226-4DD1-491C-AC86-DA42A4632E5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5BBC02D-CAFF-4F4E-8247-8C60842E4E75}" name="Po" dataDxfId="33"/>
    <tableColumn id="2" xr3:uid="{5C3756F3-44FD-4E9C-98D1-C798168ABA12}" name="To" dataDxfId="32"/>
    <tableColumn id="3" xr3:uid="{D23E7CE4-63A9-46CF-A6CA-8AB7B4338DE2}" name="Sr" dataDxfId="31"/>
    <tableColumn id="4" xr3:uid="{C18943D6-8975-4A03-9EFA-1A748AC4727A}" name="Če" dataDxfId="30"/>
    <tableColumn id="5" xr3:uid="{8FB9889B-D0CF-4FE9-8A62-5B7B1FE7C4A9}" name="Pe" dataDxfId="29"/>
    <tableColumn id="6" xr3:uid="{B1B5B5E1-3349-4348-8E65-46C36ADC9DFB}" name="So" dataDxfId="28"/>
    <tableColumn id="7" xr3:uid="{94CDB875-64F6-4E7A-A810-55D75100150A}" name="Ne" dataDxfId="27"/>
  </tableColumns>
  <tableStyleInfo showFirstColumn="0" showLastColumn="0" showRowStripes="0" showColumnStripes="0"/>
  <extLst>
    <ext xmlns:x14="http://schemas.microsoft.com/office/spreadsheetml/2009/9/main" uri="{504A1905-F514-4f6f-8877-14C23A59335A}">
      <x14:table altTextSummary="Septembrski koledar in dan v tednu sta samodejno izračunana za leto, ki je vneseno v celici AE3 v tej tabeli."/>
    </ext>
  </extLst>
</table>
</file>

<file path=xl/theme/theme1.xml><?xml version="1.0" encoding="utf-8"?>
<a:theme xmlns:a="http://schemas.openxmlformats.org/drawingml/2006/main" name="9_calendar">
  <a:themeElements>
    <a:clrScheme name="Family Calendar 2">
      <a:dk1>
        <a:sysClr val="windowText" lastClr="000000"/>
      </a:dk1>
      <a:lt1>
        <a:sysClr val="window" lastClr="FFFFFF"/>
      </a:lt1>
      <a:dk2>
        <a:srgbClr val="3E3D2D"/>
      </a:dk2>
      <a:lt2>
        <a:srgbClr val="FFFFFF"/>
      </a:lt2>
      <a:accent1>
        <a:srgbClr val="FFF078"/>
      </a:accent1>
      <a:accent2>
        <a:srgbClr val="99FF66"/>
      </a:accent2>
      <a:accent3>
        <a:srgbClr val="FF99FF"/>
      </a:accent3>
      <a:accent4>
        <a:srgbClr val="92E0F7"/>
      </a:accent4>
      <a:accent5>
        <a:srgbClr val="FFCB92"/>
      </a:accent5>
      <a:accent6>
        <a:srgbClr val="CC99FF"/>
      </a:accent6>
      <a:hlink>
        <a:srgbClr val="BBA600"/>
      </a:hlink>
      <a:folHlink>
        <a:srgbClr val="A45600"/>
      </a:folHlink>
    </a:clrScheme>
    <a:fontScheme name="Custom 7">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E230F-273C-45E9-9C80-355F4F860AE9}">
  <sheetPr>
    <tabColor theme="1" tint="0.34998626667073579"/>
  </sheetPr>
  <dimension ref="B1:B9"/>
  <sheetViews>
    <sheetView showGridLines="0" tabSelected="1" workbookViewId="0"/>
  </sheetViews>
  <sheetFormatPr defaultRowHeight="12.75" x14ac:dyDescent="0.2"/>
  <cols>
    <col min="1" max="1" width="2.7109375" customWidth="1"/>
    <col min="2" max="2" width="85.140625" customWidth="1"/>
    <col min="3" max="3" width="2.7109375" customWidth="1"/>
  </cols>
  <sheetData>
    <row r="1" spans="2:2" ht="18" thickBot="1" x14ac:dyDescent="0.35">
      <c r="B1" s="22" t="s">
        <v>0</v>
      </c>
    </row>
    <row r="2" spans="2:2" ht="30" customHeight="1" thickTop="1" x14ac:dyDescent="0.2">
      <c r="B2" s="44" t="s">
        <v>34</v>
      </c>
    </row>
    <row r="3" spans="2:2" s="23" customFormat="1" ht="30" customHeight="1" x14ac:dyDescent="0.2">
      <c r="B3" s="24" t="s">
        <v>1</v>
      </c>
    </row>
    <row r="4" spans="2:2" s="23" customFormat="1" ht="30" customHeight="1" x14ac:dyDescent="0.2">
      <c r="B4" s="24" t="s">
        <v>2</v>
      </c>
    </row>
    <row r="5" spans="2:2" s="23" customFormat="1" ht="15" x14ac:dyDescent="0.2">
      <c r="B5" s="25" t="s">
        <v>3</v>
      </c>
    </row>
    <row r="6" spans="2:2" ht="46.5" customHeight="1" x14ac:dyDescent="0.2">
      <c r="B6" s="24" t="s">
        <v>4</v>
      </c>
    </row>
    <row r="7" spans="2:2" ht="30" x14ac:dyDescent="0.25">
      <c r="B7" s="31" t="s">
        <v>5</v>
      </c>
    </row>
    <row r="9" spans="2:2" ht="15" x14ac:dyDescent="0.2">
      <c r="B9" s="2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AN50"/>
  <sheetViews>
    <sheetView showGridLines="0" zoomScaleNormal="100" workbookViewId="0"/>
  </sheetViews>
  <sheetFormatPr defaultRowHeight="12.75" x14ac:dyDescent="0.2"/>
  <cols>
    <col min="1" max="1" width="3.42578125" style="20" customWidth="1"/>
    <col min="2" max="2" width="3.140625" customWidth="1"/>
    <col min="3" max="9" width="4.28515625" customWidth="1"/>
    <col min="10" max="11" width="2.28515625" customWidth="1"/>
    <col min="12" max="18" width="4.28515625" customWidth="1"/>
    <col min="19" max="20" width="2.28515625" customWidth="1"/>
    <col min="21" max="27" width="4.28515625" customWidth="1"/>
    <col min="28" max="29" width="2.28515625" customWidth="1"/>
    <col min="30" max="36" width="4.28515625" customWidth="1"/>
    <col min="37" max="37" width="3.28515625" customWidth="1"/>
  </cols>
  <sheetData>
    <row r="1" spans="1:40" ht="20.25" customHeight="1" x14ac:dyDescent="0.2">
      <c r="A1" s="26" t="s">
        <v>6</v>
      </c>
    </row>
    <row r="2" spans="1:40" ht="15" customHeight="1" x14ac:dyDescent="0.2">
      <c r="C2" s="14"/>
      <c r="D2" s="14"/>
      <c r="E2" s="15"/>
      <c r="F2" s="15"/>
      <c r="G2" s="15"/>
      <c r="H2" s="15"/>
      <c r="I2" s="15"/>
      <c r="J2" s="15"/>
      <c r="K2" s="15"/>
      <c r="L2" s="15"/>
      <c r="M2" s="15"/>
      <c r="N2" s="14"/>
      <c r="O2" s="14"/>
      <c r="P2" s="14"/>
      <c r="Q2" s="14"/>
      <c r="R2" s="14"/>
      <c r="S2" s="14"/>
      <c r="T2" s="14"/>
      <c r="U2" s="14"/>
      <c r="V2" s="14"/>
      <c r="W2" s="14"/>
      <c r="X2" s="14"/>
      <c r="Y2" s="14"/>
      <c r="Z2" s="14"/>
      <c r="AA2" s="14"/>
      <c r="AB2" s="14"/>
      <c r="AC2" s="14"/>
      <c r="AD2" s="14"/>
      <c r="AE2" s="14"/>
      <c r="AF2" s="14"/>
      <c r="AG2" s="14"/>
      <c r="AH2" s="14"/>
      <c r="AI2" s="14"/>
      <c r="AJ2" s="14"/>
    </row>
    <row r="3" spans="1:40" s="28" customFormat="1" ht="34.5" customHeight="1" x14ac:dyDescent="0.45">
      <c r="A3" s="27" t="s">
        <v>33</v>
      </c>
      <c r="C3" s="29"/>
      <c r="D3" s="52" t="s">
        <v>21</v>
      </c>
      <c r="E3" s="52"/>
      <c r="F3" s="52"/>
      <c r="G3" s="52"/>
      <c r="H3" s="52"/>
      <c r="I3" s="52"/>
      <c r="J3" s="52"/>
      <c r="K3" s="52"/>
      <c r="L3" s="52"/>
      <c r="M3" s="52"/>
      <c r="N3" s="52"/>
      <c r="O3" s="52"/>
      <c r="P3" s="52"/>
      <c r="Q3" s="52"/>
      <c r="R3" s="52"/>
      <c r="S3" s="52"/>
      <c r="T3" s="52"/>
      <c r="U3" s="52"/>
      <c r="V3" s="52"/>
      <c r="W3" s="52"/>
      <c r="X3" s="52"/>
      <c r="Y3" s="52"/>
      <c r="Z3" s="52"/>
      <c r="AA3" s="52"/>
      <c r="AB3" s="52"/>
      <c r="AC3" s="52"/>
      <c r="AD3" s="52"/>
      <c r="AE3" s="53">
        <f ca="1">YEAR(TODAY())</f>
        <v>2020</v>
      </c>
      <c r="AF3" s="53"/>
      <c r="AG3" s="53"/>
      <c r="AH3" s="53"/>
      <c r="AI3" s="53"/>
      <c r="AJ3" s="30"/>
      <c r="AL3" s="51" t="s">
        <v>32</v>
      </c>
      <c r="AM3" s="51"/>
      <c r="AN3" s="51"/>
    </row>
    <row r="4" spans="1:40" ht="9.75" customHeight="1" x14ac:dyDescent="0.2">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row>
    <row r="5" spans="1:40" ht="15.75" customHeight="1" x14ac:dyDescent="0.25">
      <c r="A5" s="27" t="s">
        <v>7</v>
      </c>
      <c r="C5" s="14"/>
      <c r="D5" s="3" t="s">
        <v>22</v>
      </c>
      <c r="E5" s="16"/>
      <c r="F5" s="17"/>
      <c r="G5" s="17"/>
      <c r="H5" s="18"/>
      <c r="I5" s="18"/>
      <c r="J5" s="18"/>
      <c r="K5" s="18"/>
      <c r="L5" s="18"/>
      <c r="M5" s="3"/>
      <c r="N5" s="19"/>
      <c r="O5" s="18"/>
      <c r="P5" s="19"/>
      <c r="Q5" s="19"/>
      <c r="R5" s="19"/>
      <c r="S5" s="14"/>
      <c r="T5" s="14"/>
      <c r="U5" s="12" t="s">
        <v>31</v>
      </c>
      <c r="V5" s="19"/>
      <c r="W5" s="19"/>
      <c r="X5" s="19"/>
      <c r="Y5" s="19"/>
      <c r="Z5" s="19"/>
      <c r="AA5" s="19"/>
      <c r="AB5" s="19"/>
      <c r="AC5" s="19"/>
      <c r="AD5" s="19"/>
      <c r="AE5" s="19"/>
      <c r="AF5" s="19"/>
      <c r="AG5" s="19"/>
      <c r="AH5" s="19"/>
      <c r="AI5" s="14"/>
      <c r="AJ5" s="14"/>
    </row>
    <row r="6" spans="1:40" x14ac:dyDescent="0.2">
      <c r="C6" s="4"/>
      <c r="D6" s="49">
        <f ca="1">DATE(YEAR(TODAY()),1,1)</f>
        <v>43831</v>
      </c>
      <c r="E6" s="49"/>
      <c r="F6" s="49"/>
      <c r="G6" s="49"/>
      <c r="H6" s="48" t="s">
        <v>27</v>
      </c>
      <c r="I6" s="48"/>
      <c r="J6" s="48"/>
      <c r="K6" s="48"/>
      <c r="L6" s="48"/>
      <c r="M6" s="48"/>
      <c r="N6" s="48"/>
      <c r="O6" s="48"/>
      <c r="P6" s="48"/>
      <c r="Q6" s="48"/>
      <c r="R6" s="13"/>
      <c r="S6" s="6"/>
      <c r="T6" s="4"/>
      <c r="U6" s="54"/>
      <c r="V6" s="54"/>
      <c r="W6" s="54"/>
      <c r="X6" s="54"/>
      <c r="Y6" s="54"/>
      <c r="Z6" s="54"/>
      <c r="AA6" s="54"/>
      <c r="AB6" s="54"/>
      <c r="AC6" s="54"/>
      <c r="AD6" s="54"/>
      <c r="AE6" s="54"/>
      <c r="AF6" s="54"/>
      <c r="AG6" s="54"/>
      <c r="AH6" s="54"/>
      <c r="AI6" s="54"/>
      <c r="AJ6" s="4"/>
    </row>
    <row r="7" spans="1:40" ht="14.25" x14ac:dyDescent="0.2">
      <c r="C7" s="5"/>
      <c r="D7" s="49">
        <f ca="1">DATE(YEAR(TODAY()),3,25)</f>
        <v>43915</v>
      </c>
      <c r="E7" s="49"/>
      <c r="F7" s="49"/>
      <c r="G7" s="49"/>
      <c r="H7" s="48" t="s">
        <v>28</v>
      </c>
      <c r="I7" s="48"/>
      <c r="J7" s="48"/>
      <c r="K7" s="48"/>
      <c r="L7" s="48"/>
      <c r="M7" s="48"/>
      <c r="N7" s="48"/>
      <c r="O7" s="48"/>
      <c r="P7" s="48"/>
      <c r="Q7" s="48"/>
      <c r="R7" s="13"/>
      <c r="S7" s="6"/>
      <c r="T7" s="4"/>
      <c r="U7" s="50"/>
      <c r="V7" s="50"/>
      <c r="W7" s="50"/>
      <c r="X7" s="50"/>
      <c r="Y7" s="50"/>
      <c r="Z7" s="50"/>
      <c r="AA7" s="50"/>
      <c r="AB7" s="50"/>
      <c r="AC7" s="50"/>
      <c r="AD7" s="50"/>
      <c r="AE7" s="50"/>
      <c r="AF7" s="50"/>
      <c r="AG7" s="50"/>
      <c r="AH7" s="50"/>
      <c r="AI7" s="50"/>
      <c r="AJ7" s="4"/>
    </row>
    <row r="8" spans="1:40" ht="14.25" x14ac:dyDescent="0.2">
      <c r="C8" s="5"/>
      <c r="D8" s="49"/>
      <c r="E8" s="49"/>
      <c r="F8" s="49"/>
      <c r="G8" s="49"/>
      <c r="H8" s="48"/>
      <c r="I8" s="48"/>
      <c r="J8" s="48"/>
      <c r="K8" s="48"/>
      <c r="L8" s="48"/>
      <c r="M8" s="48"/>
      <c r="N8" s="48"/>
      <c r="O8" s="48"/>
      <c r="P8" s="48"/>
      <c r="Q8" s="48"/>
      <c r="R8" s="13"/>
      <c r="S8" s="6"/>
      <c r="T8" s="4"/>
      <c r="U8" s="50"/>
      <c r="V8" s="50"/>
      <c r="W8" s="50"/>
      <c r="X8" s="50"/>
      <c r="Y8" s="50"/>
      <c r="Z8" s="50"/>
      <c r="AA8" s="50"/>
      <c r="AB8" s="50"/>
      <c r="AC8" s="50"/>
      <c r="AD8" s="50"/>
      <c r="AE8" s="50"/>
      <c r="AF8" s="50"/>
      <c r="AG8" s="50"/>
      <c r="AH8" s="50"/>
      <c r="AI8" s="50"/>
      <c r="AJ8" s="4"/>
    </row>
    <row r="9" spans="1:40" ht="14.25" x14ac:dyDescent="0.2">
      <c r="C9" s="5"/>
      <c r="D9" s="49"/>
      <c r="E9" s="49"/>
      <c r="F9" s="49"/>
      <c r="G9" s="49"/>
      <c r="H9" s="48"/>
      <c r="I9" s="48"/>
      <c r="J9" s="48"/>
      <c r="K9" s="48"/>
      <c r="L9" s="48"/>
      <c r="M9" s="48"/>
      <c r="N9" s="48"/>
      <c r="O9" s="48"/>
      <c r="P9" s="48"/>
      <c r="Q9" s="48"/>
      <c r="R9" s="13"/>
      <c r="S9" s="6"/>
      <c r="T9" s="4"/>
      <c r="U9" s="50"/>
      <c r="V9" s="50"/>
      <c r="W9" s="50"/>
      <c r="X9" s="50"/>
      <c r="Y9" s="50"/>
      <c r="Z9" s="50"/>
      <c r="AA9" s="50"/>
      <c r="AB9" s="50"/>
      <c r="AC9" s="50"/>
      <c r="AD9" s="50"/>
      <c r="AE9" s="50"/>
      <c r="AF9" s="50"/>
      <c r="AG9" s="50"/>
      <c r="AH9" s="50"/>
      <c r="AI9" s="50"/>
      <c r="AJ9" s="4"/>
    </row>
    <row r="10" spans="1:40" ht="14.25" x14ac:dyDescent="0.2">
      <c r="C10" s="5"/>
      <c r="D10" s="49"/>
      <c r="E10" s="49"/>
      <c r="F10" s="49"/>
      <c r="G10" s="49"/>
      <c r="H10" s="48"/>
      <c r="I10" s="48"/>
      <c r="J10" s="48"/>
      <c r="K10" s="48"/>
      <c r="L10" s="48"/>
      <c r="M10" s="48"/>
      <c r="N10" s="48"/>
      <c r="O10" s="48"/>
      <c r="P10" s="48"/>
      <c r="Q10" s="48"/>
      <c r="R10" s="13"/>
      <c r="S10" s="6"/>
      <c r="T10" s="4"/>
      <c r="U10" s="50"/>
      <c r="V10" s="50"/>
      <c r="W10" s="50"/>
      <c r="X10" s="50"/>
      <c r="Y10" s="50"/>
      <c r="Z10" s="50"/>
      <c r="AA10" s="50"/>
      <c r="AB10" s="50"/>
      <c r="AC10" s="50"/>
      <c r="AD10" s="50"/>
      <c r="AE10" s="50"/>
      <c r="AF10" s="50"/>
      <c r="AG10" s="50"/>
      <c r="AH10" s="50"/>
      <c r="AI10" s="50"/>
      <c r="AJ10" s="4"/>
    </row>
    <row r="11" spans="1:40" ht="14.25" x14ac:dyDescent="0.2">
      <c r="C11" s="5"/>
      <c r="D11" s="49"/>
      <c r="E11" s="49"/>
      <c r="F11" s="49"/>
      <c r="G11" s="49"/>
      <c r="H11" s="48"/>
      <c r="I11" s="48"/>
      <c r="J11" s="48"/>
      <c r="K11" s="48"/>
      <c r="L11" s="48"/>
      <c r="M11" s="48"/>
      <c r="N11" s="48"/>
      <c r="O11" s="48"/>
      <c r="P11" s="48"/>
      <c r="Q11" s="48"/>
      <c r="R11" s="13"/>
      <c r="S11" s="6"/>
      <c r="T11" s="4"/>
      <c r="U11" s="50"/>
      <c r="V11" s="50"/>
      <c r="W11" s="50"/>
      <c r="X11" s="50"/>
      <c r="Y11" s="50"/>
      <c r="Z11" s="50"/>
      <c r="AA11" s="50"/>
      <c r="AB11" s="50"/>
      <c r="AC11" s="50"/>
      <c r="AD11" s="50"/>
      <c r="AE11" s="50"/>
      <c r="AF11" s="50"/>
      <c r="AG11" s="50"/>
      <c r="AH11" s="50"/>
      <c r="AI11" s="50"/>
      <c r="AJ11" s="4"/>
    </row>
    <row r="12" spans="1:40" ht="14.25" x14ac:dyDescent="0.2">
      <c r="C12" s="5"/>
      <c r="D12" s="49"/>
      <c r="E12" s="49"/>
      <c r="F12" s="49"/>
      <c r="G12" s="49"/>
      <c r="H12" s="48"/>
      <c r="I12" s="48"/>
      <c r="J12" s="48"/>
      <c r="K12" s="48"/>
      <c r="L12" s="48"/>
      <c r="M12" s="48"/>
      <c r="N12" s="48"/>
      <c r="O12" s="48"/>
      <c r="P12" s="48"/>
      <c r="Q12" s="48"/>
      <c r="R12" s="13"/>
      <c r="S12" s="6"/>
      <c r="T12" s="4"/>
      <c r="U12" s="50"/>
      <c r="V12" s="50"/>
      <c r="W12" s="50"/>
      <c r="X12" s="50"/>
      <c r="Y12" s="50"/>
      <c r="Z12" s="50"/>
      <c r="AA12" s="50"/>
      <c r="AB12" s="50"/>
      <c r="AC12" s="50"/>
      <c r="AD12" s="50"/>
      <c r="AE12" s="50"/>
      <c r="AF12" s="50"/>
      <c r="AG12" s="50"/>
      <c r="AH12" s="50"/>
      <c r="AI12" s="50"/>
      <c r="AJ12" s="4"/>
    </row>
    <row r="13" spans="1:40" ht="14.25" x14ac:dyDescent="0.2">
      <c r="C13" s="5"/>
      <c r="D13" s="49"/>
      <c r="E13" s="49"/>
      <c r="F13" s="49"/>
      <c r="G13" s="49"/>
      <c r="H13" s="48"/>
      <c r="I13" s="48"/>
      <c r="J13" s="48"/>
      <c r="K13" s="48"/>
      <c r="L13" s="48"/>
      <c r="M13" s="48"/>
      <c r="N13" s="48"/>
      <c r="O13" s="48"/>
      <c r="P13" s="48"/>
      <c r="Q13" s="48"/>
      <c r="R13" s="13"/>
      <c r="S13" s="6"/>
      <c r="T13" s="4"/>
      <c r="U13" s="50"/>
      <c r="V13" s="50"/>
      <c r="W13" s="50"/>
      <c r="X13" s="50"/>
      <c r="Y13" s="50"/>
      <c r="Z13" s="50"/>
      <c r="AA13" s="50"/>
      <c r="AB13" s="50"/>
      <c r="AC13" s="50"/>
      <c r="AD13" s="50"/>
      <c r="AE13" s="50"/>
      <c r="AF13" s="50"/>
      <c r="AG13" s="50"/>
      <c r="AH13" s="50"/>
      <c r="AI13" s="50"/>
      <c r="AJ13" s="4"/>
    </row>
    <row r="14" spans="1:40" ht="14.25" x14ac:dyDescent="0.2">
      <c r="C14" s="5"/>
      <c r="D14" s="49"/>
      <c r="E14" s="49"/>
      <c r="F14" s="49"/>
      <c r="G14" s="49"/>
      <c r="H14" s="48"/>
      <c r="I14" s="48"/>
      <c r="J14" s="48"/>
      <c r="K14" s="48"/>
      <c r="L14" s="48"/>
      <c r="M14" s="48"/>
      <c r="N14" s="48"/>
      <c r="O14" s="48"/>
      <c r="P14" s="48"/>
      <c r="Q14" s="48"/>
      <c r="R14" s="13"/>
      <c r="S14" s="6"/>
      <c r="T14" s="4"/>
      <c r="U14" s="50"/>
      <c r="V14" s="50"/>
      <c r="W14" s="50"/>
      <c r="X14" s="50"/>
      <c r="Y14" s="50"/>
      <c r="Z14" s="50"/>
      <c r="AA14" s="50"/>
      <c r="AB14" s="50"/>
      <c r="AC14" s="50"/>
      <c r="AD14" s="50"/>
      <c r="AE14" s="50"/>
      <c r="AF14" s="50"/>
      <c r="AG14" s="50"/>
      <c r="AH14" s="50"/>
      <c r="AI14" s="50"/>
      <c r="AJ14" s="4"/>
    </row>
    <row r="15" spans="1:40" ht="14.25" x14ac:dyDescent="0.2">
      <c r="C15" s="5"/>
      <c r="D15" s="49"/>
      <c r="E15" s="49"/>
      <c r="F15" s="49"/>
      <c r="G15" s="49"/>
      <c r="H15" s="48"/>
      <c r="I15" s="48"/>
      <c r="J15" s="48"/>
      <c r="K15" s="48"/>
      <c r="L15" s="48"/>
      <c r="M15" s="48"/>
      <c r="N15" s="48"/>
      <c r="O15" s="48"/>
      <c r="P15" s="48"/>
      <c r="Q15" s="48"/>
      <c r="R15" s="13"/>
      <c r="S15" s="6"/>
      <c r="T15" s="4"/>
      <c r="U15" s="50"/>
      <c r="V15" s="50"/>
      <c r="W15" s="50"/>
      <c r="X15" s="50"/>
      <c r="Y15" s="50"/>
      <c r="Z15" s="50"/>
      <c r="AA15" s="50"/>
      <c r="AB15" s="50"/>
      <c r="AC15" s="50"/>
      <c r="AD15" s="50"/>
      <c r="AE15" s="50"/>
      <c r="AF15" s="50"/>
      <c r="AG15" s="50"/>
      <c r="AH15" s="50"/>
      <c r="AI15" s="50"/>
      <c r="AJ15" s="4"/>
    </row>
    <row r="16" spans="1:40" ht="14.25" x14ac:dyDescent="0.2">
      <c r="C16" s="5"/>
      <c r="D16" s="49"/>
      <c r="E16" s="49"/>
      <c r="F16" s="49"/>
      <c r="G16" s="49"/>
      <c r="H16" s="48"/>
      <c r="I16" s="48"/>
      <c r="J16" s="48"/>
      <c r="K16" s="48"/>
      <c r="L16" s="48"/>
      <c r="M16" s="48"/>
      <c r="N16" s="48"/>
      <c r="O16" s="48"/>
      <c r="P16" s="48"/>
      <c r="Q16" s="48"/>
      <c r="R16" s="13"/>
      <c r="S16" s="6"/>
      <c r="T16" s="4"/>
      <c r="U16" s="50"/>
      <c r="V16" s="50"/>
      <c r="W16" s="50"/>
      <c r="X16" s="50"/>
      <c r="Y16" s="50"/>
      <c r="Z16" s="50"/>
      <c r="AA16" s="50"/>
      <c r="AB16" s="50"/>
      <c r="AC16" s="50"/>
      <c r="AD16" s="50"/>
      <c r="AE16" s="50"/>
      <c r="AF16" s="50"/>
      <c r="AG16" s="50"/>
      <c r="AH16" s="50"/>
      <c r="AI16" s="50"/>
      <c r="AJ16" s="4"/>
    </row>
    <row r="17" spans="1:37" ht="14.25" x14ac:dyDescent="0.2">
      <c r="C17" s="5"/>
      <c r="D17" s="49"/>
      <c r="E17" s="49"/>
      <c r="F17" s="49"/>
      <c r="G17" s="49"/>
      <c r="H17" s="48"/>
      <c r="I17" s="48"/>
      <c r="J17" s="48"/>
      <c r="K17" s="48"/>
      <c r="L17" s="48"/>
      <c r="M17" s="48"/>
      <c r="N17" s="48"/>
      <c r="O17" s="48"/>
      <c r="P17" s="48"/>
      <c r="Q17" s="48"/>
      <c r="R17" s="13"/>
      <c r="S17" s="6"/>
      <c r="T17" s="4"/>
      <c r="U17" s="50"/>
      <c r="V17" s="50"/>
      <c r="W17" s="50"/>
      <c r="X17" s="50"/>
      <c r="Y17" s="50"/>
      <c r="Z17" s="50"/>
      <c r="AA17" s="50"/>
      <c r="AB17" s="50"/>
      <c r="AC17" s="50"/>
      <c r="AD17" s="50"/>
      <c r="AE17" s="50"/>
      <c r="AF17" s="50"/>
      <c r="AG17" s="50"/>
      <c r="AH17" s="50"/>
      <c r="AI17" s="50"/>
      <c r="AJ17" s="4"/>
    </row>
    <row r="18" spans="1:37" ht="14.25" x14ac:dyDescent="0.2">
      <c r="C18" s="5"/>
      <c r="D18" s="49"/>
      <c r="E18" s="49"/>
      <c r="F18" s="49"/>
      <c r="G18" s="49"/>
      <c r="H18" s="48"/>
      <c r="I18" s="48"/>
      <c r="J18" s="48"/>
      <c r="K18" s="48"/>
      <c r="L18" s="48"/>
      <c r="M18" s="48"/>
      <c r="N18" s="48"/>
      <c r="O18" s="48"/>
      <c r="P18" s="48"/>
      <c r="Q18" s="48"/>
      <c r="R18" s="13"/>
      <c r="S18" s="6"/>
      <c r="T18" s="4"/>
      <c r="U18" s="50"/>
      <c r="V18" s="50"/>
      <c r="W18" s="50"/>
      <c r="X18" s="50"/>
      <c r="Y18" s="50"/>
      <c r="Z18" s="50"/>
      <c r="AA18" s="50"/>
      <c r="AB18" s="50"/>
      <c r="AC18" s="50"/>
      <c r="AD18" s="50"/>
      <c r="AE18" s="50"/>
      <c r="AF18" s="50"/>
      <c r="AG18" s="50"/>
      <c r="AH18" s="50"/>
      <c r="AI18" s="50"/>
      <c r="AJ18" s="4"/>
    </row>
    <row r="19" spans="1:37" ht="14.25" x14ac:dyDescent="0.2">
      <c r="C19" s="5"/>
      <c r="D19" s="49"/>
      <c r="E19" s="49"/>
      <c r="F19" s="49"/>
      <c r="G19" s="49"/>
      <c r="H19" s="48"/>
      <c r="I19" s="48"/>
      <c r="J19" s="48"/>
      <c r="K19" s="48"/>
      <c r="L19" s="48"/>
      <c r="M19" s="48"/>
      <c r="N19" s="48"/>
      <c r="O19" s="48"/>
      <c r="P19" s="48"/>
      <c r="Q19" s="48"/>
      <c r="R19" s="13"/>
      <c r="S19" s="6"/>
      <c r="T19" s="4"/>
      <c r="U19" s="50"/>
      <c r="V19" s="50"/>
      <c r="W19" s="50"/>
      <c r="X19" s="50"/>
      <c r="Y19" s="50"/>
      <c r="Z19" s="50"/>
      <c r="AA19" s="50"/>
      <c r="AB19" s="50"/>
      <c r="AC19" s="50"/>
      <c r="AD19" s="50"/>
      <c r="AE19" s="50"/>
      <c r="AF19" s="50"/>
      <c r="AG19" s="50"/>
      <c r="AH19" s="50"/>
      <c r="AI19" s="50"/>
      <c r="AJ19" s="4"/>
    </row>
    <row r="20" spans="1:37" ht="14.25" x14ac:dyDescent="0.2">
      <c r="C20" s="5"/>
      <c r="D20" s="49"/>
      <c r="E20" s="49"/>
      <c r="F20" s="49"/>
      <c r="G20" s="49"/>
      <c r="H20" s="48"/>
      <c r="I20" s="48"/>
      <c r="J20" s="48"/>
      <c r="K20" s="48"/>
      <c r="L20" s="48"/>
      <c r="M20" s="48"/>
      <c r="N20" s="48"/>
      <c r="O20" s="48"/>
      <c r="P20" s="48"/>
      <c r="Q20" s="48"/>
      <c r="R20" s="13"/>
      <c r="S20" s="6"/>
      <c r="T20" s="4"/>
      <c r="U20" s="50"/>
      <c r="V20" s="50"/>
      <c r="W20" s="50"/>
      <c r="X20" s="50"/>
      <c r="Y20" s="50"/>
      <c r="Z20" s="50"/>
      <c r="AA20" s="50"/>
      <c r="AB20" s="50"/>
      <c r="AC20" s="50"/>
      <c r="AD20" s="50"/>
      <c r="AE20" s="50"/>
      <c r="AF20" s="50"/>
      <c r="AG20" s="50"/>
      <c r="AH20" s="50"/>
      <c r="AI20" s="50"/>
      <c r="AJ20" s="4"/>
    </row>
    <row r="21" spans="1:37" ht="14.25" x14ac:dyDescent="0.2">
      <c r="C21" s="5"/>
      <c r="D21" s="47"/>
      <c r="E21" s="47"/>
      <c r="F21" s="6"/>
      <c r="G21" s="6"/>
      <c r="H21" s="6"/>
      <c r="I21" s="6"/>
      <c r="J21" s="6"/>
      <c r="K21" s="6"/>
      <c r="L21" s="6"/>
      <c r="M21" s="5"/>
      <c r="N21" s="5"/>
      <c r="O21" s="5"/>
      <c r="P21" s="4"/>
      <c r="Q21" s="4"/>
      <c r="R21" s="4"/>
      <c r="S21" s="4"/>
      <c r="T21" s="4"/>
      <c r="U21" s="4"/>
      <c r="V21" s="4"/>
      <c r="W21" s="4"/>
      <c r="X21" s="4"/>
      <c r="Y21" s="4"/>
      <c r="Z21" s="4"/>
      <c r="AA21" s="4"/>
      <c r="AB21" s="4"/>
      <c r="AC21" s="4"/>
      <c r="AD21" s="4"/>
      <c r="AE21" s="4"/>
      <c r="AF21" s="4"/>
      <c r="AG21" s="4"/>
      <c r="AH21" s="4"/>
      <c r="AI21" s="4"/>
      <c r="AJ21" s="4"/>
    </row>
    <row r="22" spans="1:37" ht="14.25" x14ac:dyDescent="0.2">
      <c r="C22" s="7"/>
      <c r="D22" s="46"/>
      <c r="E22" s="46"/>
      <c r="F22" s="8"/>
      <c r="G22" s="8"/>
      <c r="H22" s="8"/>
      <c r="I22" s="9"/>
      <c r="J22" s="9"/>
      <c r="K22" s="9"/>
      <c r="L22" s="9"/>
      <c r="M22" s="10"/>
      <c r="N22" s="10"/>
      <c r="O22" s="10"/>
      <c r="P22" s="11"/>
      <c r="Q22" s="11"/>
      <c r="R22" s="11"/>
      <c r="S22" s="11"/>
      <c r="T22" s="11"/>
      <c r="U22" s="11"/>
      <c r="V22" s="11"/>
      <c r="W22" s="11"/>
      <c r="X22" s="11"/>
      <c r="Y22" s="11"/>
      <c r="Z22" s="11"/>
      <c r="AA22" s="11"/>
      <c r="AB22" s="11"/>
      <c r="AC22" s="11"/>
      <c r="AD22" s="11"/>
      <c r="AE22" s="11"/>
      <c r="AF22" s="11"/>
      <c r="AG22" s="11"/>
      <c r="AH22" s="11"/>
      <c r="AI22" s="11"/>
      <c r="AJ22" s="11"/>
      <c r="AK22" s="11"/>
    </row>
    <row r="23" spans="1:37" ht="33.75" customHeight="1" x14ac:dyDescent="0.2">
      <c r="A23" s="26" t="s">
        <v>8</v>
      </c>
    </row>
    <row r="24" spans="1:37" ht="15.75" x14ac:dyDescent="0.25">
      <c r="A24" s="26" t="s">
        <v>9</v>
      </c>
      <c r="C24" s="45">
        <f ca="1">DATE(KoledarskoLeto,1,1)</f>
        <v>43831</v>
      </c>
      <c r="D24" s="45"/>
      <c r="E24" s="45"/>
      <c r="F24" s="45"/>
      <c r="G24" s="45"/>
      <c r="H24" s="45"/>
      <c r="I24" s="45"/>
      <c r="J24" s="32"/>
      <c r="K24" s="33"/>
      <c r="L24" s="45">
        <f ca="1">DATE(KoledarskoLeto,2,1)</f>
        <v>43862</v>
      </c>
      <c r="M24" s="45"/>
      <c r="N24" s="45"/>
      <c r="O24" s="45"/>
      <c r="P24" s="45"/>
      <c r="Q24" s="45"/>
      <c r="R24" s="45"/>
      <c r="S24" s="32"/>
      <c r="T24" s="40"/>
      <c r="U24" s="45">
        <f ca="1">DATE(KoledarskoLeto,3,1)</f>
        <v>43891</v>
      </c>
      <c r="V24" s="45"/>
      <c r="W24" s="45"/>
      <c r="X24" s="45"/>
      <c r="Y24" s="45"/>
      <c r="Z24" s="45"/>
      <c r="AA24" s="45"/>
      <c r="AB24" s="32"/>
      <c r="AC24" s="37"/>
      <c r="AD24" s="45">
        <f ca="1">DATE(KoledarskoLeto,4,1)</f>
        <v>43922</v>
      </c>
      <c r="AE24" s="45"/>
      <c r="AF24" s="45"/>
      <c r="AG24" s="45"/>
      <c r="AH24" s="45"/>
      <c r="AI24" s="45"/>
      <c r="AJ24" s="45"/>
    </row>
    <row r="25" spans="1:37" ht="15.75" x14ac:dyDescent="0.25">
      <c r="A25" s="26" t="s">
        <v>10</v>
      </c>
      <c r="C25" s="21" t="s">
        <v>20</v>
      </c>
      <c r="D25" s="21" t="s">
        <v>23</v>
      </c>
      <c r="E25" s="21" t="s">
        <v>24</v>
      </c>
      <c r="F25" s="21" t="s">
        <v>25</v>
      </c>
      <c r="G25" s="21" t="s">
        <v>26</v>
      </c>
      <c r="H25" s="21" t="s">
        <v>29</v>
      </c>
      <c r="I25" s="21" t="s">
        <v>30</v>
      </c>
      <c r="J25" s="34"/>
      <c r="K25" s="35"/>
      <c r="L25" s="21" t="s">
        <v>20</v>
      </c>
      <c r="M25" s="21" t="s">
        <v>23</v>
      </c>
      <c r="N25" s="21" t="s">
        <v>24</v>
      </c>
      <c r="O25" s="21" t="s">
        <v>25</v>
      </c>
      <c r="P25" s="21" t="s">
        <v>26</v>
      </c>
      <c r="Q25" s="21" t="s">
        <v>29</v>
      </c>
      <c r="R25" s="21" t="s">
        <v>30</v>
      </c>
      <c r="S25" s="34"/>
      <c r="T25" s="40"/>
      <c r="U25" s="21" t="s">
        <v>20</v>
      </c>
      <c r="V25" s="21" t="s">
        <v>23</v>
      </c>
      <c r="W25" s="21" t="s">
        <v>24</v>
      </c>
      <c r="X25" s="21" t="s">
        <v>25</v>
      </c>
      <c r="Y25" s="21" t="s">
        <v>26</v>
      </c>
      <c r="Z25" s="21" t="s">
        <v>29</v>
      </c>
      <c r="AA25" s="21" t="s">
        <v>30</v>
      </c>
      <c r="AB25" s="34"/>
      <c r="AC25" s="33"/>
      <c r="AD25" s="21" t="s">
        <v>20</v>
      </c>
      <c r="AE25" s="21" t="s">
        <v>23</v>
      </c>
      <c r="AF25" s="21" t="s">
        <v>24</v>
      </c>
      <c r="AG25" s="21" t="s">
        <v>25</v>
      </c>
      <c r="AH25" s="21" t="s">
        <v>26</v>
      </c>
      <c r="AI25" s="21" t="s">
        <v>29</v>
      </c>
      <c r="AJ25" s="21" t="s">
        <v>30</v>
      </c>
    </row>
    <row r="26" spans="1:37" ht="15" x14ac:dyDescent="0.2">
      <c r="A26" s="26" t="s">
        <v>11</v>
      </c>
      <c r="C26" s="43" t="str">
        <f ca="1">IF(DAY(JanNed1)=1,"",IF(AND(YEAR(JanNed1+1)=KoledarskoLeto,MONTH(JanNed1+1)=1),JanNed1+1,""))</f>
        <v/>
      </c>
      <c r="D26" s="43" t="str">
        <f ca="1">IF(DAY(JanNed1)=1,"",IF(AND(YEAR(JanNed1+2)=KoledarskoLeto,MONTH(JanNed1+2)=1),JanNed1+2,""))</f>
        <v/>
      </c>
      <c r="E26" s="43">
        <f ca="1">IF(DAY(JanNed1)=1,"",IF(AND(YEAR(JanNed1+3)=KoledarskoLeto,MONTH(JanNed1+3)=1),JanNed1+3,""))</f>
        <v>43831</v>
      </c>
      <c r="F26" s="43">
        <f ca="1">IF(DAY(JanNed1)=1,"",IF(AND(YEAR(JanNed1+4)=KoledarskoLeto,MONTH(JanNed1+4)=1),JanNed1+4,""))</f>
        <v>43832</v>
      </c>
      <c r="G26" s="43">
        <f ca="1">IF(DAY(JanNed1)=1,"",IF(AND(YEAR(JanNed1+5)=KoledarskoLeto,MONTH(JanNed1+5)=1),JanNed1+5,""))</f>
        <v>43833</v>
      </c>
      <c r="H26" s="43">
        <f ca="1">IF(DAY(JanNed1)=1,"",IF(AND(YEAR(JanNed1+6)=KoledarskoLeto,MONTH(JanNed1+6)=1),JanNed1+6,""))</f>
        <v>43834</v>
      </c>
      <c r="I26" s="43">
        <f ca="1">IF(DAY(JanNed1)=1,IF(AND(YEAR(JanNed1)=KoledarskoLeto,MONTH(JanNed1)=1),JanNed1,""),IF(AND(YEAR(JanNed1+7)=KoledarskoLeto,MONTH(JanNed1+7)=1),JanNed1+7,""))</f>
        <v>43835</v>
      </c>
      <c r="J26" s="36"/>
      <c r="K26" s="35"/>
      <c r="L26" s="43" t="str">
        <f ca="1">IF(DAY(FebNed1)=1,"",IF(AND(YEAR(FebNed1+1)=KoledarskoLeto,MONTH(FebNed1+1)=2),FebNed1+1,""))</f>
        <v/>
      </c>
      <c r="M26" s="43" t="str">
        <f ca="1">IF(DAY(FebNed1)=1,"",IF(AND(YEAR(FebNed1+2)=KoledarskoLeto,MONTH(FebNed1+2)=2),FebNed1+2,""))</f>
        <v/>
      </c>
      <c r="N26" s="43" t="str">
        <f ca="1">IF(DAY(FebNed1)=1,"",IF(AND(YEAR(FebNed1+3)=KoledarskoLeto,MONTH(FebNed1+3)=2),FebNed1+3,""))</f>
        <v/>
      </c>
      <c r="O26" s="43" t="str">
        <f ca="1">IF(DAY(FebNed1)=1,"",IF(AND(YEAR(FebNed1+4)=KoledarskoLeto,MONTH(FebNed1+4)=2),FebNed1+4,""))</f>
        <v/>
      </c>
      <c r="P26" s="43" t="str">
        <f ca="1">IF(DAY(FebNed1)=1,"",IF(AND(YEAR(FebNed1+5)=KoledarskoLeto,MONTH(FebNed1+5)=2),FebNed1+5,""))</f>
        <v/>
      </c>
      <c r="Q26" s="43">
        <f ca="1">IF(DAY(FebNed1)=1,"",IF(AND(YEAR(FebNed1+6)=KoledarskoLeto,MONTH(FebNed1+6)=2),FebNed1+6,""))</f>
        <v>43862</v>
      </c>
      <c r="R26" s="43">
        <f ca="1">IF(DAY(FebNed1)=1,IF(AND(YEAR(FebNed1)=KoledarskoLeto,MONTH(FebNed1)=2),FebNed1,""),IF(AND(YEAR(FebNed1+7)=KoledarskoLeto,MONTH(FebNed1+7)=2),FebNed1+7,""))</f>
        <v>43863</v>
      </c>
      <c r="S26" s="36"/>
      <c r="T26" s="40"/>
      <c r="U26" s="43" t="str">
        <f ca="1">IF(DAY(MarNed1)=1,"",IF(AND(YEAR(MarNed1+1)=KoledarskoLeto,MONTH(MarNed1+1)=3),MarNed1+1,""))</f>
        <v/>
      </c>
      <c r="V26" s="43" t="str">
        <f ca="1">IF(DAY(MarNed1)=1,"",IF(AND(YEAR(MarNed1+2)=KoledarskoLeto,MONTH(MarNed1+2)=3),MarNed1+2,""))</f>
        <v/>
      </c>
      <c r="W26" s="43" t="str">
        <f ca="1">IF(DAY(MarNed1)=1,"",IF(AND(YEAR(MarNed1+3)=KoledarskoLeto,MONTH(MarNed1+3)=3),MarNed1+3,""))</f>
        <v/>
      </c>
      <c r="X26" s="43" t="str">
        <f ca="1">IF(DAY(MarNed1)=1,"",IF(AND(YEAR(MarNed1+4)=KoledarskoLeto,MONTH(MarNed1+4)=3),MarNed1+4,""))</f>
        <v/>
      </c>
      <c r="Y26" s="43" t="str">
        <f ca="1">IF(DAY(MarNed1)=1,"",IF(AND(YEAR(MarNed1+5)=KoledarskoLeto,MONTH(MarNed1+5)=3),MarNed1+5,""))</f>
        <v/>
      </c>
      <c r="Z26" s="43" t="str">
        <f ca="1">IF(DAY(MarNed1)=1,"",IF(AND(YEAR(MarNed1+6)=KoledarskoLeto,MONTH(MarNed1+6)=3),MarNed1+6,""))</f>
        <v/>
      </c>
      <c r="AA26" s="43">
        <f ca="1">IF(DAY(MarNed1)=1,IF(AND(YEAR(MarNed1)=KoledarskoLeto,MONTH(MarNed1)=3),MarNed1,""),IF(AND(YEAR(MarNed1+7)=KoledarskoLeto,MONTH(MarNed1+7)=3),MarNed1+7,""))</f>
        <v>43891</v>
      </c>
      <c r="AB26" s="36"/>
      <c r="AC26" s="35"/>
      <c r="AD26" s="43" t="str">
        <f ca="1">IF(DAY(AprNed1)=1,"",IF(AND(YEAR(AprNed1+1)=KoledarskoLeto,MONTH(AprNed1+1)=4),AprNed1+1,""))</f>
        <v/>
      </c>
      <c r="AE26" s="43" t="str">
        <f ca="1">IF(DAY(AprNed1)=1,"",IF(AND(YEAR(AprNed1+2)=KoledarskoLeto,MONTH(AprNed1+2)=4),AprNed1+2,""))</f>
        <v/>
      </c>
      <c r="AF26" s="43">
        <f ca="1">IF(DAY(AprNed1)=1,"",IF(AND(YEAR(AprNed1+3)=KoledarskoLeto,MONTH(AprNed1+3)=4),AprNed1+3,""))</f>
        <v>43922</v>
      </c>
      <c r="AG26" s="43">
        <f ca="1">IF(DAY(AprNed1)=1,"",IF(AND(YEAR(AprNed1+4)=KoledarskoLeto,MONTH(AprNed1+4)=4),AprNed1+4,""))</f>
        <v>43923</v>
      </c>
      <c r="AH26" s="43">
        <f ca="1">IF(DAY(AprNed1)=1,"",IF(AND(YEAR(AprNed1+5)=KoledarskoLeto,MONTH(AprNed1+5)=4),AprNed1+5,""))</f>
        <v>43924</v>
      </c>
      <c r="AI26" s="43">
        <f ca="1">IF(DAY(AprNed1)=1,"",IF(AND(YEAR(AprNed1+6)=KoledarskoLeto,MONTH(AprNed1+6)=4),AprNed1+6,""))</f>
        <v>43925</v>
      </c>
      <c r="AJ26" s="43">
        <f ca="1">IF(DAY(AprNed1)=1,IF(AND(YEAR(AprNed1)=KoledarskoLeto,MONTH(AprNed1)=4),AprNed1,""),IF(AND(YEAR(AprNed1+7)=KoledarskoLeto,MONTH(AprNed1+7)=4),AprNed1+7,""))</f>
        <v>43926</v>
      </c>
    </row>
    <row r="27" spans="1:37" x14ac:dyDescent="0.2">
      <c r="C27" s="43">
        <f ca="1">IF(DAY(JanNed1)=1,IF(AND(YEAR(JanNed1+1)=KoledarskoLeto,MONTH(JanNed1+1)=1),JanNed1+1,""),IF(AND(YEAR(JanNed1+8)=KoledarskoLeto,MONTH(JanNed1+8)=1),JanNed1+8,""))</f>
        <v>43836</v>
      </c>
      <c r="D27" s="43">
        <f ca="1">IF(DAY(JanNed1)=1,IF(AND(YEAR(JanNed1+2)=KoledarskoLeto,MONTH(JanNed1+2)=1),JanNed1+2,""),IF(AND(YEAR(JanNed1+9)=KoledarskoLeto,MONTH(JanNed1+9)=1),JanNed1+9,""))</f>
        <v>43837</v>
      </c>
      <c r="E27" s="43">
        <f ca="1">IF(DAY(JanNed1)=1,IF(AND(YEAR(JanNed1+3)=KoledarskoLeto,MONTH(JanNed1+3)=1),JanNed1+3,""),IF(AND(YEAR(JanNed1+10)=KoledarskoLeto,MONTH(JanNed1+10)=1),JanNed1+10,""))</f>
        <v>43838</v>
      </c>
      <c r="F27" s="43">
        <f ca="1">IF(DAY(JanNed1)=1,IF(AND(YEAR(JanNed1+4)=KoledarskoLeto,MONTH(JanNed1+4)=1),JanNed1+4,""),IF(AND(YEAR(JanNed1+11)=KoledarskoLeto,MONTH(JanNed1+11)=1),JanNed1+11,""))</f>
        <v>43839</v>
      </c>
      <c r="G27" s="43">
        <f ca="1">IF(DAY(JanNed1)=1,IF(AND(YEAR(JanNed1+5)=KoledarskoLeto,MONTH(JanNed1+5)=1),JanNed1+5,""),IF(AND(YEAR(JanNed1+12)=KoledarskoLeto,MONTH(JanNed1+12)=1),JanNed1+12,""))</f>
        <v>43840</v>
      </c>
      <c r="H27" s="43">
        <f ca="1">IF(DAY(JanNed1)=1,IF(AND(YEAR(JanNed1+6)=KoledarskoLeto,MONTH(JanNed1+6)=1),JanNed1+6,""),IF(AND(YEAR(JanNed1+13)=KoledarskoLeto,MONTH(JanNed1+13)=1),JanNed1+13,""))</f>
        <v>43841</v>
      </c>
      <c r="I27" s="43">
        <f ca="1">IF(DAY(JanNed1)=1,IF(AND(YEAR(JanNed1+7)=KoledarskoLeto,MONTH(JanNed1+7)=1),JanNed1+7,""),IF(AND(YEAR(JanNed1+14)=KoledarskoLeto,MONTH(JanNed1+14)=1),JanNed1+14,""))</f>
        <v>43842</v>
      </c>
      <c r="J27" s="36"/>
      <c r="K27" s="35"/>
      <c r="L27" s="43">
        <f ca="1">IF(DAY(FebNed1)=1,IF(AND(YEAR(FebNed1+1)=KoledarskoLeto,MONTH(FebNed1+1)=2),FebNed1+1,""),IF(AND(YEAR(FebNed1+8)=KoledarskoLeto,MONTH(FebNed1+8)=2),FebNed1+8,""))</f>
        <v>43864</v>
      </c>
      <c r="M27" s="43">
        <f ca="1">IF(DAY(FebNed1)=1,IF(AND(YEAR(FebNed1+2)=KoledarskoLeto,MONTH(FebNed1+2)=2),FebNed1+2,""),IF(AND(YEAR(FebNed1+9)=KoledarskoLeto,MONTH(FebNed1+9)=2),FebNed1+9,""))</f>
        <v>43865</v>
      </c>
      <c r="N27" s="43">
        <f ca="1">IF(DAY(FebNed1)=1,IF(AND(YEAR(FebNed1+3)=KoledarskoLeto,MONTH(FebNed1+3)=2),FebNed1+3,""),IF(AND(YEAR(FebNed1+10)=KoledarskoLeto,MONTH(FebNed1+10)=2),FebNed1+10,""))</f>
        <v>43866</v>
      </c>
      <c r="O27" s="43">
        <f ca="1">IF(DAY(FebNed1)=1,IF(AND(YEAR(FebNed1+4)=KoledarskoLeto,MONTH(FebNed1+4)=2),FebNed1+4,""),IF(AND(YEAR(FebNed1+11)=KoledarskoLeto,MONTH(FebNed1+11)=2),FebNed1+11,""))</f>
        <v>43867</v>
      </c>
      <c r="P27" s="43">
        <f ca="1">IF(DAY(FebNed1)=1,IF(AND(YEAR(FebNed1+5)=KoledarskoLeto,MONTH(FebNed1+5)=2),FebNed1+5,""),IF(AND(YEAR(FebNed1+12)=KoledarskoLeto,MONTH(FebNed1+12)=2),FebNed1+12,""))</f>
        <v>43868</v>
      </c>
      <c r="Q27" s="43">
        <f ca="1">IF(DAY(FebNed1)=1,IF(AND(YEAR(FebNed1+6)=KoledarskoLeto,MONTH(FebNed1+6)=2),FebNed1+6,""),IF(AND(YEAR(FebNed1+13)=KoledarskoLeto,MONTH(FebNed1+13)=2),FebNed1+13,""))</f>
        <v>43869</v>
      </c>
      <c r="R27" s="43">
        <f ca="1">IF(DAY(FebNed1)=1,IF(AND(YEAR(FebNed1+7)=KoledarskoLeto,MONTH(FebNed1+7)=2),FebNed1+7,""),IF(AND(YEAR(FebNed1+14)=KoledarskoLeto,MONTH(FebNed1+14)=2),FebNed1+14,""))</f>
        <v>43870</v>
      </c>
      <c r="S27" s="36"/>
      <c r="T27" s="40"/>
      <c r="U27" s="43">
        <f ca="1">IF(DAY(MarNed1)=1,IF(AND(YEAR(MarNed1+1)=KoledarskoLeto,MONTH(MarNed1+1)=3),MarNed1+1,""),IF(AND(YEAR(MarNed1+8)=KoledarskoLeto,MONTH(MarNed1+8)=3),MarNed1+8,""))</f>
        <v>43892</v>
      </c>
      <c r="V27" s="43">
        <f ca="1">IF(DAY(MarNed1)=1,IF(AND(YEAR(MarNed1+2)=KoledarskoLeto,MONTH(MarNed1+2)=3),MarNed1+2,""),IF(AND(YEAR(MarNed1+9)=KoledarskoLeto,MONTH(MarNed1+9)=3),MarNed1+9,""))</f>
        <v>43893</v>
      </c>
      <c r="W27" s="43">
        <f ca="1">IF(DAY(MarNed1)=1,IF(AND(YEAR(MarNed1+3)=KoledarskoLeto,MONTH(MarNed1+3)=3),MarNed1+3,""),IF(AND(YEAR(MarNed1+10)=KoledarskoLeto,MONTH(MarNed1+10)=3),MarNed1+10,""))</f>
        <v>43894</v>
      </c>
      <c r="X27" s="43">
        <f ca="1">IF(DAY(MarNed1)=1,IF(AND(YEAR(MarNed1+4)=KoledarskoLeto,MONTH(MarNed1+4)=3),MarNed1+4,""),IF(AND(YEAR(MarNed1+11)=KoledarskoLeto,MONTH(MarNed1+11)=3),MarNed1+11,""))</f>
        <v>43895</v>
      </c>
      <c r="Y27" s="43">
        <f ca="1">IF(DAY(MarNed1)=1,IF(AND(YEAR(MarNed1+5)=KoledarskoLeto,MONTH(MarNed1+5)=3),MarNed1+5,""),IF(AND(YEAR(MarNed1+12)=KoledarskoLeto,MONTH(MarNed1+12)=3),MarNed1+12,""))</f>
        <v>43896</v>
      </c>
      <c r="Z27" s="43">
        <f ca="1">IF(DAY(MarNed1)=1,IF(AND(YEAR(MarNed1+6)=KoledarskoLeto,MONTH(MarNed1+6)=3),MarNed1+6,""),IF(AND(YEAR(MarNed1+13)=KoledarskoLeto,MONTH(MarNed1+13)=3),MarNed1+13,""))</f>
        <v>43897</v>
      </c>
      <c r="AA27" s="43">
        <f ca="1">IF(DAY(MarNed1)=1,IF(AND(YEAR(MarNed1+7)=KoledarskoLeto,MONTH(MarNed1+7)=3),MarNed1+7,""),IF(AND(YEAR(MarNed1+14)=KoledarskoLeto,MONTH(MarNed1+14)=3),MarNed1+14,""))</f>
        <v>43898</v>
      </c>
      <c r="AB27" s="36"/>
      <c r="AC27" s="35"/>
      <c r="AD27" s="43">
        <f ca="1">IF(DAY(AprNed1)=1,IF(AND(YEAR(AprNed1+1)=KoledarskoLeto,MONTH(AprNed1+1)=4),AprNed1+1,""),IF(AND(YEAR(AprNed1+8)=KoledarskoLeto,MONTH(AprNed1+8)=4),AprNed1+8,""))</f>
        <v>43927</v>
      </c>
      <c r="AE27" s="43">
        <f ca="1">IF(DAY(AprNed1)=1,IF(AND(YEAR(AprNed1+2)=KoledarskoLeto,MONTH(AprNed1+2)=4),AprNed1+2,""),IF(AND(YEAR(AprNed1+9)=KoledarskoLeto,MONTH(AprNed1+9)=4),AprNed1+9,""))</f>
        <v>43928</v>
      </c>
      <c r="AF27" s="43">
        <f ca="1">IF(DAY(AprNed1)=1,IF(AND(YEAR(AprNed1+3)=KoledarskoLeto,MONTH(AprNed1+3)=4),AprNed1+3,""),IF(AND(YEAR(AprNed1+10)=KoledarskoLeto,MONTH(AprNed1+10)=4),AprNed1+10,""))</f>
        <v>43929</v>
      </c>
      <c r="AG27" s="43">
        <f ca="1">IF(DAY(AprNed1)=1,IF(AND(YEAR(AprNed1+4)=KoledarskoLeto,MONTH(AprNed1+4)=4),AprNed1+4,""),IF(AND(YEAR(AprNed1+11)=KoledarskoLeto,MONTH(AprNed1+11)=4),AprNed1+11,""))</f>
        <v>43930</v>
      </c>
      <c r="AH27" s="43">
        <f ca="1">IF(DAY(AprNed1)=1,IF(AND(YEAR(AprNed1+5)=KoledarskoLeto,MONTH(AprNed1+5)=4),AprNed1+5,""),IF(AND(YEAR(AprNed1+12)=KoledarskoLeto,MONTH(AprNed1+12)=4),AprNed1+12,""))</f>
        <v>43931</v>
      </c>
      <c r="AI27" s="43">
        <f ca="1">IF(DAY(AprNed1)=1,IF(AND(YEAR(AprNed1+6)=KoledarskoLeto,MONTH(AprNed1+6)=4),AprNed1+6,""),IF(AND(YEAR(AprNed1+13)=KoledarskoLeto,MONTH(AprNed1+13)=4),AprNed1+13,""))</f>
        <v>43932</v>
      </c>
      <c r="AJ27" s="43">
        <f ca="1">IF(DAY(AprNed1)=1,IF(AND(YEAR(AprNed1+7)=KoledarskoLeto,MONTH(AprNed1+7)=4),AprNed1+7,""),IF(AND(YEAR(AprNed1+14)=KoledarskoLeto,MONTH(AprNed1+14)=4),AprNed1+14,""))</f>
        <v>43933</v>
      </c>
    </row>
    <row r="28" spans="1:37" x14ac:dyDescent="0.2">
      <c r="C28" s="43">
        <f ca="1">IF(DAY(JanNed1)=1,IF(AND(YEAR(JanNed1+8)=KoledarskoLeto,MONTH(JanNed1+8)=1),JanNed1+8,""),IF(AND(YEAR(JanNed1+15)=KoledarskoLeto,MONTH(JanNed1+15)=1),JanNed1+15,""))</f>
        <v>43843</v>
      </c>
      <c r="D28" s="43">
        <f ca="1">IF(DAY(JanNed1)=1,IF(AND(YEAR(JanNed1+9)=KoledarskoLeto,MONTH(JanNed1+9)=1),JanNed1+9,""),IF(AND(YEAR(JanNed1+16)=KoledarskoLeto,MONTH(JanNed1+16)=1),JanNed1+16,""))</f>
        <v>43844</v>
      </c>
      <c r="E28" s="43">
        <f ca="1">IF(DAY(JanNed1)=1,IF(AND(YEAR(JanNed1+10)=KoledarskoLeto,MONTH(JanNed1+10)=1),JanNed1+10,""),IF(AND(YEAR(JanNed1+17)=KoledarskoLeto,MONTH(JanNed1+17)=1),JanNed1+17,""))</f>
        <v>43845</v>
      </c>
      <c r="F28" s="43">
        <f ca="1">IF(DAY(JanNed1)=1,IF(AND(YEAR(JanNed1+11)=KoledarskoLeto,MONTH(JanNed1+11)=1),JanNed1+11,""),IF(AND(YEAR(JanNed1+18)=KoledarskoLeto,MONTH(JanNed1+18)=1),JanNed1+18,""))</f>
        <v>43846</v>
      </c>
      <c r="G28" s="43">
        <f ca="1">IF(DAY(JanNed1)=1,IF(AND(YEAR(JanNed1+12)=KoledarskoLeto,MONTH(JanNed1+12)=1),JanNed1+12,""),IF(AND(YEAR(JanNed1+19)=KoledarskoLeto,MONTH(JanNed1+19)=1),JanNed1+19,""))</f>
        <v>43847</v>
      </c>
      <c r="H28" s="43">
        <f ca="1">IF(DAY(JanNed1)=1,IF(AND(YEAR(JanNed1+13)=KoledarskoLeto,MONTH(JanNed1+13)=1),JanNed1+13,""),IF(AND(YEAR(JanNed1+20)=KoledarskoLeto,MONTH(JanNed1+20)=1),JanNed1+20,""))</f>
        <v>43848</v>
      </c>
      <c r="I28" s="43">
        <f ca="1">IF(DAY(JanNed1)=1,IF(AND(YEAR(JanNed1+14)=KoledarskoLeto,MONTH(JanNed1+14)=1),JanNed1+14,""),IF(AND(YEAR(JanNed1+21)=KoledarskoLeto,MONTH(JanNed1+21)=1),JanNed1+21,""))</f>
        <v>43849</v>
      </c>
      <c r="J28" s="36"/>
      <c r="K28" s="35"/>
      <c r="L28" s="43">
        <f ca="1">IF(DAY(FebNed1)=1,IF(AND(YEAR(FebNed1+8)=KoledarskoLeto,MONTH(FebNed1+8)=2),FebNed1+8,""),IF(AND(YEAR(FebNed1+15)=KoledarskoLeto,MONTH(FebNed1+15)=2),FebNed1+15,""))</f>
        <v>43871</v>
      </c>
      <c r="M28" s="43">
        <f ca="1">IF(DAY(FebNed1)=1,IF(AND(YEAR(FebNed1+9)=KoledarskoLeto,MONTH(FebNed1+9)=2),FebNed1+9,""),IF(AND(YEAR(FebNed1+16)=KoledarskoLeto,MONTH(FebNed1+16)=2),FebNed1+16,""))</f>
        <v>43872</v>
      </c>
      <c r="N28" s="43">
        <f ca="1">IF(DAY(FebNed1)=1,IF(AND(YEAR(FebNed1+10)=KoledarskoLeto,MONTH(FebNed1+10)=2),FebNed1+10,""),IF(AND(YEAR(FebNed1+17)=KoledarskoLeto,MONTH(FebNed1+17)=2),FebNed1+17,""))</f>
        <v>43873</v>
      </c>
      <c r="O28" s="43">
        <f ca="1">IF(DAY(FebNed1)=1,IF(AND(YEAR(FebNed1+11)=KoledarskoLeto,MONTH(FebNed1+11)=2),FebNed1+11,""),IF(AND(YEAR(FebNed1+18)=KoledarskoLeto,MONTH(FebNed1+18)=2),FebNed1+18,""))</f>
        <v>43874</v>
      </c>
      <c r="P28" s="43">
        <f ca="1">IF(DAY(FebNed1)=1,IF(AND(YEAR(FebNed1+12)=KoledarskoLeto,MONTH(FebNed1+12)=2),FebNed1+12,""),IF(AND(YEAR(FebNed1+19)=KoledarskoLeto,MONTH(FebNed1+19)=2),FebNed1+19,""))</f>
        <v>43875</v>
      </c>
      <c r="Q28" s="43">
        <f ca="1">IF(DAY(FebNed1)=1,IF(AND(YEAR(FebNed1+13)=KoledarskoLeto,MONTH(FebNed1+13)=2),FebNed1+13,""),IF(AND(YEAR(FebNed1+20)=KoledarskoLeto,MONTH(FebNed1+20)=2),FebNed1+20,""))</f>
        <v>43876</v>
      </c>
      <c r="R28" s="43">
        <f ca="1">IF(DAY(FebNed1)=1,IF(AND(YEAR(FebNed1+14)=KoledarskoLeto,MONTH(FebNed1+14)=2),FebNed1+14,""),IF(AND(YEAR(FebNed1+21)=KoledarskoLeto,MONTH(FebNed1+21)=2),FebNed1+21,""))</f>
        <v>43877</v>
      </c>
      <c r="S28" s="36"/>
      <c r="T28" s="40"/>
      <c r="U28" s="43">
        <f ca="1">IF(DAY(MarNed1)=1,IF(AND(YEAR(MarNed1+8)=KoledarskoLeto,MONTH(MarNed1+8)=3),MarNed1+8,""),IF(AND(YEAR(MarNed1+15)=KoledarskoLeto,MONTH(MarNed1+15)=3),MarNed1+15,""))</f>
        <v>43899</v>
      </c>
      <c r="V28" s="43">
        <f ca="1">IF(DAY(MarNed1)=1,IF(AND(YEAR(MarNed1+9)=KoledarskoLeto,MONTH(MarNed1+9)=3),MarNed1+9,""),IF(AND(YEAR(MarNed1+16)=KoledarskoLeto,MONTH(MarNed1+16)=3),MarNed1+16,""))</f>
        <v>43900</v>
      </c>
      <c r="W28" s="43">
        <f ca="1">IF(DAY(MarNed1)=1,IF(AND(YEAR(MarNed1+10)=KoledarskoLeto,MONTH(MarNed1+10)=3),MarNed1+10,""),IF(AND(YEAR(MarNed1+17)=KoledarskoLeto,MONTH(MarNed1+17)=3),MarNed1+17,""))</f>
        <v>43901</v>
      </c>
      <c r="X28" s="43">
        <f ca="1">IF(DAY(MarNed1)=1,IF(AND(YEAR(MarNed1+11)=KoledarskoLeto,MONTH(MarNed1+11)=3),MarNed1+11,""),IF(AND(YEAR(MarNed1+18)=KoledarskoLeto,MONTH(MarNed1+18)=3),MarNed1+18,""))</f>
        <v>43902</v>
      </c>
      <c r="Y28" s="43">
        <f ca="1">IF(DAY(MarNed1)=1,IF(AND(YEAR(MarNed1+12)=KoledarskoLeto,MONTH(MarNed1+12)=3),MarNed1+12,""),IF(AND(YEAR(MarNed1+19)=KoledarskoLeto,MONTH(MarNed1+19)=3),MarNed1+19,""))</f>
        <v>43903</v>
      </c>
      <c r="Z28" s="43">
        <f ca="1">IF(DAY(MarNed1)=1,IF(AND(YEAR(MarNed1+13)=KoledarskoLeto,MONTH(MarNed1+13)=3),MarNed1+13,""),IF(AND(YEAR(MarNed1+20)=KoledarskoLeto,MONTH(MarNed1+20)=3),MarNed1+20,""))</f>
        <v>43904</v>
      </c>
      <c r="AA28" s="43">
        <f ca="1">IF(DAY(MarNed1)=1,IF(AND(YEAR(MarNed1+14)=KoledarskoLeto,MONTH(MarNed1+14)=3),MarNed1+14,""),IF(AND(YEAR(MarNed1+21)=KoledarskoLeto,MONTH(MarNed1+21)=3),MarNed1+21,""))</f>
        <v>43905</v>
      </c>
      <c r="AB28" s="36"/>
      <c r="AC28" s="35"/>
      <c r="AD28" s="43">
        <f ca="1">IF(DAY(AprNed1)=1,IF(AND(YEAR(AprNed1+8)=KoledarskoLeto,MONTH(AprNed1+8)=4),AprNed1+8,""),IF(AND(YEAR(AprNed1+15)=KoledarskoLeto,MONTH(AprNed1+15)=4),AprNed1+15,""))</f>
        <v>43934</v>
      </c>
      <c r="AE28" s="43">
        <f ca="1">IF(DAY(AprNed1)=1,IF(AND(YEAR(AprNed1+9)=KoledarskoLeto,MONTH(AprNed1+9)=4),AprNed1+9,""),IF(AND(YEAR(AprNed1+16)=KoledarskoLeto,MONTH(AprNed1+16)=4),AprNed1+16,""))</f>
        <v>43935</v>
      </c>
      <c r="AF28" s="43">
        <f ca="1">IF(DAY(AprNed1)=1,IF(AND(YEAR(AprNed1+10)=KoledarskoLeto,MONTH(AprNed1+10)=4),AprNed1+10,""),IF(AND(YEAR(AprNed1+17)=KoledarskoLeto,MONTH(AprNed1+17)=4),AprNed1+17,""))</f>
        <v>43936</v>
      </c>
      <c r="AG28" s="43">
        <f ca="1">IF(DAY(AprNed1)=1,IF(AND(YEAR(AprNed1+11)=KoledarskoLeto,MONTH(AprNed1+11)=4),AprNed1+11,""),IF(AND(YEAR(AprNed1+18)=KoledarskoLeto,MONTH(AprNed1+18)=4),AprNed1+18,""))</f>
        <v>43937</v>
      </c>
      <c r="AH28" s="43">
        <f ca="1">IF(DAY(AprNed1)=1,IF(AND(YEAR(AprNed1+12)=KoledarskoLeto,MONTH(AprNed1+12)=4),AprNed1+12,""),IF(AND(YEAR(AprNed1+19)=KoledarskoLeto,MONTH(AprNed1+19)=4),AprNed1+19,""))</f>
        <v>43938</v>
      </c>
      <c r="AI28" s="43">
        <f ca="1">IF(DAY(AprNed1)=1,IF(AND(YEAR(AprNed1+13)=KoledarskoLeto,MONTH(AprNed1+13)=4),AprNed1+13,""),IF(AND(YEAR(AprNed1+20)=KoledarskoLeto,MONTH(AprNed1+20)=4),AprNed1+20,""))</f>
        <v>43939</v>
      </c>
      <c r="AJ28" s="43">
        <f ca="1">IF(DAY(AprNed1)=1,IF(AND(YEAR(AprNed1+14)=KoledarskoLeto,MONTH(AprNed1+14)=4),AprNed1+14,""),IF(AND(YEAR(AprNed1+21)=KoledarskoLeto,MONTH(AprNed1+21)=4),AprNed1+21,""))</f>
        <v>43940</v>
      </c>
    </row>
    <row r="29" spans="1:37" x14ac:dyDescent="0.2">
      <c r="C29" s="43">
        <f ca="1">IF(DAY(JanNed1)=1,IF(AND(YEAR(JanNed1+15)=KoledarskoLeto,MONTH(JanNed1+15)=1),JanNed1+15,""),IF(AND(YEAR(JanNed1+22)=KoledarskoLeto,MONTH(JanNed1+22)=1),JanNed1+22,""))</f>
        <v>43850</v>
      </c>
      <c r="D29" s="43">
        <f ca="1">IF(DAY(JanNed1)=1,IF(AND(YEAR(JanNed1+16)=KoledarskoLeto,MONTH(JanNed1+16)=1),JanNed1+16,""),IF(AND(YEAR(JanNed1+23)=KoledarskoLeto,MONTH(JanNed1+23)=1),JanNed1+23,""))</f>
        <v>43851</v>
      </c>
      <c r="E29" s="43">
        <f ca="1">IF(DAY(JanNed1)=1,IF(AND(YEAR(JanNed1+17)=KoledarskoLeto,MONTH(JanNed1+17)=1),JanNed1+17,""),IF(AND(YEAR(JanNed1+24)=KoledarskoLeto,MONTH(JanNed1+24)=1),JanNed1+24,""))</f>
        <v>43852</v>
      </c>
      <c r="F29" s="43">
        <f ca="1">IF(DAY(JanNed1)=1,IF(AND(YEAR(JanNed1+18)=KoledarskoLeto,MONTH(JanNed1+18)=1),JanNed1+18,""),IF(AND(YEAR(JanNed1+25)=KoledarskoLeto,MONTH(JanNed1+25)=1),JanNed1+25,""))</f>
        <v>43853</v>
      </c>
      <c r="G29" s="43">
        <f ca="1">IF(DAY(JanNed1)=1,IF(AND(YEAR(JanNed1+19)=KoledarskoLeto,MONTH(JanNed1+19)=1),JanNed1+19,""),IF(AND(YEAR(JanNed1+26)=KoledarskoLeto,MONTH(JanNed1+26)=1),JanNed1+26,""))</f>
        <v>43854</v>
      </c>
      <c r="H29" s="43">
        <f ca="1">IF(DAY(JanNed1)=1,IF(AND(YEAR(JanNed1+20)=KoledarskoLeto,MONTH(JanNed1+20)=1),JanNed1+20,""),IF(AND(YEAR(JanNed1+27)=KoledarskoLeto,MONTH(JanNed1+27)=1),JanNed1+27,""))</f>
        <v>43855</v>
      </c>
      <c r="I29" s="43">
        <f ca="1">IF(DAY(JanNed1)=1,IF(AND(YEAR(JanNed1+21)=KoledarskoLeto,MONTH(JanNed1+21)=1),JanNed1+21,""),IF(AND(YEAR(JanNed1+28)=KoledarskoLeto,MONTH(JanNed1+28)=1),JanNed1+28,""))</f>
        <v>43856</v>
      </c>
      <c r="J29" s="36"/>
      <c r="K29" s="35"/>
      <c r="L29" s="43">
        <f ca="1">IF(DAY(FebNed1)=1,IF(AND(YEAR(FebNed1+15)=KoledarskoLeto,MONTH(FebNed1+15)=2),FebNed1+15,""),IF(AND(YEAR(FebNed1+22)=KoledarskoLeto,MONTH(FebNed1+22)=2),FebNed1+22,""))</f>
        <v>43878</v>
      </c>
      <c r="M29" s="43">
        <f ca="1">IF(DAY(FebNed1)=1,IF(AND(YEAR(FebNed1+16)=KoledarskoLeto,MONTH(FebNed1+16)=2),FebNed1+16,""),IF(AND(YEAR(FebNed1+23)=KoledarskoLeto,MONTH(FebNed1+23)=2),FebNed1+23,""))</f>
        <v>43879</v>
      </c>
      <c r="N29" s="43">
        <f ca="1">IF(DAY(FebNed1)=1,IF(AND(YEAR(FebNed1+17)=KoledarskoLeto,MONTH(FebNed1+17)=2),FebNed1+17,""),IF(AND(YEAR(FebNed1+24)=KoledarskoLeto,MONTH(FebNed1+24)=2),FebNed1+24,""))</f>
        <v>43880</v>
      </c>
      <c r="O29" s="43">
        <f ca="1">IF(DAY(FebNed1)=1,IF(AND(YEAR(FebNed1+18)=KoledarskoLeto,MONTH(FebNed1+18)=2),FebNed1+18,""),IF(AND(YEAR(FebNed1+25)=KoledarskoLeto,MONTH(FebNed1+25)=2),FebNed1+25,""))</f>
        <v>43881</v>
      </c>
      <c r="P29" s="43">
        <f ca="1">IF(DAY(FebNed1)=1,IF(AND(YEAR(FebNed1+19)=KoledarskoLeto,MONTH(FebNed1+19)=2),FebNed1+19,""),IF(AND(YEAR(FebNed1+26)=KoledarskoLeto,MONTH(FebNed1+26)=2),FebNed1+26,""))</f>
        <v>43882</v>
      </c>
      <c r="Q29" s="43">
        <f ca="1">IF(DAY(FebNed1)=1,IF(AND(YEAR(FebNed1+20)=KoledarskoLeto,MONTH(FebNed1+20)=2),FebNed1+20,""),IF(AND(YEAR(FebNed1+27)=KoledarskoLeto,MONTH(FebNed1+27)=2),FebNed1+27,""))</f>
        <v>43883</v>
      </c>
      <c r="R29" s="43">
        <f ca="1">IF(DAY(FebNed1)=1,IF(AND(YEAR(FebNed1+21)=KoledarskoLeto,MONTH(FebNed1+21)=2),FebNed1+21,""),IF(AND(YEAR(FebNed1+28)=KoledarskoLeto,MONTH(FebNed1+28)=2),FebNed1+28,""))</f>
        <v>43884</v>
      </c>
      <c r="S29" s="36"/>
      <c r="T29" s="40"/>
      <c r="U29" s="43">
        <f ca="1">IF(DAY(MarNed1)=1,IF(AND(YEAR(MarNed1+15)=KoledarskoLeto,MONTH(MarNed1+15)=3),MarNed1+15,""),IF(AND(YEAR(MarNed1+22)=KoledarskoLeto,MONTH(MarNed1+22)=3),MarNed1+22,""))</f>
        <v>43906</v>
      </c>
      <c r="V29" s="43">
        <f ca="1">IF(DAY(MarNed1)=1,IF(AND(YEAR(MarNed1+16)=KoledarskoLeto,MONTH(MarNed1+16)=3),MarNed1+16,""),IF(AND(YEAR(MarNed1+23)=KoledarskoLeto,MONTH(MarNed1+23)=3),MarNed1+23,""))</f>
        <v>43907</v>
      </c>
      <c r="W29" s="43">
        <f ca="1">IF(DAY(MarNed1)=1,IF(AND(YEAR(MarNed1+17)=KoledarskoLeto,MONTH(MarNed1+17)=3),MarNed1+17,""),IF(AND(YEAR(MarNed1+24)=KoledarskoLeto,MONTH(MarNed1+24)=3),MarNed1+24,""))</f>
        <v>43908</v>
      </c>
      <c r="X29" s="43">
        <f ca="1">IF(DAY(MarNed1)=1,IF(AND(YEAR(MarNed1+18)=KoledarskoLeto,MONTH(MarNed1+18)=3),MarNed1+18,""),IF(AND(YEAR(MarNed1+25)=KoledarskoLeto,MONTH(MarNed1+25)=3),MarNed1+25,""))</f>
        <v>43909</v>
      </c>
      <c r="Y29" s="43">
        <f ca="1">IF(DAY(MarNed1)=1,IF(AND(YEAR(MarNed1+19)=KoledarskoLeto,MONTH(MarNed1+19)=3),MarNed1+19,""),IF(AND(YEAR(MarNed1+26)=KoledarskoLeto,MONTH(MarNed1+26)=3),MarNed1+26,""))</f>
        <v>43910</v>
      </c>
      <c r="Z29" s="43">
        <f ca="1">IF(DAY(MarNed1)=1,IF(AND(YEAR(MarNed1+20)=KoledarskoLeto,MONTH(MarNed1+20)=3),MarNed1+20,""),IF(AND(YEAR(MarNed1+27)=KoledarskoLeto,MONTH(MarNed1+27)=3),MarNed1+27,""))</f>
        <v>43911</v>
      </c>
      <c r="AA29" s="43">
        <f ca="1">IF(DAY(MarNed1)=1,IF(AND(YEAR(MarNed1+21)=KoledarskoLeto,MONTH(MarNed1+21)=3),MarNed1+21,""),IF(AND(YEAR(MarNed1+28)=KoledarskoLeto,MONTH(MarNed1+28)=3),MarNed1+28,""))</f>
        <v>43912</v>
      </c>
      <c r="AB29" s="36"/>
      <c r="AC29" s="35"/>
      <c r="AD29" s="43">
        <f ca="1">IF(DAY(AprNed1)=1,IF(AND(YEAR(AprNed1+15)=KoledarskoLeto,MONTH(AprNed1+15)=4),AprNed1+15,""),IF(AND(YEAR(AprNed1+22)=KoledarskoLeto,MONTH(AprNed1+22)=4),AprNed1+22,""))</f>
        <v>43941</v>
      </c>
      <c r="AE29" s="43">
        <f ca="1">IF(DAY(AprNed1)=1,IF(AND(YEAR(AprNed1+16)=KoledarskoLeto,MONTH(AprNed1+16)=4),AprNed1+16,""),IF(AND(YEAR(AprNed1+23)=KoledarskoLeto,MONTH(AprNed1+23)=4),AprNed1+23,""))</f>
        <v>43942</v>
      </c>
      <c r="AF29" s="43">
        <f ca="1">IF(DAY(AprNed1)=1,IF(AND(YEAR(AprNed1+17)=KoledarskoLeto,MONTH(AprNed1+17)=4),AprNed1+17,""),IF(AND(YEAR(AprNed1+24)=KoledarskoLeto,MONTH(AprNed1+24)=4),AprNed1+24,""))</f>
        <v>43943</v>
      </c>
      <c r="AG29" s="43">
        <f ca="1">IF(DAY(AprNed1)=1,IF(AND(YEAR(AprNed1+18)=KoledarskoLeto,MONTH(AprNed1+18)=4),AprNed1+18,""),IF(AND(YEAR(AprNed1+25)=KoledarskoLeto,MONTH(AprNed1+25)=4),AprNed1+25,""))</f>
        <v>43944</v>
      </c>
      <c r="AH29" s="43">
        <f ca="1">IF(DAY(AprNed1)=1,IF(AND(YEAR(AprNed1+19)=KoledarskoLeto,MONTH(AprNed1+19)=4),AprNed1+19,""),IF(AND(YEAR(AprNed1+26)=KoledarskoLeto,MONTH(AprNed1+26)=4),AprNed1+26,""))</f>
        <v>43945</v>
      </c>
      <c r="AI29" s="43">
        <f ca="1">IF(DAY(AprNed1)=1,IF(AND(YEAR(AprNed1+20)=KoledarskoLeto,MONTH(AprNed1+20)=4),AprNed1+20,""),IF(AND(YEAR(AprNed1+27)=KoledarskoLeto,MONTH(AprNed1+27)=4),AprNed1+27,""))</f>
        <v>43946</v>
      </c>
      <c r="AJ29" s="43">
        <f ca="1">IF(DAY(AprNed1)=1,IF(AND(YEAR(AprNed1+21)=KoledarskoLeto,MONTH(AprNed1+21)=4),AprNed1+21,""),IF(AND(YEAR(AprNed1+28)=KoledarskoLeto,MONTH(AprNed1+28)=4),AprNed1+28,""))</f>
        <v>43947</v>
      </c>
    </row>
    <row r="30" spans="1:37" x14ac:dyDescent="0.2">
      <c r="C30" s="43">
        <f ca="1">IF(DAY(JanNed1)=1,IF(AND(YEAR(JanNed1+22)=KoledarskoLeto,MONTH(JanNed1+22)=1),JanNed1+22,""),IF(AND(YEAR(JanNed1+29)=KoledarskoLeto,MONTH(JanNed1+29)=1),JanNed1+29,""))</f>
        <v>43857</v>
      </c>
      <c r="D30" s="43">
        <f ca="1">IF(DAY(JanNed1)=1,IF(AND(YEAR(JanNed1+23)=KoledarskoLeto,MONTH(JanNed1+23)=1),JanNed1+23,""),IF(AND(YEAR(JanNed1+30)=KoledarskoLeto,MONTH(JanNed1+30)=1),JanNed1+30,""))</f>
        <v>43858</v>
      </c>
      <c r="E30" s="43">
        <f ca="1">IF(DAY(JanNed1)=1,IF(AND(YEAR(JanNed1+24)=KoledarskoLeto,MONTH(JanNed1+24)=1),JanNed1+24,""),IF(AND(YEAR(JanNed1+31)=KoledarskoLeto,MONTH(JanNed1+31)=1),JanNed1+31,""))</f>
        <v>43859</v>
      </c>
      <c r="F30" s="43">
        <f ca="1">IF(DAY(JanNed1)=1,IF(AND(YEAR(JanNed1+25)=KoledarskoLeto,MONTH(JanNed1+25)=1),JanNed1+25,""),IF(AND(YEAR(JanNed1+32)=KoledarskoLeto,MONTH(JanNed1+32)=1),JanNed1+32,""))</f>
        <v>43860</v>
      </c>
      <c r="G30" s="43">
        <f ca="1">IF(DAY(JanNed1)=1,IF(AND(YEAR(JanNed1+26)=KoledarskoLeto,MONTH(JanNed1+26)=1),JanNed1+26,""),IF(AND(YEAR(JanNed1+33)=KoledarskoLeto,MONTH(JanNed1+33)=1),JanNed1+33,""))</f>
        <v>43861</v>
      </c>
      <c r="H30" s="43" t="str">
        <f ca="1">IF(DAY(JanNed1)=1,IF(AND(YEAR(JanNed1+27)=KoledarskoLeto,MONTH(JanNed1+27)=1),JanNed1+27,""),IF(AND(YEAR(JanNed1+34)=KoledarskoLeto,MONTH(JanNed1+34)=1),JanNed1+34,""))</f>
        <v/>
      </c>
      <c r="I30" s="43" t="str">
        <f ca="1">IF(DAY(JanNed1)=1,IF(AND(YEAR(JanNed1+28)=KoledarskoLeto,MONTH(JanNed1+28)=1),JanNed1+28,""),IF(AND(YEAR(JanNed1+35)=KoledarskoLeto,MONTH(JanNed1+35)=1),JanNed1+35,""))</f>
        <v/>
      </c>
      <c r="J30" s="36"/>
      <c r="K30" s="35"/>
      <c r="L30" s="43">
        <f ca="1">IF(DAY(FebNed1)=1,IF(AND(YEAR(FebNed1+22)=KoledarskoLeto,MONTH(FebNed1+22)=2),FebNed1+22,""),IF(AND(YEAR(FebNed1+29)=KoledarskoLeto,MONTH(FebNed1+29)=2),FebNed1+29,""))</f>
        <v>43885</v>
      </c>
      <c r="M30" s="43">
        <f ca="1">IF(DAY(FebNed1)=1,IF(AND(YEAR(FebNed1+23)=KoledarskoLeto,MONTH(FebNed1+23)=2),FebNed1+23,""),IF(AND(YEAR(FebNed1+30)=KoledarskoLeto,MONTH(FebNed1+30)=2),FebNed1+30,""))</f>
        <v>43886</v>
      </c>
      <c r="N30" s="43">
        <f ca="1">IF(DAY(FebNed1)=1,IF(AND(YEAR(FebNed1+24)=KoledarskoLeto,MONTH(FebNed1+24)=2),FebNed1+24,""),IF(AND(YEAR(FebNed1+31)=KoledarskoLeto,MONTH(FebNed1+31)=2),FebNed1+31,""))</f>
        <v>43887</v>
      </c>
      <c r="O30" s="43">
        <f ca="1">IF(DAY(FebNed1)=1,IF(AND(YEAR(FebNed1+25)=KoledarskoLeto,MONTH(FebNed1+25)=2),FebNed1+25,""),IF(AND(YEAR(FebNed1+32)=KoledarskoLeto,MONTH(FebNed1+32)=2),FebNed1+32,""))</f>
        <v>43888</v>
      </c>
      <c r="P30" s="43">
        <f ca="1">IF(DAY(FebNed1)=1,IF(AND(YEAR(FebNed1+26)=KoledarskoLeto,MONTH(FebNed1+26)=2),FebNed1+26,""),IF(AND(YEAR(FebNed1+33)=KoledarskoLeto,MONTH(FebNed1+33)=2),FebNed1+33,""))</f>
        <v>43889</v>
      </c>
      <c r="Q30" s="43">
        <f ca="1">IF(DAY(FebNed1)=1,IF(AND(YEAR(FebNed1+27)=KoledarskoLeto,MONTH(FebNed1+27)=2),FebNed1+27,""),IF(AND(YEAR(FebNed1+34)=KoledarskoLeto,MONTH(FebNed1+34)=2),FebNed1+34,""))</f>
        <v>43890</v>
      </c>
      <c r="R30" s="43" t="str">
        <f ca="1">IF(DAY(FebNed1)=1,IF(AND(YEAR(FebNed1+28)=KoledarskoLeto,MONTH(FebNed1+28)=2),FebNed1+28,""),IF(AND(YEAR(FebNed1+35)=KoledarskoLeto,MONTH(FebNed1+35)=2),FebNed1+35,""))</f>
        <v/>
      </c>
      <c r="S30" s="36"/>
      <c r="T30" s="40"/>
      <c r="U30" s="43">
        <f ca="1">IF(DAY(MarNed1)=1,IF(AND(YEAR(MarNed1+22)=KoledarskoLeto,MONTH(MarNed1+22)=3),MarNed1+22,""),IF(AND(YEAR(MarNed1+29)=KoledarskoLeto,MONTH(MarNed1+29)=3),MarNed1+29,""))</f>
        <v>43913</v>
      </c>
      <c r="V30" s="43">
        <f ca="1">IF(DAY(MarNed1)=1,IF(AND(YEAR(MarNed1+23)=KoledarskoLeto,MONTH(MarNed1+23)=3),MarNed1+23,""),IF(AND(YEAR(MarNed1+30)=KoledarskoLeto,MONTH(MarNed1+30)=3),MarNed1+30,""))</f>
        <v>43914</v>
      </c>
      <c r="W30" s="43">
        <f ca="1">IF(DAY(MarNed1)=1,IF(AND(YEAR(MarNed1+24)=KoledarskoLeto,MONTH(MarNed1+24)=3),MarNed1+24,""),IF(AND(YEAR(MarNed1+31)=KoledarskoLeto,MONTH(MarNed1+31)=3),MarNed1+31,""))</f>
        <v>43915</v>
      </c>
      <c r="X30" s="43">
        <f ca="1">IF(DAY(MarNed1)=1,IF(AND(YEAR(MarNed1+25)=KoledarskoLeto,MONTH(MarNed1+25)=3),MarNed1+25,""),IF(AND(YEAR(MarNed1+32)=KoledarskoLeto,MONTH(MarNed1+32)=3),MarNed1+32,""))</f>
        <v>43916</v>
      </c>
      <c r="Y30" s="43">
        <f ca="1">IF(DAY(MarNed1)=1,IF(AND(YEAR(MarNed1+26)=KoledarskoLeto,MONTH(MarNed1+26)=3),MarNed1+26,""),IF(AND(YEAR(MarNed1+33)=KoledarskoLeto,MONTH(MarNed1+33)=3),MarNed1+33,""))</f>
        <v>43917</v>
      </c>
      <c r="Z30" s="43">
        <f ca="1">IF(DAY(MarNed1)=1,IF(AND(YEAR(MarNed1+27)=KoledarskoLeto,MONTH(MarNed1+27)=3),MarNed1+27,""),IF(AND(YEAR(MarNed1+34)=KoledarskoLeto,MONTH(MarNed1+34)=3),MarNed1+34,""))</f>
        <v>43918</v>
      </c>
      <c r="AA30" s="43">
        <f ca="1">IF(DAY(MarNed1)=1,IF(AND(YEAR(MarNed1+28)=KoledarskoLeto,MONTH(MarNed1+28)=3),MarNed1+28,""),IF(AND(YEAR(MarNed1+35)=KoledarskoLeto,MONTH(MarNed1+35)=3),MarNed1+35,""))</f>
        <v>43919</v>
      </c>
      <c r="AB30" s="36"/>
      <c r="AC30" s="35"/>
      <c r="AD30" s="43">
        <f ca="1">IF(DAY(AprNed1)=1,IF(AND(YEAR(AprNed1+22)=KoledarskoLeto,MONTH(AprNed1+22)=4),AprNed1+22,""),IF(AND(YEAR(AprNed1+29)=KoledarskoLeto,MONTH(AprNed1+29)=4),AprNed1+29,""))</f>
        <v>43948</v>
      </c>
      <c r="AE30" s="43">
        <f ca="1">IF(DAY(AprNed1)=1,IF(AND(YEAR(AprNed1+23)=KoledarskoLeto,MONTH(AprNed1+23)=4),AprNed1+23,""),IF(AND(YEAR(AprNed1+30)=KoledarskoLeto,MONTH(AprNed1+30)=4),AprNed1+30,""))</f>
        <v>43949</v>
      </c>
      <c r="AF30" s="43">
        <f ca="1">IF(DAY(AprNed1)=1,IF(AND(YEAR(AprNed1+24)=KoledarskoLeto,MONTH(AprNed1+24)=4),AprNed1+24,""),IF(AND(YEAR(AprNed1+31)=KoledarskoLeto,MONTH(AprNed1+31)=4),AprNed1+31,""))</f>
        <v>43950</v>
      </c>
      <c r="AG30" s="43">
        <f ca="1">IF(DAY(AprNed1)=1,IF(AND(YEAR(AprNed1+25)=KoledarskoLeto,MONTH(AprNed1+25)=4),AprNed1+25,""),IF(AND(YEAR(AprNed1+32)=KoledarskoLeto,MONTH(AprNed1+32)=4),AprNed1+32,""))</f>
        <v>43951</v>
      </c>
      <c r="AH30" s="43" t="str">
        <f ca="1">IF(DAY(AprNed1)=1,IF(AND(YEAR(AprNed1+26)=KoledarskoLeto,MONTH(AprNed1+26)=4),AprNed1+26,""),IF(AND(YEAR(AprNed1+33)=KoledarskoLeto,MONTH(AprNed1+33)=4),AprNed1+33,""))</f>
        <v/>
      </c>
      <c r="AI30" s="43" t="str">
        <f ca="1">IF(DAY(AprNed1)=1,IF(AND(YEAR(AprNed1+27)=KoledarskoLeto,MONTH(AprNed1+27)=4),AprNed1+27,""),IF(AND(YEAR(AprNed1+34)=KoledarskoLeto,MONTH(AprNed1+34)=4),AprNed1+34,""))</f>
        <v/>
      </c>
      <c r="AJ30" s="43" t="str">
        <f ca="1">IF(DAY(AprNed1)=1,IF(AND(YEAR(AprNed1+28)=KoledarskoLeto,MONTH(AprNed1+28)=4),AprNed1+28,""),IF(AND(YEAR(AprNed1+35)=KoledarskoLeto,MONTH(AprNed1+35)=4),AprNed1+35,""))</f>
        <v/>
      </c>
    </row>
    <row r="31" spans="1:37" x14ac:dyDescent="0.2">
      <c r="C31" s="43" t="str">
        <f ca="1">IF(DAY(JanNed1)=1,IF(AND(YEAR(JanNed1+29)=KoledarskoLeto,MONTH(JanNed1+29)=1),JanNed1+29,""),IF(AND(YEAR(JanNed1+36)=KoledarskoLeto,MONTH(JanNed1+36)=1),JanNed1+36,""))</f>
        <v/>
      </c>
      <c r="D31" s="43" t="str">
        <f ca="1">IF(DAY(JanNed1)=1,IF(AND(YEAR(JanNed1+30)=KoledarskoLeto,MONTH(JanNed1+30)=1),JanNed1+30,""),IF(AND(YEAR(JanNed1+37)=KoledarskoLeto,MONTH(JanNed1+37)=1),JanNed1+37,""))</f>
        <v/>
      </c>
      <c r="E31" s="43" t="str">
        <f ca="1">IF(DAY(JanNed1)=1,IF(AND(YEAR(JanNed1+31)=KoledarskoLeto,MONTH(JanNed1+31)=1),JanNed1+31,""),IF(AND(YEAR(JanNed1+38)=KoledarskoLeto,MONTH(JanNed1+38)=1),JanNed1+38,""))</f>
        <v/>
      </c>
      <c r="F31" s="43" t="str">
        <f ca="1">IF(DAY(JanNed1)=1,IF(AND(YEAR(JanNed1+32)=KoledarskoLeto,MONTH(JanNed1+32)=1),JanNed1+32,""),IF(AND(YEAR(JanNed1+39)=KoledarskoLeto,MONTH(JanNed1+39)=1),JanNed1+39,""))</f>
        <v/>
      </c>
      <c r="G31" s="43" t="str">
        <f ca="1">IF(DAY(JanNed1)=1,IF(AND(YEAR(JanNed1+33)=KoledarskoLeto,MONTH(JanNed1+33)=1),JanNed1+33,""),IF(AND(YEAR(JanNed1+40)=KoledarskoLeto,MONTH(JanNed1+40)=1),JanNed1+40,""))</f>
        <v/>
      </c>
      <c r="H31" s="43" t="str">
        <f ca="1">IF(DAY(JanNed1)=1,IF(AND(YEAR(JanNed1+34)=KoledarskoLeto,MONTH(JanNed1+34)=1),JanNed1+34,""),IF(AND(YEAR(JanNed1+41)=KoledarskoLeto,MONTH(JanNed1+41)=1),JanNed1+41,""))</f>
        <v/>
      </c>
      <c r="I31" s="43" t="str">
        <f ca="1">IF(DAY(JanNed1)=1,IF(AND(YEAR(JanNed1+35)=KoledarskoLeto,MONTH(JanNed1+35)=1),JanNed1+35,""),IF(AND(YEAR(JanNed1+42)=KoledarskoLeto,MONTH(JanNed1+42)=1),JanNed1+42,""))</f>
        <v/>
      </c>
      <c r="J31" s="36"/>
      <c r="K31" s="35"/>
      <c r="L31" s="43" t="str">
        <f ca="1">IF(DAY(FebNed1)=1,IF(AND(YEAR(FebNed1+29)=KoledarskoLeto,MONTH(FebNed1+29)=2),FebNed1+29,""),IF(AND(YEAR(FebNed1+36)=KoledarskoLeto,MONTH(FebNed1+36)=2),FebNed1+36,""))</f>
        <v/>
      </c>
      <c r="M31" s="43" t="str">
        <f ca="1">IF(DAY(FebNed1)=1,IF(AND(YEAR(FebNed1+30)=KoledarskoLeto,MONTH(FebNed1+30)=2),FebNed1+30,""),IF(AND(YEAR(FebNed1+37)=KoledarskoLeto,MONTH(FebNed1+37)=2),FebNed1+37,""))</f>
        <v/>
      </c>
      <c r="N31" s="43" t="str">
        <f ca="1">IF(DAY(FebNed1)=1,IF(AND(YEAR(FebNed1+31)=KoledarskoLeto,MONTH(FebNed1+31)=2),FebNed1+31,""),IF(AND(YEAR(FebNed1+38)=KoledarskoLeto,MONTH(FebNed1+38)=2),FebNed1+38,""))</f>
        <v/>
      </c>
      <c r="O31" s="43" t="str">
        <f ca="1">IF(DAY(FebNed1)=1,IF(AND(YEAR(FebNed1+32)=KoledarskoLeto,MONTH(FebNed1+32)=2),FebNed1+32,""),IF(AND(YEAR(FebNed1+39)=KoledarskoLeto,MONTH(FebNed1+39)=2),FebNed1+39,""))</f>
        <v/>
      </c>
      <c r="P31" s="43" t="str">
        <f ca="1">IF(DAY(FebNed1)=1,IF(AND(YEAR(FebNed1+33)=KoledarskoLeto,MONTH(FebNed1+33)=2),FebNed1+33,""),IF(AND(YEAR(FebNed1+40)=KoledarskoLeto,MONTH(FebNed1+40)=2),FebNed1+40,""))</f>
        <v/>
      </c>
      <c r="Q31" s="43" t="str">
        <f ca="1">IF(DAY(FebNed1)=1,IF(AND(YEAR(FebNed1+34)=KoledarskoLeto,MONTH(FebNed1+34)=2),FebNed1+34,""),IF(AND(YEAR(FebNed1+41)=KoledarskoLeto,MONTH(FebNed1+41)=2),FebNed1+41,""))</f>
        <v/>
      </c>
      <c r="R31" s="43" t="str">
        <f ca="1">IF(DAY(FebNed1)=1,IF(AND(YEAR(FebNed1+35)=KoledarskoLeto,MONTH(FebNed1+35)=2),FebNed1+35,""),IF(AND(YEAR(FebNed1+42)=KoledarskoLeto,MONTH(FebNed1+42)=2),FebNed1+42,""))</f>
        <v/>
      </c>
      <c r="S31" s="36"/>
      <c r="T31" s="40"/>
      <c r="U31" s="43">
        <f ca="1">IF(DAY(MarNed1)=1,IF(AND(YEAR(MarNed1+29)=KoledarskoLeto,MONTH(MarNed1+29)=3),MarNed1+29,""),IF(AND(YEAR(MarNed1+36)=KoledarskoLeto,MONTH(MarNed1+36)=3),MarNed1+36,""))</f>
        <v>43920</v>
      </c>
      <c r="V31" s="43">
        <f ca="1">IF(DAY(MarNed1)=1,IF(AND(YEAR(MarNed1+30)=KoledarskoLeto,MONTH(MarNed1+30)=3),MarNed1+30,""),IF(AND(YEAR(MarNed1+37)=KoledarskoLeto,MONTH(MarNed1+37)=3),MarNed1+37,""))</f>
        <v>43921</v>
      </c>
      <c r="W31" s="43" t="str">
        <f ca="1">IF(DAY(MarNed1)=1,IF(AND(YEAR(MarNed1+31)=KoledarskoLeto,MONTH(MarNed1+31)=3),MarNed1+31,""),IF(AND(YEAR(MarNed1+38)=KoledarskoLeto,MONTH(MarNed1+38)=3),MarNed1+38,""))</f>
        <v/>
      </c>
      <c r="X31" s="43" t="str">
        <f ca="1">IF(DAY(MarNed1)=1,IF(AND(YEAR(MarNed1+32)=KoledarskoLeto,MONTH(MarNed1+32)=3),MarNed1+32,""),IF(AND(YEAR(MarNed1+39)=KoledarskoLeto,MONTH(MarNed1+39)=3),MarNed1+39,""))</f>
        <v/>
      </c>
      <c r="Y31" s="43" t="str">
        <f ca="1">IF(DAY(MarNed1)=1,IF(AND(YEAR(MarNed1+33)=KoledarskoLeto,MONTH(MarNed1+33)=3),MarNed1+33,""),IF(AND(YEAR(MarNed1+40)=KoledarskoLeto,MONTH(MarNed1+40)=3),MarNed1+40,""))</f>
        <v/>
      </c>
      <c r="Z31" s="43" t="str">
        <f ca="1">IF(DAY(MarNed1)=1,IF(AND(YEAR(MarNed1+34)=KoledarskoLeto,MONTH(MarNed1+34)=3),MarNed1+34,""),IF(AND(YEAR(MarNed1+41)=KoledarskoLeto,MONTH(MarNed1+41)=3),MarNed1+41,""))</f>
        <v/>
      </c>
      <c r="AA31" s="43" t="str">
        <f ca="1">IF(DAY(MarNed1)=1,IF(AND(YEAR(MarNed1+35)=KoledarskoLeto,MONTH(MarNed1+35)=3),MarNed1+35,""),IF(AND(YEAR(MarNed1+42)=KoledarskoLeto,MONTH(MarNed1+42)=3),MarNed1+42,""))</f>
        <v/>
      </c>
      <c r="AB31" s="36"/>
      <c r="AC31" s="35"/>
      <c r="AD31" s="43" t="str">
        <f ca="1">IF(DAY(AprNed1)=1,IF(AND(YEAR(AprNed1+29)=KoledarskoLeto,MONTH(AprNed1+29)=4),AprNed1+29,""),IF(AND(YEAR(AprNed1+36)=KoledarskoLeto,MONTH(AprNed1+36)=4),AprNed1+36,""))</f>
        <v/>
      </c>
      <c r="AE31" s="43" t="str">
        <f ca="1">IF(DAY(AprNed1)=1,IF(AND(YEAR(AprNed1+30)=KoledarskoLeto,MONTH(AprNed1+30)=4),AprNed1+30,""),IF(AND(YEAR(AprNed1+37)=KoledarskoLeto,MONTH(AprNed1+37)=4),AprNed1+37,""))</f>
        <v/>
      </c>
      <c r="AF31" s="43" t="str">
        <f ca="1">IF(DAY(AprNed1)=1,IF(AND(YEAR(AprNed1+31)=KoledarskoLeto,MONTH(AprNed1+31)=4),AprNed1+31,""),IF(AND(YEAR(AprNed1+38)=KoledarskoLeto,MONTH(AprNed1+38)=4),AprNed1+38,""))</f>
        <v/>
      </c>
      <c r="AG31" s="43" t="str">
        <f ca="1">IF(DAY(AprNed1)=1,IF(AND(YEAR(AprNed1+32)=KoledarskoLeto,MONTH(AprNed1+32)=4),AprNed1+32,""),IF(AND(YEAR(AprNed1+39)=KoledarskoLeto,MONTH(AprNed1+39)=4),AprNed1+39,""))</f>
        <v/>
      </c>
      <c r="AH31" s="43" t="str">
        <f ca="1">IF(DAY(AprNed1)=1,IF(AND(YEAR(AprNed1+33)=KoledarskoLeto,MONTH(AprNed1+33)=4),AprNed1+33,""),IF(AND(YEAR(AprNed1+40)=KoledarskoLeto,MONTH(AprNed1+40)=4),AprNed1+40,""))</f>
        <v/>
      </c>
      <c r="AI31" s="43" t="str">
        <f ca="1">IF(DAY(AprNed1)=1,IF(AND(YEAR(AprNed1+34)=KoledarskoLeto,MONTH(AprNed1+34)=4),AprNed1+34,""),IF(AND(YEAR(AprNed1+41)=KoledarskoLeto,MONTH(AprNed1+41)=4),AprNed1+41,""))</f>
        <v/>
      </c>
      <c r="AJ31" s="43" t="str">
        <f ca="1">IF(DAY(AprNed1)=1,IF(AND(YEAR(AprNed1+35)=KoledarskoLeto,MONTH(AprNed1+35)=4),AprNed1+35,""),IF(AND(YEAR(AprNed1+42)=KoledarskoLeto,MONTH(AprNed1+42)=4),AprNed1+42,""))</f>
        <v/>
      </c>
    </row>
    <row r="32" spans="1:37" ht="15" x14ac:dyDescent="0.2">
      <c r="A32" s="26" t="s">
        <v>12</v>
      </c>
      <c r="C32" s="35"/>
      <c r="D32" s="35"/>
      <c r="E32" s="35"/>
      <c r="F32" s="35"/>
      <c r="G32" s="35"/>
      <c r="H32" s="35"/>
      <c r="I32" s="35"/>
      <c r="J32" s="36"/>
      <c r="K32" s="35"/>
      <c r="L32" s="35"/>
      <c r="M32" s="35"/>
      <c r="N32" s="35"/>
      <c r="O32" s="35"/>
      <c r="P32" s="35"/>
      <c r="Q32" s="35"/>
      <c r="R32" s="35"/>
      <c r="S32" s="36"/>
      <c r="T32" s="40"/>
      <c r="U32" s="40"/>
      <c r="V32" s="40"/>
      <c r="W32" s="40"/>
      <c r="X32" s="40"/>
      <c r="Y32" s="40"/>
      <c r="Z32" s="40"/>
      <c r="AA32" s="40"/>
      <c r="AB32" s="41"/>
      <c r="AC32" s="40"/>
      <c r="AD32" s="40"/>
      <c r="AE32" s="40"/>
      <c r="AF32" s="40"/>
      <c r="AG32" s="40"/>
      <c r="AH32" s="40"/>
      <c r="AI32" s="40"/>
      <c r="AJ32" s="40"/>
    </row>
    <row r="33" spans="1:36" ht="15.75" x14ac:dyDescent="0.25">
      <c r="A33" s="26" t="s">
        <v>13</v>
      </c>
      <c r="C33" s="45">
        <f ca="1">DATE(KoledarskoLeto,5,1)</f>
        <v>43952</v>
      </c>
      <c r="D33" s="45"/>
      <c r="E33" s="45"/>
      <c r="F33" s="45"/>
      <c r="G33" s="45"/>
      <c r="H33" s="45"/>
      <c r="I33" s="45"/>
      <c r="J33" s="32"/>
      <c r="K33" s="35"/>
      <c r="L33" s="45">
        <f ca="1">DATE(KoledarskoLeto,6,1)</f>
        <v>43983</v>
      </c>
      <c r="M33" s="45"/>
      <c r="N33" s="45"/>
      <c r="O33" s="45"/>
      <c r="P33" s="45"/>
      <c r="Q33" s="45"/>
      <c r="R33" s="45"/>
      <c r="S33" s="32"/>
      <c r="T33" s="40"/>
      <c r="U33" s="45">
        <f ca="1">DATE(KoledarskoLeto,7,1)</f>
        <v>44013</v>
      </c>
      <c r="V33" s="45"/>
      <c r="W33" s="45"/>
      <c r="X33" s="45"/>
      <c r="Y33" s="45"/>
      <c r="Z33" s="45"/>
      <c r="AA33" s="45"/>
      <c r="AB33" s="32"/>
      <c r="AC33" s="35"/>
      <c r="AD33" s="45">
        <f ca="1">DATE(KoledarskoLeto,8,1)</f>
        <v>44044</v>
      </c>
      <c r="AE33" s="45"/>
      <c r="AF33" s="45"/>
      <c r="AG33" s="45"/>
      <c r="AH33" s="45"/>
      <c r="AI33" s="45"/>
      <c r="AJ33" s="45"/>
    </row>
    <row r="34" spans="1:36" ht="15" x14ac:dyDescent="0.25">
      <c r="A34" s="26" t="s">
        <v>14</v>
      </c>
      <c r="C34" s="21" t="s">
        <v>20</v>
      </c>
      <c r="D34" s="21" t="s">
        <v>23</v>
      </c>
      <c r="E34" s="21" t="s">
        <v>24</v>
      </c>
      <c r="F34" s="21" t="s">
        <v>25</v>
      </c>
      <c r="G34" s="21" t="s">
        <v>26</v>
      </c>
      <c r="H34" s="21" t="s">
        <v>29</v>
      </c>
      <c r="I34" s="21" t="s">
        <v>30</v>
      </c>
      <c r="J34" s="34"/>
      <c r="K34" s="37"/>
      <c r="L34" s="21" t="s">
        <v>20</v>
      </c>
      <c r="M34" s="21" t="s">
        <v>23</v>
      </c>
      <c r="N34" s="21" t="s">
        <v>24</v>
      </c>
      <c r="O34" s="21" t="s">
        <v>25</v>
      </c>
      <c r="P34" s="21" t="s">
        <v>26</v>
      </c>
      <c r="Q34" s="21" t="s">
        <v>29</v>
      </c>
      <c r="R34" s="21" t="s">
        <v>30</v>
      </c>
      <c r="S34" s="34"/>
      <c r="T34" s="40"/>
      <c r="U34" s="21" t="s">
        <v>20</v>
      </c>
      <c r="V34" s="21" t="s">
        <v>23</v>
      </c>
      <c r="W34" s="21" t="s">
        <v>24</v>
      </c>
      <c r="X34" s="21" t="s">
        <v>25</v>
      </c>
      <c r="Y34" s="21" t="s">
        <v>26</v>
      </c>
      <c r="Z34" s="21" t="s">
        <v>29</v>
      </c>
      <c r="AA34" s="21" t="s">
        <v>30</v>
      </c>
      <c r="AB34" s="34"/>
      <c r="AC34" s="35"/>
      <c r="AD34" s="21" t="s">
        <v>20</v>
      </c>
      <c r="AE34" s="21" t="s">
        <v>23</v>
      </c>
      <c r="AF34" s="21" t="s">
        <v>24</v>
      </c>
      <c r="AG34" s="21" t="s">
        <v>25</v>
      </c>
      <c r="AH34" s="21" t="s">
        <v>26</v>
      </c>
      <c r="AI34" s="21" t="s">
        <v>29</v>
      </c>
      <c r="AJ34" s="21" t="s">
        <v>30</v>
      </c>
    </row>
    <row r="35" spans="1:36" ht="15.75" x14ac:dyDescent="0.25">
      <c r="A35" s="26" t="s">
        <v>15</v>
      </c>
      <c r="C35" s="43" t="str">
        <f ca="1">IF(DAY(MajNed1)=1,"",IF(AND(YEAR(MajNed1+1)=KoledarskoLeto,MONTH(MajNed1+1)=5),MajNed1+1,""))</f>
        <v/>
      </c>
      <c r="D35" s="43" t="str">
        <f ca="1">IF(DAY(MajNed1)=1,"",IF(AND(YEAR(MajNed1+2)=KoledarskoLeto,MONTH(MajNed1+2)=5),MajNed1+2,""))</f>
        <v/>
      </c>
      <c r="E35" s="43" t="str">
        <f ca="1">IF(DAY(MajNed1)=1,"",IF(AND(YEAR(MajNed1+3)=KoledarskoLeto,MONTH(MajNed1+3)=5),MajNed1+3,""))</f>
        <v/>
      </c>
      <c r="F35" s="43" t="str">
        <f ca="1">IF(DAY(MajNed1)=1,"",IF(AND(YEAR(MajNed1+4)=KoledarskoLeto,MONTH(MajNed1+4)=5),MajNed1+4,""))</f>
        <v/>
      </c>
      <c r="G35" s="43">
        <f ca="1">IF(DAY(MajNed1)=1,"",IF(AND(YEAR(MajNed1+5)=KoledarskoLeto,MONTH(MajNed1+5)=5),MajNed1+5,""))</f>
        <v>43952</v>
      </c>
      <c r="H35" s="43">
        <f ca="1">IF(DAY(MajNed1)=1,"",IF(AND(YEAR(MajNed1+6)=KoledarskoLeto,MONTH(MajNed1+6)=5),MajNed1+6,""))</f>
        <v>43953</v>
      </c>
      <c r="I35" s="43">
        <f ca="1">IF(DAY(MajNed1)=1,IF(AND(YEAR(MajNed1)=KoledarskoLeto,MONTH(MajNed1)=5),MajNed1,""),IF(AND(YEAR(MajNed1+7)=KoledarskoLeto,MONTH(MajNed1+7)=5),MajNed1+7,""))</f>
        <v>43954</v>
      </c>
      <c r="J35" s="36"/>
      <c r="K35" s="33"/>
      <c r="L35" s="43">
        <f ca="1">IF(DAY(JunNed1)=1,"",IF(AND(YEAR(JunNed1+1)=KoledarskoLeto,MONTH(JunNed1+1)=6),JunNed1+1,""))</f>
        <v>43983</v>
      </c>
      <c r="M35" s="43">
        <f ca="1">IF(DAY(JunNed1)=1,"",IF(AND(YEAR(JunNed1+2)=KoledarskoLeto,MONTH(JunNed1+2)=6),JunNed1+2,""))</f>
        <v>43984</v>
      </c>
      <c r="N35" s="43">
        <f ca="1">IF(DAY(JunNed1)=1,"",IF(AND(YEAR(JunNed1+3)=KoledarskoLeto,MONTH(JunNed1+3)=6),JunNed1+3,""))</f>
        <v>43985</v>
      </c>
      <c r="O35" s="43">
        <f ca="1">IF(DAY(JunNed1)=1,"",IF(AND(YEAR(JunNed1+4)=KoledarskoLeto,MONTH(JunNed1+4)=6),JunNed1+4,""))</f>
        <v>43986</v>
      </c>
      <c r="P35" s="43">
        <f ca="1">IF(DAY(JunNed1)=1,"",IF(AND(YEAR(JunNed1+5)=KoledarskoLeto,MONTH(JunNed1+5)=6),JunNed1+5,""))</f>
        <v>43987</v>
      </c>
      <c r="Q35" s="43">
        <f ca="1">IF(DAY(JunNed1)=1,"",IF(AND(YEAR(JunNed1+6)=KoledarskoLeto,MONTH(JunNed1+6)=6),JunNed1+6,""))</f>
        <v>43988</v>
      </c>
      <c r="R35" s="43">
        <f ca="1">IF(DAY(JunNed1)=1,IF(AND(YEAR(JunNed1)=KoledarskoLeto,MONTH(JunNed1)=6),JunNed1,""),IF(AND(YEAR(JunNed1+7)=KoledarskoLeto,MONTH(JunNed1+7)=6),JunNed1+7,""))</f>
        <v>43989</v>
      </c>
      <c r="S35" s="36"/>
      <c r="T35" s="40"/>
      <c r="U35" s="43" t="str">
        <f ca="1">IF(DAY(JulNed1)=1,"",IF(AND(YEAR(JulNed1+1)=KoledarskoLeto,MONTH(JulNed1+1)=7),JulNed1+1,""))</f>
        <v/>
      </c>
      <c r="V35" s="43" t="str">
        <f ca="1">IF(DAY(JulNed1)=1,"",IF(AND(YEAR(JulNed1+2)=KoledarskoLeto,MONTH(JulNed1+2)=7),JulNed1+2,""))</f>
        <v/>
      </c>
      <c r="W35" s="43">
        <f ca="1">IF(DAY(JulNed1)=1,"",IF(AND(YEAR(JulNed1+3)=KoledarskoLeto,MONTH(JulNed1+3)=7),JulNed1+3,""))</f>
        <v>44013</v>
      </c>
      <c r="X35" s="43">
        <f ca="1">IF(DAY(JulNed1)=1,"",IF(AND(YEAR(JulNed1+4)=KoledarskoLeto,MONTH(JulNed1+4)=7),JulNed1+4,""))</f>
        <v>44014</v>
      </c>
      <c r="Y35" s="43">
        <f ca="1">IF(DAY(JulNed1)=1,"",IF(AND(YEAR(JulNed1+5)=KoledarskoLeto,MONTH(JulNed1+5)=7),JulNed1+5,""))</f>
        <v>44015</v>
      </c>
      <c r="Z35" s="43">
        <f ca="1">IF(DAY(JulNed1)=1,"",IF(AND(YEAR(JulNed1+6)=KoledarskoLeto,MONTH(JulNed1+6)=7),JulNed1+6,""))</f>
        <v>44016</v>
      </c>
      <c r="AA35" s="43">
        <f ca="1">IF(DAY(JulNed1)=1,IF(AND(YEAR(JulNed1)=KoledarskoLeto,MONTH(JulNed1)=7),JulNed1,""),IF(AND(YEAR(JulNed1+7)=KoledarskoLeto,MONTH(JulNed1+7)=7),JulNed1+7,""))</f>
        <v>44017</v>
      </c>
      <c r="AB35" s="36"/>
      <c r="AC35" s="37"/>
      <c r="AD35" s="43" t="str">
        <f ca="1">IF(DAY(AvgNed1)=1,"",IF(AND(YEAR(AvgNed1+1)=KoledarskoLeto,MONTH(AvgNed1+1)=8),AvgNed1+1,""))</f>
        <v/>
      </c>
      <c r="AE35" s="43" t="str">
        <f ca="1">IF(DAY(AvgNed1)=1,"",IF(AND(YEAR(AvgNed1+2)=KoledarskoLeto,MONTH(AvgNed1+2)=8),AvgNed1+2,""))</f>
        <v/>
      </c>
      <c r="AF35" s="43" t="str">
        <f ca="1">IF(DAY(AvgNed1)=1,"",IF(AND(YEAR(AvgNed1+3)=KoledarskoLeto,MONTH(AvgNed1+3)=8),AvgNed1+3,""))</f>
        <v/>
      </c>
      <c r="AG35" s="43" t="str">
        <f ca="1">IF(DAY(AvgNed1)=1,"",IF(AND(YEAR(AvgNed1+4)=KoledarskoLeto,MONTH(AvgNed1+4)=8),AvgNed1+4,""))</f>
        <v/>
      </c>
      <c r="AH35" s="43" t="str">
        <f ca="1">IF(DAY(AvgNed1)=1,"",IF(AND(YEAR(AvgNed1+5)=KoledarskoLeto,MONTH(AvgNed1+5)=8),AvgNed1+5,""))</f>
        <v/>
      </c>
      <c r="AI35" s="43">
        <f ca="1">IF(DAY(AvgNed1)=1,"",IF(AND(YEAR(AvgNed1+6)=KoledarskoLeto,MONTH(AvgNed1+6)=8),AvgNed1+6,""))</f>
        <v>44044</v>
      </c>
      <c r="AJ35" s="43">
        <f ca="1">IF(DAY(AvgNed1)=1,IF(AND(YEAR(AvgNed1)=KoledarskoLeto,MONTH(AvgNed1)=8),AvgNed1,""),IF(AND(YEAR(AvgNed1+7)=KoledarskoLeto,MONTH(AvgNed1+7)=8),AvgNed1+7,""))</f>
        <v>44045</v>
      </c>
    </row>
    <row r="36" spans="1:36" x14ac:dyDescent="0.2">
      <c r="C36" s="43">
        <f ca="1">IF(DAY(MajNed1)=1,IF(AND(YEAR(MajNed1+1)=KoledarskoLeto,MONTH(MajNed1+1)=5),MajNed1+1,""),IF(AND(YEAR(MajNed1+8)=KoledarskoLeto,MONTH(MajNed1+8)=5),MajNed1+8,""))</f>
        <v>43955</v>
      </c>
      <c r="D36" s="43">
        <f ca="1">IF(DAY(MajNed1)=1,IF(AND(YEAR(MajNed1+2)=KoledarskoLeto,MONTH(MajNed1+2)=5),MajNed1+2,""),IF(AND(YEAR(MajNed1+9)=KoledarskoLeto,MONTH(MajNed1+9)=5),MajNed1+9,""))</f>
        <v>43956</v>
      </c>
      <c r="E36" s="43">
        <f ca="1">IF(DAY(MajNed1)=1,IF(AND(YEAR(MajNed1+3)=KoledarskoLeto,MONTH(MajNed1+3)=5),MajNed1+3,""),IF(AND(YEAR(MajNed1+10)=KoledarskoLeto,MONTH(MajNed1+10)=5),MajNed1+10,""))</f>
        <v>43957</v>
      </c>
      <c r="F36" s="43">
        <f ca="1">IF(DAY(MajNed1)=1,IF(AND(YEAR(MajNed1+4)=KoledarskoLeto,MONTH(MajNed1+4)=5),MajNed1+4,""),IF(AND(YEAR(MajNed1+11)=KoledarskoLeto,MONTH(MajNed1+11)=5),MajNed1+11,""))</f>
        <v>43958</v>
      </c>
      <c r="G36" s="43">
        <f ca="1">IF(DAY(MajNed1)=1,IF(AND(YEAR(MajNed1+5)=KoledarskoLeto,MONTH(MajNed1+5)=5),MajNed1+5,""),IF(AND(YEAR(MajNed1+12)=KoledarskoLeto,MONTH(MajNed1+12)=5),MajNed1+12,""))</f>
        <v>43959</v>
      </c>
      <c r="H36" s="43">
        <f ca="1">IF(DAY(MajNed1)=1,IF(AND(YEAR(MajNed1+6)=KoledarskoLeto,MONTH(MajNed1+6)=5),MajNed1+6,""),IF(AND(YEAR(MajNed1+13)=KoledarskoLeto,MONTH(MajNed1+13)=5),MajNed1+13,""))</f>
        <v>43960</v>
      </c>
      <c r="I36" s="43">
        <f ca="1">IF(DAY(MajNed1)=1,IF(AND(YEAR(MajNed1+7)=KoledarskoLeto,MONTH(MajNed1+7)=5),MajNed1+7,""),IF(AND(YEAR(MajNed1+14)=KoledarskoLeto,MONTH(MajNed1+14)=5),MajNed1+14,""))</f>
        <v>43961</v>
      </c>
      <c r="J36" s="36"/>
      <c r="K36" s="35"/>
      <c r="L36" s="43">
        <f ca="1">IF(DAY(JunNed1)=1,IF(AND(YEAR(JunNed1+1)=KoledarskoLeto,MONTH(JunNed1+1)=6),JunNed1+1,""),IF(AND(YEAR(JunNed1+8)=KoledarskoLeto,MONTH(JunNed1+8)=6),JunNed1+8,""))</f>
        <v>43990</v>
      </c>
      <c r="M36" s="43">
        <f ca="1">IF(DAY(JunNed1)=1,IF(AND(YEAR(JunNed1+2)=KoledarskoLeto,MONTH(JunNed1+2)=6),JunNed1+2,""),IF(AND(YEAR(JunNed1+9)=KoledarskoLeto,MONTH(JunNed1+9)=6),JunNed1+9,""))</f>
        <v>43991</v>
      </c>
      <c r="N36" s="43">
        <f ca="1">IF(DAY(JunNed1)=1,IF(AND(YEAR(JunNed1+3)=KoledarskoLeto,MONTH(JunNed1+3)=6),JunNed1+3,""),IF(AND(YEAR(JunNed1+10)=KoledarskoLeto,MONTH(JunNed1+10)=6),JunNed1+10,""))</f>
        <v>43992</v>
      </c>
      <c r="O36" s="43">
        <f ca="1">IF(DAY(JunNed1)=1,IF(AND(YEAR(JunNed1+4)=KoledarskoLeto,MONTH(JunNed1+4)=6),JunNed1+4,""),IF(AND(YEAR(JunNed1+11)=KoledarskoLeto,MONTH(JunNed1+11)=6),JunNed1+11,""))</f>
        <v>43993</v>
      </c>
      <c r="P36" s="43">
        <f ca="1">IF(DAY(JunNed1)=1,IF(AND(YEAR(JunNed1+5)=KoledarskoLeto,MONTH(JunNed1+5)=6),JunNed1+5,""),IF(AND(YEAR(JunNed1+12)=KoledarskoLeto,MONTH(JunNed1+12)=6),JunNed1+12,""))</f>
        <v>43994</v>
      </c>
      <c r="Q36" s="43">
        <f ca="1">IF(DAY(JunNed1)=1,IF(AND(YEAR(JunNed1+6)=KoledarskoLeto,MONTH(JunNed1+6)=6),JunNed1+6,""),IF(AND(YEAR(JunNed1+13)=KoledarskoLeto,MONTH(JunNed1+13)=6),JunNed1+13,""))</f>
        <v>43995</v>
      </c>
      <c r="R36" s="43">
        <f ca="1">IF(DAY(JunNed1)=1,IF(AND(YEAR(JunNed1+7)=KoledarskoLeto,MONTH(JunNed1+7)=6),JunNed1+7,""),IF(AND(YEAR(JunNed1+14)=KoledarskoLeto,MONTH(JunNed1+14)=6),JunNed1+14,""))</f>
        <v>43996</v>
      </c>
      <c r="S36" s="36"/>
      <c r="T36" s="40"/>
      <c r="U36" s="43">
        <f ca="1">IF(DAY(JulNed1)=1,IF(AND(YEAR(JulNed1+1)=KoledarskoLeto,MONTH(JulNed1+1)=7),JulNed1+1,""),IF(AND(YEAR(JulNed1+8)=KoledarskoLeto,MONTH(JulNed1+8)=7),JulNed1+8,""))</f>
        <v>44018</v>
      </c>
      <c r="V36" s="43">
        <f ca="1">IF(DAY(JulNed1)=1,IF(AND(YEAR(JulNed1+2)=KoledarskoLeto,MONTH(JulNed1+2)=7),JulNed1+2,""),IF(AND(YEAR(JulNed1+9)=KoledarskoLeto,MONTH(JulNed1+9)=7),JulNed1+9,""))</f>
        <v>44019</v>
      </c>
      <c r="W36" s="43">
        <f ca="1">IF(DAY(JulNed1)=1,IF(AND(YEAR(JulNed1+3)=KoledarskoLeto,MONTH(JulNed1+3)=7),JulNed1+3,""),IF(AND(YEAR(JulNed1+10)=KoledarskoLeto,MONTH(JulNed1+10)=7),JulNed1+10,""))</f>
        <v>44020</v>
      </c>
      <c r="X36" s="43">
        <f ca="1">IF(DAY(JulNed1)=1,IF(AND(YEAR(JulNed1+4)=KoledarskoLeto,MONTH(JulNed1+4)=7),JulNed1+4,""),IF(AND(YEAR(JulNed1+11)=KoledarskoLeto,MONTH(JulNed1+11)=7),JulNed1+11,""))</f>
        <v>44021</v>
      </c>
      <c r="Y36" s="43">
        <f ca="1">IF(DAY(JulNed1)=1,IF(AND(YEAR(JulNed1+5)=KoledarskoLeto,MONTH(JulNed1+5)=7),JulNed1+5,""),IF(AND(YEAR(JulNed1+12)=KoledarskoLeto,MONTH(JulNed1+12)=7),JulNed1+12,""))</f>
        <v>44022</v>
      </c>
      <c r="Z36" s="43">
        <f ca="1">IF(DAY(JulNed1)=1,IF(AND(YEAR(JulNed1+6)=KoledarskoLeto,MONTH(JulNed1+6)=7),JulNed1+6,""),IF(AND(YEAR(JulNed1+13)=KoledarskoLeto,MONTH(JulNed1+13)=7),JulNed1+13,""))</f>
        <v>44023</v>
      </c>
      <c r="AA36" s="43">
        <f ca="1">IF(DAY(JulNed1)=1,IF(AND(YEAR(JulNed1+7)=KoledarskoLeto,MONTH(JulNed1+7)=7),JulNed1+7,""),IF(AND(YEAR(JulNed1+14)=KoledarskoLeto,MONTH(JulNed1+14)=7),JulNed1+14,""))</f>
        <v>44024</v>
      </c>
      <c r="AB36" s="36"/>
      <c r="AC36" s="39"/>
      <c r="AD36" s="43">
        <f ca="1">IF(DAY(AvgNed1)=1,IF(AND(YEAR(AvgNed1+1)=KoledarskoLeto,MONTH(AvgNed1+1)=8),AvgNed1+1,""),IF(AND(YEAR(AvgNed1+8)=KoledarskoLeto,MONTH(AvgNed1+8)=8),AvgNed1+8,""))</f>
        <v>44046</v>
      </c>
      <c r="AE36" s="43">
        <f ca="1">IF(DAY(AvgNed1)=1,IF(AND(YEAR(AvgNed1+2)=KoledarskoLeto,MONTH(AvgNed1+2)=8),AvgNed1+2,""),IF(AND(YEAR(AvgNed1+9)=KoledarskoLeto,MONTH(AvgNed1+9)=8),AvgNed1+9,""))</f>
        <v>44047</v>
      </c>
      <c r="AF36" s="43">
        <f ca="1">IF(DAY(AvgNed1)=1,IF(AND(YEAR(AvgNed1+3)=KoledarskoLeto,MONTH(AvgNed1+3)=8),AvgNed1+3,""),IF(AND(YEAR(AvgNed1+10)=KoledarskoLeto,MONTH(AvgNed1+10)=8),AvgNed1+10,""))</f>
        <v>44048</v>
      </c>
      <c r="AG36" s="43">
        <f ca="1">IF(DAY(AvgNed1)=1,IF(AND(YEAR(AvgNed1+4)=KoledarskoLeto,MONTH(AvgNed1+4)=8),AvgNed1+4,""),IF(AND(YEAR(AvgNed1+11)=KoledarskoLeto,MONTH(AvgNed1+11)=8),AvgNed1+11,""))</f>
        <v>44049</v>
      </c>
      <c r="AH36" s="43">
        <f ca="1">IF(DAY(AvgNed1)=1,IF(AND(YEAR(AvgNed1+5)=KoledarskoLeto,MONTH(AvgNed1+5)=8),AvgNed1+5,""),IF(AND(YEAR(AvgNed1+12)=KoledarskoLeto,MONTH(AvgNed1+12)=8),AvgNed1+12,""))</f>
        <v>44050</v>
      </c>
      <c r="AI36" s="43">
        <f ca="1">IF(DAY(AvgNed1)=1,IF(AND(YEAR(AvgNed1+6)=KoledarskoLeto,MONTH(AvgNed1+6)=8),AvgNed1+6,""),IF(AND(YEAR(AvgNed1+13)=KoledarskoLeto,MONTH(AvgNed1+13)=8),AvgNed1+13,""))</f>
        <v>44051</v>
      </c>
      <c r="AJ36" s="43">
        <f ca="1">IF(DAY(AvgNed1)=1,IF(AND(YEAR(AvgNed1+7)=KoledarskoLeto,MONTH(AvgNed1+7)=8),AvgNed1+7,""),IF(AND(YEAR(AvgNed1+14)=KoledarskoLeto,MONTH(AvgNed1+14)=8),AvgNed1+14,""))</f>
        <v>44052</v>
      </c>
    </row>
    <row r="37" spans="1:36" x14ac:dyDescent="0.2">
      <c r="C37" s="43">
        <f ca="1">IF(DAY(MajNed1)=1,IF(AND(YEAR(MajNed1+8)=KoledarskoLeto,MONTH(MajNed1+8)=5),MajNed1+8,""),IF(AND(YEAR(MajNed1+15)=KoledarskoLeto,MONTH(MajNed1+15)=5),MajNed1+15,""))</f>
        <v>43962</v>
      </c>
      <c r="D37" s="43">
        <f ca="1">IF(DAY(MajNed1)=1,IF(AND(YEAR(MajNed1+9)=KoledarskoLeto,MONTH(MajNed1+9)=5),MajNed1+9,""),IF(AND(YEAR(MajNed1+16)=KoledarskoLeto,MONTH(MajNed1+16)=5),MajNed1+16,""))</f>
        <v>43963</v>
      </c>
      <c r="E37" s="43">
        <f ca="1">IF(DAY(MajNed1)=1,IF(AND(YEAR(MajNed1+10)=KoledarskoLeto,MONTH(MajNed1+10)=5),MajNed1+10,""),IF(AND(YEAR(MajNed1+17)=KoledarskoLeto,MONTH(MajNed1+17)=5),MajNed1+17,""))</f>
        <v>43964</v>
      </c>
      <c r="F37" s="43">
        <f ca="1">IF(DAY(MajNed1)=1,IF(AND(YEAR(MajNed1+11)=KoledarskoLeto,MONTH(MajNed1+11)=5),MajNed1+11,""),IF(AND(YEAR(MajNed1+18)=KoledarskoLeto,MONTH(MajNed1+18)=5),MajNed1+18,""))</f>
        <v>43965</v>
      </c>
      <c r="G37" s="43">
        <f ca="1">IF(DAY(MajNed1)=1,IF(AND(YEAR(MajNed1+12)=KoledarskoLeto,MONTH(MajNed1+12)=5),MajNed1+12,""),IF(AND(YEAR(MajNed1+19)=KoledarskoLeto,MONTH(MajNed1+19)=5),MajNed1+19,""))</f>
        <v>43966</v>
      </c>
      <c r="H37" s="43">
        <f ca="1">IF(DAY(MajNed1)=1,IF(AND(YEAR(MajNed1+13)=KoledarskoLeto,MONTH(MajNed1+13)=5),MajNed1+13,""),IF(AND(YEAR(MajNed1+20)=KoledarskoLeto,MONTH(MajNed1+20)=5),MajNed1+20,""))</f>
        <v>43967</v>
      </c>
      <c r="I37" s="43">
        <f ca="1">IF(DAY(MajNed1)=1,IF(AND(YEAR(MajNed1+14)=KoledarskoLeto,MONTH(MajNed1+14)=5),MajNed1+14,""),IF(AND(YEAR(MajNed1+21)=KoledarskoLeto,MONTH(MajNed1+21)=5),MajNed1+21,""))</f>
        <v>43968</v>
      </c>
      <c r="J37" s="36"/>
      <c r="K37" s="35"/>
      <c r="L37" s="43">
        <f ca="1">IF(DAY(JunNed1)=1,IF(AND(YEAR(JunNed1+8)=KoledarskoLeto,MONTH(JunNed1+8)=6),JunNed1+8,""),IF(AND(YEAR(JunNed1+15)=KoledarskoLeto,MONTH(JunNed1+15)=6),JunNed1+15,""))</f>
        <v>43997</v>
      </c>
      <c r="M37" s="43">
        <f ca="1">IF(DAY(JunNed1)=1,IF(AND(YEAR(JunNed1+9)=KoledarskoLeto,MONTH(JunNed1+9)=6),JunNed1+9,""),IF(AND(YEAR(JunNed1+16)=KoledarskoLeto,MONTH(JunNed1+16)=6),JunNed1+16,""))</f>
        <v>43998</v>
      </c>
      <c r="N37" s="43">
        <f ca="1">IF(DAY(JunNed1)=1,IF(AND(YEAR(JunNed1+10)=KoledarskoLeto,MONTH(JunNed1+10)=6),JunNed1+10,""),IF(AND(YEAR(JunNed1+17)=KoledarskoLeto,MONTH(JunNed1+17)=6),JunNed1+17,""))</f>
        <v>43999</v>
      </c>
      <c r="O37" s="43">
        <f ca="1">IF(DAY(JunNed1)=1,IF(AND(YEAR(JunNed1+11)=KoledarskoLeto,MONTH(JunNed1+11)=6),JunNed1+11,""),IF(AND(YEAR(JunNed1+18)=KoledarskoLeto,MONTH(JunNed1+18)=6),JunNed1+18,""))</f>
        <v>44000</v>
      </c>
      <c r="P37" s="43">
        <f ca="1">IF(DAY(JunNed1)=1,IF(AND(YEAR(JunNed1+12)=KoledarskoLeto,MONTH(JunNed1+12)=6),JunNed1+12,""),IF(AND(YEAR(JunNed1+19)=KoledarskoLeto,MONTH(JunNed1+19)=6),JunNed1+19,""))</f>
        <v>44001</v>
      </c>
      <c r="Q37" s="43">
        <f ca="1">IF(DAY(JunNed1)=1,IF(AND(YEAR(JunNed1+13)=KoledarskoLeto,MONTH(JunNed1+13)=6),JunNed1+13,""),IF(AND(YEAR(JunNed1+20)=KoledarskoLeto,MONTH(JunNed1+20)=6),JunNed1+20,""))</f>
        <v>44002</v>
      </c>
      <c r="R37" s="43">
        <f ca="1">IF(DAY(JunNed1)=1,IF(AND(YEAR(JunNed1+14)=KoledarskoLeto,MONTH(JunNed1+14)=6),JunNed1+14,""),IF(AND(YEAR(JunNed1+21)=KoledarskoLeto,MONTH(JunNed1+21)=6),JunNed1+21,""))</f>
        <v>44003</v>
      </c>
      <c r="S37" s="36"/>
      <c r="T37" s="40"/>
      <c r="U37" s="43">
        <f ca="1">IF(DAY(JulNed1)=1,IF(AND(YEAR(JulNed1+8)=KoledarskoLeto,MONTH(JulNed1+8)=7),JulNed1+8,""),IF(AND(YEAR(JulNed1+15)=KoledarskoLeto,MONTH(JulNed1+15)=7),JulNed1+15,""))</f>
        <v>44025</v>
      </c>
      <c r="V37" s="43">
        <f ca="1">IF(DAY(JulNed1)=1,IF(AND(YEAR(JulNed1+9)=KoledarskoLeto,MONTH(JulNed1+9)=7),JulNed1+9,""),IF(AND(YEAR(JulNed1+16)=KoledarskoLeto,MONTH(JulNed1+16)=7),JulNed1+16,""))</f>
        <v>44026</v>
      </c>
      <c r="W37" s="43">
        <f ca="1">IF(DAY(JulNed1)=1,IF(AND(YEAR(JulNed1+10)=KoledarskoLeto,MONTH(JulNed1+10)=7),JulNed1+10,""),IF(AND(YEAR(JulNed1+17)=KoledarskoLeto,MONTH(JulNed1+17)=7),JulNed1+17,""))</f>
        <v>44027</v>
      </c>
      <c r="X37" s="43">
        <f ca="1">IF(DAY(JulNed1)=1,IF(AND(YEAR(JulNed1+11)=KoledarskoLeto,MONTH(JulNed1+11)=7),JulNed1+11,""),IF(AND(YEAR(JulNed1+18)=KoledarskoLeto,MONTH(JulNed1+18)=7),JulNed1+18,""))</f>
        <v>44028</v>
      </c>
      <c r="Y37" s="43">
        <f ca="1">IF(DAY(JulNed1)=1,IF(AND(YEAR(JulNed1+12)=KoledarskoLeto,MONTH(JulNed1+12)=7),JulNed1+12,""),IF(AND(YEAR(JulNed1+19)=KoledarskoLeto,MONTH(JulNed1+19)=7),JulNed1+19,""))</f>
        <v>44029</v>
      </c>
      <c r="Z37" s="43">
        <f ca="1">IF(DAY(JulNed1)=1,IF(AND(YEAR(JulNed1+13)=KoledarskoLeto,MONTH(JulNed1+13)=7),JulNed1+13,""),IF(AND(YEAR(JulNed1+20)=KoledarskoLeto,MONTH(JulNed1+20)=7),JulNed1+20,""))</f>
        <v>44030</v>
      </c>
      <c r="AA37" s="43">
        <f ca="1">IF(DAY(JulNed1)=1,IF(AND(YEAR(JulNed1+14)=KoledarskoLeto,MONTH(JulNed1+14)=7),JulNed1+14,""),IF(AND(YEAR(JulNed1+21)=KoledarskoLeto,MONTH(JulNed1+21)=7),JulNed1+21,""))</f>
        <v>44031</v>
      </c>
      <c r="AB37" s="36"/>
      <c r="AC37" s="39"/>
      <c r="AD37" s="43">
        <f ca="1">IF(DAY(AvgNed1)=1,IF(AND(YEAR(AvgNed1+8)=KoledarskoLeto,MONTH(AvgNed1+8)=8),AvgNed1+8,""),IF(AND(YEAR(AvgNed1+15)=KoledarskoLeto,MONTH(AvgNed1+15)=8),AvgNed1+15,""))</f>
        <v>44053</v>
      </c>
      <c r="AE37" s="43">
        <f ca="1">IF(DAY(AvgNed1)=1,IF(AND(YEAR(AvgNed1+9)=KoledarskoLeto,MONTH(AvgNed1+9)=8),AvgNed1+9,""),IF(AND(YEAR(AvgNed1+16)=KoledarskoLeto,MONTH(AvgNed1+16)=8),AvgNed1+16,""))</f>
        <v>44054</v>
      </c>
      <c r="AF37" s="43">
        <f ca="1">IF(DAY(AvgNed1)=1,IF(AND(YEAR(AvgNed1+10)=KoledarskoLeto,MONTH(AvgNed1+10)=8),AvgNed1+10,""),IF(AND(YEAR(AvgNed1+17)=KoledarskoLeto,MONTH(AvgNed1+17)=8),AvgNed1+17,""))</f>
        <v>44055</v>
      </c>
      <c r="AG37" s="43">
        <f ca="1">IF(DAY(AvgNed1)=1,IF(AND(YEAR(AvgNed1+11)=KoledarskoLeto,MONTH(AvgNed1+11)=8),AvgNed1+11,""),IF(AND(YEAR(AvgNed1+18)=KoledarskoLeto,MONTH(AvgNed1+18)=8),AvgNed1+18,""))</f>
        <v>44056</v>
      </c>
      <c r="AH37" s="43">
        <f ca="1">IF(DAY(AvgNed1)=1,IF(AND(YEAR(AvgNed1+12)=KoledarskoLeto,MONTH(AvgNed1+12)=8),AvgNed1+12,""),IF(AND(YEAR(AvgNed1+19)=KoledarskoLeto,MONTH(AvgNed1+19)=8),AvgNed1+19,""))</f>
        <v>44057</v>
      </c>
      <c r="AI37" s="43">
        <f ca="1">IF(DAY(AvgNed1)=1,IF(AND(YEAR(AvgNed1+13)=KoledarskoLeto,MONTH(AvgNed1+13)=8),AvgNed1+13,""),IF(AND(YEAR(AvgNed1+20)=KoledarskoLeto,MONTH(AvgNed1+20)=8),AvgNed1+20,""))</f>
        <v>44058</v>
      </c>
      <c r="AJ37" s="43">
        <f ca="1">IF(DAY(AvgNed1)=1,IF(AND(YEAR(AvgNed1+14)=KoledarskoLeto,MONTH(AvgNed1+14)=8),AvgNed1+14,""),IF(AND(YEAR(AvgNed1+21)=KoledarskoLeto,MONTH(AvgNed1+21)=8),AvgNed1+21,""))</f>
        <v>44059</v>
      </c>
    </row>
    <row r="38" spans="1:36" x14ac:dyDescent="0.2">
      <c r="C38" s="43">
        <f ca="1">IF(DAY(MajNed1)=1,IF(AND(YEAR(MajNed1+15)=KoledarskoLeto,MONTH(MajNed1+15)=5),MajNed1+15,""),IF(AND(YEAR(MajNed1+22)=KoledarskoLeto,MONTH(MajNed1+22)=5),MajNed1+22,""))</f>
        <v>43969</v>
      </c>
      <c r="D38" s="43">
        <f ca="1">IF(DAY(MajNed1)=1,IF(AND(YEAR(MajNed1+16)=KoledarskoLeto,MONTH(MajNed1+16)=5),MajNed1+16,""),IF(AND(YEAR(MajNed1+23)=KoledarskoLeto,MONTH(MajNed1+23)=5),MajNed1+23,""))</f>
        <v>43970</v>
      </c>
      <c r="E38" s="43">
        <f ca="1">IF(DAY(MajNed1)=1,IF(AND(YEAR(MajNed1+17)=KoledarskoLeto,MONTH(MajNed1+17)=5),MajNed1+17,""),IF(AND(YEAR(MajNed1+24)=KoledarskoLeto,MONTH(MajNed1+24)=5),MajNed1+24,""))</f>
        <v>43971</v>
      </c>
      <c r="F38" s="43">
        <f ca="1">IF(DAY(MajNed1)=1,IF(AND(YEAR(MajNed1+18)=KoledarskoLeto,MONTH(MajNed1+18)=5),MajNed1+18,""),IF(AND(YEAR(MajNed1+25)=KoledarskoLeto,MONTH(MajNed1+25)=5),MajNed1+25,""))</f>
        <v>43972</v>
      </c>
      <c r="G38" s="43">
        <f ca="1">IF(DAY(MajNed1)=1,IF(AND(YEAR(MajNed1+19)=KoledarskoLeto,MONTH(MajNed1+19)=5),MajNed1+19,""),IF(AND(YEAR(MajNed1+26)=KoledarskoLeto,MONTH(MajNed1+26)=5),MajNed1+26,""))</f>
        <v>43973</v>
      </c>
      <c r="H38" s="43">
        <f ca="1">IF(DAY(MajNed1)=1,IF(AND(YEAR(MajNed1+20)=KoledarskoLeto,MONTH(MajNed1+20)=5),MajNed1+20,""),IF(AND(YEAR(MajNed1+27)=KoledarskoLeto,MONTH(MajNed1+27)=5),MajNed1+27,""))</f>
        <v>43974</v>
      </c>
      <c r="I38" s="43">
        <f ca="1">IF(DAY(MajNed1)=1,IF(AND(YEAR(MajNed1+21)=KoledarskoLeto,MONTH(MajNed1+21)=5),MajNed1+21,""),IF(AND(YEAR(MajNed1+28)=KoledarskoLeto,MONTH(MajNed1+28)=5),MajNed1+28,""))</f>
        <v>43975</v>
      </c>
      <c r="J38" s="36"/>
      <c r="K38" s="35"/>
      <c r="L38" s="43">
        <f ca="1">IF(DAY(JunNed1)=1,IF(AND(YEAR(JunNed1+15)=KoledarskoLeto,MONTH(JunNed1+15)=6),JunNed1+15,""),IF(AND(YEAR(JunNed1+22)=KoledarskoLeto,MONTH(JunNed1+22)=6),JunNed1+22,""))</f>
        <v>44004</v>
      </c>
      <c r="M38" s="43">
        <f ca="1">IF(DAY(JunNed1)=1,IF(AND(YEAR(JunNed1+16)=KoledarskoLeto,MONTH(JunNed1+16)=6),JunNed1+16,""),IF(AND(YEAR(JunNed1+23)=KoledarskoLeto,MONTH(JunNed1+23)=6),JunNed1+23,""))</f>
        <v>44005</v>
      </c>
      <c r="N38" s="43">
        <f ca="1">IF(DAY(JunNed1)=1,IF(AND(YEAR(JunNed1+17)=KoledarskoLeto,MONTH(JunNed1+17)=6),JunNed1+17,""),IF(AND(YEAR(JunNed1+24)=KoledarskoLeto,MONTH(JunNed1+24)=6),JunNed1+24,""))</f>
        <v>44006</v>
      </c>
      <c r="O38" s="43">
        <f ca="1">IF(DAY(JunNed1)=1,IF(AND(YEAR(JunNed1+18)=KoledarskoLeto,MONTH(JunNed1+18)=6),JunNed1+18,""),IF(AND(YEAR(JunNed1+25)=KoledarskoLeto,MONTH(JunNed1+25)=6),JunNed1+25,""))</f>
        <v>44007</v>
      </c>
      <c r="P38" s="43">
        <f ca="1">IF(DAY(JunNed1)=1,IF(AND(YEAR(JunNed1+19)=KoledarskoLeto,MONTH(JunNed1+19)=6),JunNed1+19,""),IF(AND(YEAR(JunNed1+26)=KoledarskoLeto,MONTH(JunNed1+26)=6),JunNed1+26,""))</f>
        <v>44008</v>
      </c>
      <c r="Q38" s="43">
        <f ca="1">IF(DAY(JunNed1)=1,IF(AND(YEAR(JunNed1+20)=KoledarskoLeto,MONTH(JunNed1+20)=6),JunNed1+20,""),IF(AND(YEAR(JunNed1+27)=KoledarskoLeto,MONTH(JunNed1+27)=6),JunNed1+27,""))</f>
        <v>44009</v>
      </c>
      <c r="R38" s="43">
        <f ca="1">IF(DAY(JunNed1)=1,IF(AND(YEAR(JunNed1+21)=KoledarskoLeto,MONTH(JunNed1+21)=6),JunNed1+21,""),IF(AND(YEAR(JunNed1+28)=KoledarskoLeto,MONTH(JunNed1+28)=6),JunNed1+28,""))</f>
        <v>44010</v>
      </c>
      <c r="S38" s="36"/>
      <c r="T38" s="40"/>
      <c r="U38" s="43">
        <f ca="1">IF(DAY(JulNed1)=1,IF(AND(YEAR(JulNed1+15)=KoledarskoLeto,MONTH(JulNed1+15)=7),JulNed1+15,""),IF(AND(YEAR(JulNed1+22)=KoledarskoLeto,MONTH(JulNed1+22)=7),JulNed1+22,""))</f>
        <v>44032</v>
      </c>
      <c r="V38" s="43">
        <f ca="1">IF(DAY(JulNed1)=1,IF(AND(YEAR(JulNed1+16)=KoledarskoLeto,MONTH(JulNed1+16)=7),JulNed1+16,""),IF(AND(YEAR(JulNed1+23)=KoledarskoLeto,MONTH(JulNed1+23)=7),JulNed1+23,""))</f>
        <v>44033</v>
      </c>
      <c r="W38" s="43">
        <f ca="1">IF(DAY(JulNed1)=1,IF(AND(YEAR(JulNed1+17)=KoledarskoLeto,MONTH(JulNed1+17)=7),JulNed1+17,""),IF(AND(YEAR(JulNed1+24)=KoledarskoLeto,MONTH(JulNed1+24)=7),JulNed1+24,""))</f>
        <v>44034</v>
      </c>
      <c r="X38" s="43">
        <f ca="1">IF(DAY(JulNed1)=1,IF(AND(YEAR(JulNed1+18)=KoledarskoLeto,MONTH(JulNed1+18)=7),JulNed1+18,""),IF(AND(YEAR(JulNed1+25)=KoledarskoLeto,MONTH(JulNed1+25)=7),JulNed1+25,""))</f>
        <v>44035</v>
      </c>
      <c r="Y38" s="43">
        <f ca="1">IF(DAY(JulNed1)=1,IF(AND(YEAR(JulNed1+19)=KoledarskoLeto,MONTH(JulNed1+19)=7),JulNed1+19,""),IF(AND(YEAR(JulNed1+26)=KoledarskoLeto,MONTH(JulNed1+26)=7),JulNed1+26,""))</f>
        <v>44036</v>
      </c>
      <c r="Z38" s="43">
        <f ca="1">IF(DAY(JulNed1)=1,IF(AND(YEAR(JulNed1+20)=KoledarskoLeto,MONTH(JulNed1+20)=7),JulNed1+20,""),IF(AND(YEAR(JulNed1+27)=KoledarskoLeto,MONTH(JulNed1+27)=7),JulNed1+27,""))</f>
        <v>44037</v>
      </c>
      <c r="AA38" s="43">
        <f ca="1">IF(DAY(JulNed1)=1,IF(AND(YEAR(JulNed1+21)=KoledarskoLeto,MONTH(JulNed1+21)=7),JulNed1+21,""),IF(AND(YEAR(JulNed1+28)=KoledarskoLeto,MONTH(JulNed1+28)=7),JulNed1+28,""))</f>
        <v>44038</v>
      </c>
      <c r="AB38" s="36"/>
      <c r="AC38" s="39"/>
      <c r="AD38" s="43">
        <f ca="1">IF(DAY(AvgNed1)=1,IF(AND(YEAR(AvgNed1+15)=KoledarskoLeto,MONTH(AvgNed1+15)=8),AvgNed1+15,""),IF(AND(YEAR(AvgNed1+22)=KoledarskoLeto,MONTH(AvgNed1+22)=8),AvgNed1+22,""))</f>
        <v>44060</v>
      </c>
      <c r="AE38" s="43">
        <f ca="1">IF(DAY(AvgNed1)=1,IF(AND(YEAR(AvgNed1+16)=KoledarskoLeto,MONTH(AvgNed1+16)=8),AvgNed1+16,""),IF(AND(YEAR(AvgNed1+23)=KoledarskoLeto,MONTH(AvgNed1+23)=8),AvgNed1+23,""))</f>
        <v>44061</v>
      </c>
      <c r="AF38" s="43">
        <f ca="1">IF(DAY(AvgNed1)=1,IF(AND(YEAR(AvgNed1+17)=KoledarskoLeto,MONTH(AvgNed1+17)=8),AvgNed1+17,""),IF(AND(YEAR(AvgNed1+24)=KoledarskoLeto,MONTH(AvgNed1+24)=8),AvgNed1+24,""))</f>
        <v>44062</v>
      </c>
      <c r="AG38" s="43">
        <f ca="1">IF(DAY(AvgNed1)=1,IF(AND(YEAR(AvgNed1+18)=KoledarskoLeto,MONTH(AvgNed1+18)=8),AvgNed1+18,""),IF(AND(YEAR(AvgNed1+25)=KoledarskoLeto,MONTH(AvgNed1+25)=8),AvgNed1+25,""))</f>
        <v>44063</v>
      </c>
      <c r="AH38" s="43">
        <f ca="1">IF(DAY(AvgNed1)=1,IF(AND(YEAR(AvgNed1+19)=KoledarskoLeto,MONTH(AvgNed1+19)=8),AvgNed1+19,""),IF(AND(YEAR(AvgNed1+26)=KoledarskoLeto,MONTH(AvgNed1+26)=8),AvgNed1+26,""))</f>
        <v>44064</v>
      </c>
      <c r="AI38" s="43">
        <f ca="1">IF(DAY(AvgNed1)=1,IF(AND(YEAR(AvgNed1+20)=KoledarskoLeto,MONTH(AvgNed1+20)=8),AvgNed1+20,""),IF(AND(YEAR(AvgNed1+27)=KoledarskoLeto,MONTH(AvgNed1+27)=8),AvgNed1+27,""))</f>
        <v>44065</v>
      </c>
      <c r="AJ38" s="43">
        <f ca="1">IF(DAY(AvgNed1)=1,IF(AND(YEAR(AvgNed1+21)=KoledarskoLeto,MONTH(AvgNed1+21)=8),AvgNed1+21,""),IF(AND(YEAR(AvgNed1+28)=KoledarskoLeto,MONTH(AvgNed1+28)=8),AvgNed1+28,""))</f>
        <v>44066</v>
      </c>
    </row>
    <row r="39" spans="1:36" x14ac:dyDescent="0.2">
      <c r="C39" s="43">
        <f ca="1">IF(DAY(MajNed1)=1,IF(AND(YEAR(MajNed1+22)=KoledarskoLeto,MONTH(MajNed1+22)=5),MajNed1+22,""),IF(AND(YEAR(MajNed1+29)=KoledarskoLeto,MONTH(MajNed1+29)=5),MajNed1+29,""))</f>
        <v>43976</v>
      </c>
      <c r="D39" s="43">
        <f ca="1">IF(DAY(MajNed1)=1,IF(AND(YEAR(MajNed1+23)=KoledarskoLeto,MONTH(MajNed1+23)=5),MajNed1+23,""),IF(AND(YEAR(MajNed1+30)=KoledarskoLeto,MONTH(MajNed1+30)=5),MajNed1+30,""))</f>
        <v>43977</v>
      </c>
      <c r="E39" s="43">
        <f ca="1">IF(DAY(MajNed1)=1,IF(AND(YEAR(MajNed1+24)=KoledarskoLeto,MONTH(MajNed1+24)=5),MajNed1+24,""),IF(AND(YEAR(MajNed1+31)=KoledarskoLeto,MONTH(MajNed1+31)=5),MajNed1+31,""))</f>
        <v>43978</v>
      </c>
      <c r="F39" s="43">
        <f ca="1">IF(DAY(MajNed1)=1,IF(AND(YEAR(MajNed1+25)=KoledarskoLeto,MONTH(MajNed1+25)=5),MajNed1+25,""),IF(AND(YEAR(MajNed1+32)=KoledarskoLeto,MONTH(MajNed1+32)=5),MajNed1+32,""))</f>
        <v>43979</v>
      </c>
      <c r="G39" s="43">
        <f ca="1">IF(DAY(MajNed1)=1,IF(AND(YEAR(MajNed1+26)=KoledarskoLeto,MONTH(MajNed1+26)=5),MajNed1+26,""),IF(AND(YEAR(MajNed1+33)=KoledarskoLeto,MONTH(MajNed1+33)=5),MajNed1+33,""))</f>
        <v>43980</v>
      </c>
      <c r="H39" s="43">
        <f ca="1">IF(DAY(MajNed1)=1,IF(AND(YEAR(MajNed1+27)=KoledarskoLeto,MONTH(MajNed1+27)=5),MajNed1+27,""),IF(AND(YEAR(MajNed1+34)=KoledarskoLeto,MONTH(MajNed1+34)=5),MajNed1+34,""))</f>
        <v>43981</v>
      </c>
      <c r="I39" s="43">
        <f ca="1">IF(DAY(MajNed1)=1,IF(AND(YEAR(MajNed1+28)=KoledarskoLeto,MONTH(MajNed1+28)=5),MajNed1+28,""),IF(AND(YEAR(MajNed1+35)=KoledarskoLeto,MONTH(MajNed1+35)=5),MajNed1+35,""))</f>
        <v>43982</v>
      </c>
      <c r="J39" s="36"/>
      <c r="K39" s="35"/>
      <c r="L39" s="43">
        <f ca="1">IF(DAY(JunNed1)=1,IF(AND(YEAR(JunNed1+22)=KoledarskoLeto,MONTH(JunNed1+22)=6),JunNed1+22,""),IF(AND(YEAR(JunNed1+29)=KoledarskoLeto,MONTH(JunNed1+29)=6),JunNed1+29,""))</f>
        <v>44011</v>
      </c>
      <c r="M39" s="43">
        <f ca="1">IF(DAY(JunNed1)=1,IF(AND(YEAR(JunNed1+23)=KoledarskoLeto,MONTH(JunNed1+23)=6),JunNed1+23,""),IF(AND(YEAR(JunNed1+30)=KoledarskoLeto,MONTH(JunNed1+30)=6),JunNed1+30,""))</f>
        <v>44012</v>
      </c>
      <c r="N39" s="43" t="str">
        <f ca="1">IF(DAY(JunNed1)=1,IF(AND(YEAR(JunNed1+24)=KoledarskoLeto,MONTH(JunNed1+24)=6),JunNed1+24,""),IF(AND(YEAR(JunNed1+31)=KoledarskoLeto,MONTH(JunNed1+31)=6),JunNed1+31,""))</f>
        <v/>
      </c>
      <c r="O39" s="43" t="str">
        <f ca="1">IF(DAY(JunNed1)=1,IF(AND(YEAR(JunNed1+25)=KoledarskoLeto,MONTH(JunNed1+25)=6),JunNed1+25,""),IF(AND(YEAR(JunNed1+32)=KoledarskoLeto,MONTH(JunNed1+32)=6),JunNed1+32,""))</f>
        <v/>
      </c>
      <c r="P39" s="43" t="str">
        <f ca="1">IF(DAY(JunNed1)=1,IF(AND(YEAR(JunNed1+26)=KoledarskoLeto,MONTH(JunNed1+26)=6),JunNed1+26,""),IF(AND(YEAR(JunNed1+33)=KoledarskoLeto,MONTH(JunNed1+33)=6),JunNed1+33,""))</f>
        <v/>
      </c>
      <c r="Q39" s="43" t="str">
        <f ca="1">IF(DAY(JunNed1)=1,IF(AND(YEAR(JunNed1+27)=KoledarskoLeto,MONTH(JunNed1+27)=6),JunNed1+27,""),IF(AND(YEAR(JunNed1+34)=KoledarskoLeto,MONTH(JunNed1+34)=6),JunNed1+34,""))</f>
        <v/>
      </c>
      <c r="R39" s="43" t="str">
        <f ca="1">IF(DAY(JunNed1)=1,IF(AND(YEAR(JunNed1+28)=KoledarskoLeto,MONTH(JunNed1+28)=6),JunNed1+28,""),IF(AND(YEAR(JunNed1+35)=KoledarskoLeto,MONTH(JunNed1+35)=6),JunNed1+35,""))</f>
        <v/>
      </c>
      <c r="S39" s="36"/>
      <c r="T39" s="40"/>
      <c r="U39" s="43">
        <f ca="1">IF(DAY(JulNed1)=1,IF(AND(YEAR(JulNed1+22)=KoledarskoLeto,MONTH(JulNed1+22)=7),JulNed1+22,""),IF(AND(YEAR(JulNed1+29)=KoledarskoLeto,MONTH(JulNed1+29)=7),JulNed1+29,""))</f>
        <v>44039</v>
      </c>
      <c r="V39" s="43">
        <f ca="1">IF(DAY(JulNed1)=1,IF(AND(YEAR(JulNed1+23)=KoledarskoLeto,MONTH(JulNed1+23)=7),JulNed1+23,""),IF(AND(YEAR(JulNed1+30)=KoledarskoLeto,MONTH(JulNed1+30)=7),JulNed1+30,""))</f>
        <v>44040</v>
      </c>
      <c r="W39" s="43">
        <f ca="1">IF(DAY(JulNed1)=1,IF(AND(YEAR(JulNed1+24)=KoledarskoLeto,MONTH(JulNed1+24)=7),JulNed1+24,""),IF(AND(YEAR(JulNed1+31)=KoledarskoLeto,MONTH(JulNed1+31)=7),JulNed1+31,""))</f>
        <v>44041</v>
      </c>
      <c r="X39" s="43">
        <f ca="1">IF(DAY(JulNed1)=1,IF(AND(YEAR(JulNed1+25)=KoledarskoLeto,MONTH(JulNed1+25)=7),JulNed1+25,""),IF(AND(YEAR(JulNed1+32)=KoledarskoLeto,MONTH(JulNed1+32)=7),JulNed1+32,""))</f>
        <v>44042</v>
      </c>
      <c r="Y39" s="43">
        <f ca="1">IF(DAY(JulNed1)=1,IF(AND(YEAR(JulNed1+26)=KoledarskoLeto,MONTH(JulNed1+26)=7),JulNed1+26,""),IF(AND(YEAR(JulNed1+33)=KoledarskoLeto,MONTH(JulNed1+33)=7),JulNed1+33,""))</f>
        <v>44043</v>
      </c>
      <c r="Z39" s="43" t="str">
        <f ca="1">IF(DAY(JulNed1)=1,IF(AND(YEAR(JulNed1+27)=KoledarskoLeto,MONTH(JulNed1+27)=7),JulNed1+27,""),IF(AND(YEAR(JulNed1+34)=KoledarskoLeto,MONTH(JulNed1+34)=7),JulNed1+34,""))</f>
        <v/>
      </c>
      <c r="AA39" s="43" t="str">
        <f ca="1">IF(DAY(JulNed1)=1,IF(AND(YEAR(JulNed1+28)=KoledarskoLeto,MONTH(JulNed1+28)=7),JulNed1+28,""),IF(AND(YEAR(JulNed1+35)=KoledarskoLeto,MONTH(JulNed1+35)=7),JulNed1+35,""))</f>
        <v/>
      </c>
      <c r="AB39" s="36"/>
      <c r="AC39" s="39"/>
      <c r="AD39" s="43">
        <f ca="1">IF(DAY(AvgNed1)=1,IF(AND(YEAR(AvgNed1+22)=KoledarskoLeto,MONTH(AvgNed1+22)=8),AvgNed1+22,""),IF(AND(YEAR(AvgNed1+29)=KoledarskoLeto,MONTH(AvgNed1+29)=8),AvgNed1+29,""))</f>
        <v>44067</v>
      </c>
      <c r="AE39" s="43">
        <f ca="1">IF(DAY(AvgNed1)=1,IF(AND(YEAR(AvgNed1+23)=KoledarskoLeto,MONTH(AvgNed1+23)=8),AvgNed1+23,""),IF(AND(YEAR(AvgNed1+30)=KoledarskoLeto,MONTH(AvgNed1+30)=8),AvgNed1+30,""))</f>
        <v>44068</v>
      </c>
      <c r="AF39" s="43">
        <f ca="1">IF(DAY(AvgNed1)=1,IF(AND(YEAR(AvgNed1+24)=KoledarskoLeto,MONTH(AvgNed1+24)=8),AvgNed1+24,""),IF(AND(YEAR(AvgNed1+31)=KoledarskoLeto,MONTH(AvgNed1+31)=8),AvgNed1+31,""))</f>
        <v>44069</v>
      </c>
      <c r="AG39" s="43">
        <f ca="1">IF(DAY(AvgNed1)=1,IF(AND(YEAR(AvgNed1+25)=KoledarskoLeto,MONTH(AvgNed1+25)=8),AvgNed1+25,""),IF(AND(YEAR(AvgNed1+32)=KoledarskoLeto,MONTH(AvgNed1+32)=8),AvgNed1+32,""))</f>
        <v>44070</v>
      </c>
      <c r="AH39" s="43">
        <f ca="1">IF(DAY(AvgNed1)=1,IF(AND(YEAR(AvgNed1+26)=KoledarskoLeto,MONTH(AvgNed1+26)=8),AvgNed1+26,""),IF(AND(YEAR(AvgNed1+33)=KoledarskoLeto,MONTH(AvgNed1+33)=8),AvgNed1+33,""))</f>
        <v>44071</v>
      </c>
      <c r="AI39" s="43">
        <f ca="1">IF(DAY(AvgNed1)=1,IF(AND(YEAR(AvgNed1+27)=KoledarskoLeto,MONTH(AvgNed1+27)=8),AvgNed1+27,""),IF(AND(YEAR(AvgNed1+34)=KoledarskoLeto,MONTH(AvgNed1+34)=8),AvgNed1+34,""))</f>
        <v>44072</v>
      </c>
      <c r="AJ39" s="43">
        <f ca="1">IF(DAY(AvgNed1)=1,IF(AND(YEAR(AvgNed1+28)=KoledarskoLeto,MONTH(AvgNed1+28)=8),AvgNed1+28,""),IF(AND(YEAR(AvgNed1+35)=KoledarskoLeto,MONTH(AvgNed1+35)=8),AvgNed1+35,""))</f>
        <v>44073</v>
      </c>
    </row>
    <row r="40" spans="1:36" x14ac:dyDescent="0.2">
      <c r="C40" s="43" t="str">
        <f ca="1">IF(DAY(MajNed1)=1,IF(AND(YEAR(MajNed1+29)=KoledarskoLeto,MONTH(MajNed1+29)=5),MajNed1+29,""),IF(AND(YEAR(MajNed1+36)=KoledarskoLeto,MONTH(MajNed1+36)=5),MajNed1+36,""))</f>
        <v/>
      </c>
      <c r="D40" s="43" t="str">
        <f ca="1">IF(DAY(MajNed1)=1,IF(AND(YEAR(MajNed1+30)=KoledarskoLeto,MONTH(MajNed1+30)=5),MajNed1+30,""),IF(AND(YEAR(MajNed1+37)=KoledarskoLeto,MONTH(MajNed1+37)=5),MajNed1+37,""))</f>
        <v/>
      </c>
      <c r="E40" s="43" t="str">
        <f ca="1">IF(DAY(MajNed1)=1,IF(AND(YEAR(MajNed1+31)=KoledarskoLeto,MONTH(MajNed1+31)=5),MajNed1+31,""),IF(AND(YEAR(MajNed1+38)=KoledarskoLeto,MONTH(MajNed1+38)=5),MajNed1+38,""))</f>
        <v/>
      </c>
      <c r="F40" s="43" t="str">
        <f ca="1">IF(DAY(MajNed1)=1,IF(AND(YEAR(MajNed1+32)=KoledarskoLeto,MONTH(MajNed1+32)=5),MajNed1+32,""),IF(AND(YEAR(MajNed1+39)=KoledarskoLeto,MONTH(MajNed1+39)=5),MajNed1+39,""))</f>
        <v/>
      </c>
      <c r="G40" s="43" t="str">
        <f ca="1">IF(DAY(MajNed1)=1,IF(AND(YEAR(MajNed1+33)=KoledarskoLeto,MONTH(MajNed1+33)=5),MajNed1+33,""),IF(AND(YEAR(MajNed1+40)=KoledarskoLeto,MONTH(MajNed1+40)=5),MajNed1+40,""))</f>
        <v/>
      </c>
      <c r="H40" s="43" t="str">
        <f ca="1">IF(DAY(MajNed1)=1,IF(AND(YEAR(MajNed1+34)=KoledarskoLeto,MONTH(MajNed1+34)=5),MajNed1+34,""),IF(AND(YEAR(MajNed1+41)=KoledarskoLeto,MONTH(MajNed1+41)=5),MajNed1+41,""))</f>
        <v/>
      </c>
      <c r="I40" s="43" t="str">
        <f ca="1">IF(DAY(MajNed1)=1,IF(AND(YEAR(MajNed1+35)=KoledarskoLeto,MONTH(MajNed1+35)=5),MajNed1+35,""),IF(AND(YEAR(MajNed1+42)=KoledarskoLeto,MONTH(MajNed1+42)=5),MajNed1+42,""))</f>
        <v/>
      </c>
      <c r="J40" s="36"/>
      <c r="K40" s="35"/>
      <c r="L40" s="43" t="str">
        <f ca="1">IF(DAY(JunNed1)=1,IF(AND(YEAR(JunNed1+29)=KoledarskoLeto,MONTH(JunNed1+29)=6),JunNed1+29,""),IF(AND(YEAR(JunNed1+36)=KoledarskoLeto,MONTH(JunNed1+36)=6),JunNed1+36,""))</f>
        <v/>
      </c>
      <c r="M40" s="43" t="str">
        <f ca="1">IF(DAY(JunNed1)=1,IF(AND(YEAR(JunNed1+30)=KoledarskoLeto,MONTH(JunNed1+30)=6),JunNed1+30,""),IF(AND(YEAR(JunNed1+37)=KoledarskoLeto,MONTH(JunNed1+37)=6),JunNed1+37,""))</f>
        <v/>
      </c>
      <c r="N40" s="43" t="str">
        <f ca="1">IF(DAY(JunNed1)=1,IF(AND(YEAR(JunNed1+31)=KoledarskoLeto,MONTH(JunNed1+31)=6),JunNed1+31,""),IF(AND(YEAR(JunNed1+38)=KoledarskoLeto,MONTH(JunNed1+38)=6),JunNed1+38,""))</f>
        <v/>
      </c>
      <c r="O40" s="43" t="str">
        <f ca="1">IF(DAY(JunNed1)=1,IF(AND(YEAR(JunNed1+32)=KoledarskoLeto,MONTH(JunNed1+32)=6),JunNed1+32,""),IF(AND(YEAR(JunNed1+39)=KoledarskoLeto,MONTH(JunNed1+39)=6),JunNed1+39,""))</f>
        <v/>
      </c>
      <c r="P40" s="43" t="str">
        <f ca="1">IF(DAY(JunNed1)=1,IF(AND(YEAR(JunNed1+33)=KoledarskoLeto,MONTH(JunNed1+33)=6),JunNed1+33,""),IF(AND(YEAR(JunNed1+40)=KoledarskoLeto,MONTH(JunNed1+40)=6),JunNed1+40,""))</f>
        <v/>
      </c>
      <c r="Q40" s="43" t="str">
        <f ca="1">IF(DAY(JunNed1)=1,IF(AND(YEAR(JunNed1+34)=KoledarskoLeto,MONTH(JunNed1+34)=6),JunNed1+34,""),IF(AND(YEAR(JunNed1+41)=KoledarskoLeto,MONTH(JunNed1+41)=6),JunNed1+41,""))</f>
        <v/>
      </c>
      <c r="R40" s="43" t="str">
        <f ca="1">IF(DAY(JunNed1)=1,IF(AND(YEAR(JunNed1+35)=KoledarskoLeto,MONTH(JunNed1+35)=6),JunNed1+35,""),IF(AND(YEAR(JunNed1+42)=KoledarskoLeto,MONTH(JunNed1+42)=6),JunNed1+42,""))</f>
        <v/>
      </c>
      <c r="S40" s="36"/>
      <c r="T40" s="40"/>
      <c r="U40" s="43" t="str">
        <f ca="1">IF(DAY(JulNed1)=1,IF(AND(YEAR(JulNed1+29)=KoledarskoLeto,MONTH(JulNed1+29)=7),JulNed1+29,""),IF(AND(YEAR(JulNed1+36)=KoledarskoLeto,MONTH(JulNed1+36)=7),JulNed1+36,""))</f>
        <v/>
      </c>
      <c r="V40" s="43" t="str">
        <f ca="1">IF(DAY(JulNed1)=1,IF(AND(YEAR(JulNed1+30)=KoledarskoLeto,MONTH(JulNed1+30)=7),JulNed1+30,""),IF(AND(YEAR(JulNed1+37)=KoledarskoLeto,MONTH(JulNed1+37)=7),JulNed1+37,""))</f>
        <v/>
      </c>
      <c r="W40" s="43" t="str">
        <f ca="1">IF(DAY(JulNed1)=1,IF(AND(YEAR(JulNed1+31)=KoledarskoLeto,MONTH(JulNed1+31)=7),JulNed1+31,""),IF(AND(YEAR(JulNed1+38)=KoledarskoLeto,MONTH(JulNed1+38)=7),JulNed1+38,""))</f>
        <v/>
      </c>
      <c r="X40" s="43" t="str">
        <f ca="1">IF(DAY(JulNed1)=1,IF(AND(YEAR(JulNed1+32)=KoledarskoLeto,MONTH(JulNed1+32)=7),JulNed1+32,""),IF(AND(YEAR(JulNed1+39)=KoledarskoLeto,MONTH(JulNed1+39)=7),JulNed1+39,""))</f>
        <v/>
      </c>
      <c r="Y40" s="43" t="str">
        <f ca="1">IF(DAY(JulNed1)=1,IF(AND(YEAR(JulNed1+33)=KoledarskoLeto,MONTH(JulNed1+33)=7),JulNed1+33,""),IF(AND(YEAR(JulNed1+40)=KoledarskoLeto,MONTH(JulNed1+40)=7),JulNed1+40,""))</f>
        <v/>
      </c>
      <c r="Z40" s="43" t="str">
        <f ca="1">IF(DAY(JulNed1)=1,IF(AND(YEAR(JulNed1+34)=KoledarskoLeto,MONTH(JulNed1+34)=7),JulNed1+34,""),IF(AND(YEAR(JulNed1+41)=KoledarskoLeto,MONTH(JulNed1+41)=7),JulNed1+41,""))</f>
        <v/>
      </c>
      <c r="AA40" s="43" t="str">
        <f ca="1">IF(DAY(JulNed1)=1,IF(AND(YEAR(JulNed1+35)=KoledarskoLeto,MONTH(JulNed1+35)=7),JulNed1+35,""),IF(AND(YEAR(JulNed1+42)=KoledarskoLeto,MONTH(JulNed1+42)=7),JulNed1+42,""))</f>
        <v/>
      </c>
      <c r="AB40" s="36"/>
      <c r="AC40" s="39"/>
      <c r="AD40" s="43">
        <f ca="1">IF(DAY(AvgNed1)=1,IF(AND(YEAR(AvgNed1+29)=KoledarskoLeto,MONTH(AvgNed1+29)=8),AvgNed1+29,""),IF(AND(YEAR(AvgNed1+36)=KoledarskoLeto,MONTH(AvgNed1+36)=8),AvgNed1+36,""))</f>
        <v>44074</v>
      </c>
      <c r="AE40" s="43" t="str">
        <f ca="1">IF(DAY(AvgNed1)=1,IF(AND(YEAR(AvgNed1+30)=KoledarskoLeto,MONTH(AvgNed1+30)=8),AvgNed1+30,""),IF(AND(YEAR(AvgNed1+37)=KoledarskoLeto,MONTH(AvgNed1+37)=8),AvgNed1+37,""))</f>
        <v/>
      </c>
      <c r="AF40" s="43" t="str">
        <f ca="1">IF(DAY(AvgNed1)=1,IF(AND(YEAR(AvgNed1+31)=KoledarskoLeto,MONTH(AvgNed1+31)=8),AvgNed1+31,""),IF(AND(YEAR(AvgNed1+38)=KoledarskoLeto,MONTH(AvgNed1+38)=8),AvgNed1+38,""))</f>
        <v/>
      </c>
      <c r="AG40" s="43" t="str">
        <f ca="1">IF(DAY(AvgNed1)=1,IF(AND(YEAR(AvgNed1+32)=KoledarskoLeto,MONTH(AvgNed1+32)=8),AvgNed1+32,""),IF(AND(YEAR(AvgNed1+39)=KoledarskoLeto,MONTH(AvgNed1+39)=8),AvgNed1+39,""))</f>
        <v/>
      </c>
      <c r="AH40" s="43" t="str">
        <f ca="1">IF(DAY(AvgNed1)=1,IF(AND(YEAR(AvgNed1+33)=KoledarskoLeto,MONTH(AvgNed1+33)=8),AvgNed1+33,""),IF(AND(YEAR(AvgNed1+40)=KoledarskoLeto,MONTH(AvgNed1+40)=8),AvgNed1+40,""))</f>
        <v/>
      </c>
      <c r="AI40" s="43" t="str">
        <f ca="1">IF(DAY(AvgNed1)=1,IF(AND(YEAR(AvgNed1+34)=KoledarskoLeto,MONTH(AvgNed1+34)=8),AvgNed1+34,""),IF(AND(YEAR(AvgNed1+41)=KoledarskoLeto,MONTH(AvgNed1+41)=8),AvgNed1+41,""))</f>
        <v/>
      </c>
      <c r="AJ40" s="43" t="str">
        <f ca="1">IF(DAY(AvgNed1)=1,IF(AND(YEAR(AvgNed1+35)=KoledarskoLeto,MONTH(AvgNed1+35)=8),AvgNed1+35,""),IF(AND(YEAR(AvgNed1+42)=KoledarskoLeto,MONTH(AvgNed1+42)=8),AvgNed1+42,""))</f>
        <v/>
      </c>
    </row>
    <row r="41" spans="1:36" ht="15" x14ac:dyDescent="0.2">
      <c r="A41" s="26" t="s">
        <v>16</v>
      </c>
      <c r="C41" s="39"/>
      <c r="D41" s="39"/>
      <c r="E41" s="39"/>
      <c r="F41" s="39"/>
      <c r="G41" s="39"/>
      <c r="H41" s="39"/>
      <c r="I41" s="39"/>
      <c r="J41" s="38"/>
      <c r="K41" s="35"/>
      <c r="L41" s="39"/>
      <c r="M41" s="39"/>
      <c r="N41" s="39"/>
      <c r="O41" s="39"/>
      <c r="P41" s="39"/>
      <c r="Q41" s="39"/>
      <c r="R41" s="39"/>
      <c r="S41" s="38"/>
      <c r="T41" s="40"/>
      <c r="U41" s="35"/>
      <c r="V41" s="35"/>
      <c r="W41" s="35"/>
      <c r="X41" s="35"/>
      <c r="Y41" s="35"/>
      <c r="Z41" s="35"/>
      <c r="AA41" s="35"/>
      <c r="AB41" s="36"/>
      <c r="AC41" s="39"/>
      <c r="AD41" s="35"/>
      <c r="AE41" s="35"/>
      <c r="AF41" s="35"/>
      <c r="AG41" s="35"/>
      <c r="AH41" s="35"/>
      <c r="AI41" s="35"/>
      <c r="AJ41" s="35"/>
    </row>
    <row r="42" spans="1:36" ht="15.75" x14ac:dyDescent="0.25">
      <c r="A42" s="26" t="s">
        <v>17</v>
      </c>
      <c r="C42" s="45">
        <f ca="1">DATE(KoledarskoLeto,9,1)</f>
        <v>44075</v>
      </c>
      <c r="D42" s="45"/>
      <c r="E42" s="45"/>
      <c r="F42" s="45"/>
      <c r="G42" s="45"/>
      <c r="H42" s="45"/>
      <c r="I42" s="45"/>
      <c r="J42" s="32"/>
      <c r="K42" s="39"/>
      <c r="L42" s="45">
        <f ca="1">DATE(KoledarskoLeto,10,1)</f>
        <v>44105</v>
      </c>
      <c r="M42" s="45"/>
      <c r="N42" s="45"/>
      <c r="O42" s="45"/>
      <c r="P42" s="45"/>
      <c r="Q42" s="45"/>
      <c r="R42" s="45"/>
      <c r="S42" s="32"/>
      <c r="T42" s="40"/>
      <c r="U42" s="45">
        <f ca="1">DATE(KoledarskoLeto,11,1)</f>
        <v>44136</v>
      </c>
      <c r="V42" s="45"/>
      <c r="W42" s="45"/>
      <c r="X42" s="45"/>
      <c r="Y42" s="45"/>
      <c r="Z42" s="45"/>
      <c r="AA42" s="45"/>
      <c r="AB42" s="32"/>
      <c r="AC42" s="39"/>
      <c r="AD42" s="45">
        <f ca="1">DATE(KoledarskoLeto,12,1)</f>
        <v>44166</v>
      </c>
      <c r="AE42" s="45"/>
      <c r="AF42" s="45"/>
      <c r="AG42" s="45"/>
      <c r="AH42" s="45"/>
      <c r="AI42" s="45"/>
      <c r="AJ42" s="45"/>
    </row>
    <row r="43" spans="1:36" ht="15" x14ac:dyDescent="0.25">
      <c r="A43" s="26" t="s">
        <v>18</v>
      </c>
      <c r="C43" s="21" t="s">
        <v>20</v>
      </c>
      <c r="D43" s="21" t="s">
        <v>23</v>
      </c>
      <c r="E43" s="21" t="s">
        <v>24</v>
      </c>
      <c r="F43" s="21" t="s">
        <v>25</v>
      </c>
      <c r="G43" s="21" t="s">
        <v>26</v>
      </c>
      <c r="H43" s="21" t="s">
        <v>29</v>
      </c>
      <c r="I43" s="21" t="s">
        <v>30</v>
      </c>
      <c r="J43" s="34"/>
      <c r="K43" s="39"/>
      <c r="L43" s="21" t="s">
        <v>20</v>
      </c>
      <c r="M43" s="21" t="s">
        <v>23</v>
      </c>
      <c r="N43" s="21" t="s">
        <v>24</v>
      </c>
      <c r="O43" s="21" t="s">
        <v>25</v>
      </c>
      <c r="P43" s="21" t="s">
        <v>26</v>
      </c>
      <c r="Q43" s="21" t="s">
        <v>29</v>
      </c>
      <c r="R43" s="21" t="s">
        <v>30</v>
      </c>
      <c r="S43" s="34"/>
      <c r="T43" s="40"/>
      <c r="U43" s="21" t="s">
        <v>20</v>
      </c>
      <c r="V43" s="21" t="s">
        <v>23</v>
      </c>
      <c r="W43" s="21" t="s">
        <v>24</v>
      </c>
      <c r="X43" s="21" t="s">
        <v>25</v>
      </c>
      <c r="Y43" s="21" t="s">
        <v>26</v>
      </c>
      <c r="Z43" s="21" t="s">
        <v>29</v>
      </c>
      <c r="AA43" s="21" t="s">
        <v>30</v>
      </c>
      <c r="AB43" s="34"/>
      <c r="AC43" s="42"/>
      <c r="AD43" s="21" t="s">
        <v>20</v>
      </c>
      <c r="AE43" s="21" t="s">
        <v>23</v>
      </c>
      <c r="AF43" s="21" t="s">
        <v>24</v>
      </c>
      <c r="AG43" s="21" t="s">
        <v>25</v>
      </c>
      <c r="AH43" s="21" t="s">
        <v>26</v>
      </c>
      <c r="AI43" s="21" t="s">
        <v>29</v>
      </c>
      <c r="AJ43" s="21" t="s">
        <v>30</v>
      </c>
    </row>
    <row r="44" spans="1:36" ht="15" x14ac:dyDescent="0.2">
      <c r="A44" s="26" t="s">
        <v>19</v>
      </c>
      <c r="C44" s="43" t="str">
        <f ca="1">IF(DAY(SepNed1)=1,"",IF(AND(YEAR(SepNed1+1)=KoledarskoLeto,MONTH(SepNed1+1)=9),SepNed1+1,""))</f>
        <v/>
      </c>
      <c r="D44" s="43">
        <f ca="1">IF(DAY(SepNed1)=1,"",IF(AND(YEAR(SepNed1+2)=KoledarskoLeto,MONTH(SepNed1+2)=9),SepNed1+2,""))</f>
        <v>44075</v>
      </c>
      <c r="E44" s="43">
        <f ca="1">IF(DAY(SepNed1)=1,"",IF(AND(YEAR(SepNed1+3)=KoledarskoLeto,MONTH(SepNed1+3)=9),SepNed1+3,""))</f>
        <v>44076</v>
      </c>
      <c r="F44" s="43">
        <f ca="1">IF(DAY(SepNed1)=1,"",IF(AND(YEAR(SepNed1+4)=KoledarskoLeto,MONTH(SepNed1+4)=9),SepNed1+4,""))</f>
        <v>44077</v>
      </c>
      <c r="G44" s="43">
        <f ca="1">IF(DAY(SepNed1)=1,"",IF(AND(YEAR(SepNed1+5)=KoledarskoLeto,MONTH(SepNed1+5)=9),SepNed1+5,""))</f>
        <v>44078</v>
      </c>
      <c r="H44" s="43">
        <f ca="1">IF(DAY(SepNed1)=1,"",IF(AND(YEAR(SepNed1+6)=KoledarskoLeto,MONTH(SepNed1+6)=9),SepNed1+6,""))</f>
        <v>44079</v>
      </c>
      <c r="I44" s="43">
        <f ca="1">IF(DAY(SepNed1)=1,IF(AND(YEAR(SepNed1)=KoledarskoLeto,MONTH(SepNed1)=9),SepNed1,""),IF(AND(YEAR(SepNed1+7)=KoledarskoLeto,MONTH(SepNed1+7)=9),SepNed1+7,""))</f>
        <v>44080</v>
      </c>
      <c r="J44" s="36"/>
      <c r="K44" s="39"/>
      <c r="L44" s="43" t="str">
        <f ca="1">IF(DAY(OktNed1)=1,"",IF(AND(YEAR(OktNed1+1)=KoledarskoLeto,MONTH(OktNed1+1)=10),OktNed1+1,""))</f>
        <v/>
      </c>
      <c r="M44" s="43" t="str">
        <f ca="1">IF(DAY(OktNed1)=1,"",IF(AND(YEAR(OktNed1+2)=KoledarskoLeto,MONTH(OktNed1+2)=10),OktNed1+2,""))</f>
        <v/>
      </c>
      <c r="N44" s="43" t="str">
        <f ca="1">IF(DAY(OktNed1)=1,"",IF(AND(YEAR(OktNed1+3)=KoledarskoLeto,MONTH(OktNed1+3)=10),OktNed1+3,""))</f>
        <v/>
      </c>
      <c r="O44" s="43">
        <f ca="1">IF(DAY(OktNed1)=1,"",IF(AND(YEAR(OktNed1+4)=KoledarskoLeto,MONTH(OktNed1+4)=10),OktNed1+4,""))</f>
        <v>44105</v>
      </c>
      <c r="P44" s="43">
        <f ca="1">IF(DAY(OktNed1)=1,"",IF(AND(YEAR(OktNed1+5)=KoledarskoLeto,MONTH(OktNed1+5)=10),OktNed1+5,""))</f>
        <v>44106</v>
      </c>
      <c r="Q44" s="43">
        <f ca="1">IF(DAY(OktNed1)=1,"",IF(AND(YEAR(OktNed1+6)=KoledarskoLeto,MONTH(OktNed1+6)=10),OktNed1+6,""))</f>
        <v>44107</v>
      </c>
      <c r="R44" s="43">
        <f ca="1">IF(DAY(OktNed1)=1,IF(AND(YEAR(OktNed1)=KoledarskoLeto,MONTH(OktNed1)=10),OktNed1,""),IF(AND(YEAR(OktNed1+7)=KoledarskoLeto,MONTH(OktNed1+7)=10),OktNed1+7,""))</f>
        <v>44108</v>
      </c>
      <c r="S44" s="36"/>
      <c r="T44" s="40"/>
      <c r="U44" s="43" t="str">
        <f ca="1">IF(DAY(NovNed1)=1,"",IF(AND(YEAR(NovNed1+1)=KoledarskoLeto,MONTH(NovNed1+1)=11),NovNed1+1,""))</f>
        <v/>
      </c>
      <c r="V44" s="43" t="str">
        <f ca="1">IF(DAY(NovNed1)=1,"",IF(AND(YEAR(NovNed1+2)=KoledarskoLeto,MONTH(NovNed1+2)=11),NovNed1+2,""))</f>
        <v/>
      </c>
      <c r="W44" s="43" t="str">
        <f ca="1">IF(DAY(NovNed1)=1,"",IF(AND(YEAR(NovNed1+3)=KoledarskoLeto,MONTH(NovNed1+3)=11),NovNed1+3,""))</f>
        <v/>
      </c>
      <c r="X44" s="43" t="str">
        <f ca="1">IF(DAY(NovNed1)=1,"",IF(AND(YEAR(NovNed1+4)=KoledarskoLeto,MONTH(NovNed1+4)=11),NovNed1+4,""))</f>
        <v/>
      </c>
      <c r="Y44" s="43" t="str">
        <f ca="1">IF(DAY(NovNed1)=1,"",IF(AND(YEAR(NovNed1+5)=KoledarskoLeto,MONTH(NovNed1+5)=11),NovNed1+5,""))</f>
        <v/>
      </c>
      <c r="Z44" s="43" t="str">
        <f ca="1">IF(DAY(NovNed1)=1,"",IF(AND(YEAR(NovNed1+6)=KoledarskoLeto,MONTH(NovNed1+6)=11),NovNed1+6,""))</f>
        <v/>
      </c>
      <c r="AA44" s="43">
        <f ca="1">IF(DAY(NovNed1)=1,IF(AND(YEAR(NovNed1)=KoledarskoLeto,MONTH(NovNed1)=11),NovNed1,""),IF(AND(YEAR(NovNed1+7)=KoledarskoLeto,MONTH(NovNed1+7)=11),NovNed1+7,""))</f>
        <v>44136</v>
      </c>
      <c r="AB44" s="36"/>
      <c r="AC44" s="39"/>
      <c r="AD44" s="43" t="str">
        <f ca="1">IF(DAY(DecNed1)=1,"",IF(AND(YEAR(DecNed1+1)=KoledarskoLeto,MONTH(DecNed1+1)=12),DecNed1+1,""))</f>
        <v/>
      </c>
      <c r="AE44" s="43">
        <f ca="1">IF(DAY(DecNed1)=1,"",IF(AND(YEAR(DecNed1+2)=KoledarskoLeto,MONTH(DecNed1+2)=12),DecNed1+2,""))</f>
        <v>44166</v>
      </c>
      <c r="AF44" s="43">
        <f ca="1">IF(DAY(DecNed1)=1,"",IF(AND(YEAR(DecNed1+3)=KoledarskoLeto,MONTH(DecNed1+3)=12),DecNed1+3,""))</f>
        <v>44167</v>
      </c>
      <c r="AG44" s="43">
        <f ca="1">IF(DAY(DecNed1)=1,"",IF(AND(YEAR(DecNed1+4)=KoledarskoLeto,MONTH(DecNed1+4)=12),DecNed1+4,""))</f>
        <v>44168</v>
      </c>
      <c r="AH44" s="43">
        <f ca="1">IF(DAY(DecNed1)=1,"",IF(AND(YEAR(DecNed1+5)=KoledarskoLeto,MONTH(DecNed1+5)=12),DecNed1+5,""))</f>
        <v>44169</v>
      </c>
      <c r="AI44" s="43">
        <f ca="1">IF(DAY(DecNed1)=1,"",IF(AND(YEAR(DecNed1+6)=KoledarskoLeto,MONTH(DecNed1+6)=12),DecNed1+6,""))</f>
        <v>44170</v>
      </c>
      <c r="AJ44" s="43">
        <f ca="1">IF(DAY(DecNed1)=1,IF(AND(YEAR(DecNed1)=KoledarskoLeto,MONTH(DecNed1)=12),DecNed1,""),IF(AND(YEAR(DecNed1+7)=KoledarskoLeto,MONTH(DecNed1+7)=12),DecNed1+7,""))</f>
        <v>44171</v>
      </c>
    </row>
    <row r="45" spans="1:36" x14ac:dyDescent="0.2">
      <c r="C45" s="43">
        <f ca="1">IF(DAY(SepNed1)=1,IF(AND(YEAR(SepNed1+1)=KoledarskoLeto,MONTH(SepNed1+1)=9),SepNed1+1,""),IF(AND(YEAR(SepNed1+8)=KoledarskoLeto,MONTH(SepNed1+8)=9),SepNed1+8,""))</f>
        <v>44081</v>
      </c>
      <c r="D45" s="43">
        <f ca="1">IF(DAY(SepNed1)=1,IF(AND(YEAR(SepNed1+2)=KoledarskoLeto,MONTH(SepNed1+2)=9),SepNed1+2,""),IF(AND(YEAR(SepNed1+9)=KoledarskoLeto,MONTH(SepNed1+9)=9),SepNed1+9,""))</f>
        <v>44082</v>
      </c>
      <c r="E45" s="43">
        <f ca="1">IF(DAY(SepNed1)=1,IF(AND(YEAR(SepNed1+3)=KoledarskoLeto,MONTH(SepNed1+3)=9),SepNed1+3,""),IF(AND(YEAR(SepNed1+10)=KoledarskoLeto,MONTH(SepNed1+10)=9),SepNed1+10,""))</f>
        <v>44083</v>
      </c>
      <c r="F45" s="43">
        <f ca="1">IF(DAY(SepNed1)=1,IF(AND(YEAR(SepNed1+4)=KoledarskoLeto,MONTH(SepNed1+4)=9),SepNed1+4,""),IF(AND(YEAR(SepNed1+11)=KoledarskoLeto,MONTH(SepNed1+11)=9),SepNed1+11,""))</f>
        <v>44084</v>
      </c>
      <c r="G45" s="43">
        <f ca="1">IF(DAY(SepNed1)=1,IF(AND(YEAR(SepNed1+5)=KoledarskoLeto,MONTH(SepNed1+5)=9),SepNed1+5,""),IF(AND(YEAR(SepNed1+12)=KoledarskoLeto,MONTH(SepNed1+12)=9),SepNed1+12,""))</f>
        <v>44085</v>
      </c>
      <c r="H45" s="43">
        <f ca="1">IF(DAY(SepNed1)=1,IF(AND(YEAR(SepNed1+6)=KoledarskoLeto,MONTH(SepNed1+6)=9),SepNed1+6,""),IF(AND(YEAR(SepNed1+13)=KoledarskoLeto,MONTH(SepNed1+13)=9),SepNed1+13,""))</f>
        <v>44086</v>
      </c>
      <c r="I45" s="43">
        <f ca="1">IF(DAY(SepNed1)=1,IF(AND(YEAR(SepNed1+7)=KoledarskoLeto,MONTH(SepNed1+7)=9),SepNed1+7,""),IF(AND(YEAR(SepNed1+14)=KoledarskoLeto,MONTH(SepNed1+14)=9),SepNed1+14,""))</f>
        <v>44087</v>
      </c>
      <c r="J45" s="36"/>
      <c r="K45" s="39"/>
      <c r="L45" s="43">
        <f ca="1">IF(DAY(OktNed1)=1,IF(AND(YEAR(OktNed1+1)=KoledarskoLeto,MONTH(OktNed1+1)=10),OktNed1+1,""),IF(AND(YEAR(OktNed1+8)=KoledarskoLeto,MONTH(OktNed1+8)=10),OktNed1+8,""))</f>
        <v>44109</v>
      </c>
      <c r="M45" s="43">
        <f ca="1">IF(DAY(OktNed1)=1,IF(AND(YEAR(OktNed1+2)=KoledarskoLeto,MONTH(OktNed1+2)=10),OktNed1+2,""),IF(AND(YEAR(OktNed1+9)=KoledarskoLeto,MONTH(OktNed1+9)=10),OktNed1+9,""))</f>
        <v>44110</v>
      </c>
      <c r="N45" s="43">
        <f ca="1">IF(DAY(OktNed1)=1,IF(AND(YEAR(OktNed1+3)=KoledarskoLeto,MONTH(OktNed1+3)=10),OktNed1+3,""),IF(AND(YEAR(OktNed1+10)=KoledarskoLeto,MONTH(OktNed1+10)=10),OktNed1+10,""))</f>
        <v>44111</v>
      </c>
      <c r="O45" s="43">
        <f ca="1">IF(DAY(OktNed1)=1,IF(AND(YEAR(OktNed1+4)=KoledarskoLeto,MONTH(OktNed1+4)=10),OktNed1+4,""),IF(AND(YEAR(OktNed1+11)=KoledarskoLeto,MONTH(OktNed1+11)=10),OktNed1+11,""))</f>
        <v>44112</v>
      </c>
      <c r="P45" s="43">
        <f ca="1">IF(DAY(OktNed1)=1,IF(AND(YEAR(OktNed1+5)=KoledarskoLeto,MONTH(OktNed1+5)=10),OktNed1+5,""),IF(AND(YEAR(OktNed1+12)=KoledarskoLeto,MONTH(OktNed1+12)=10),OktNed1+12,""))</f>
        <v>44113</v>
      </c>
      <c r="Q45" s="43">
        <f ca="1">IF(DAY(OktNed1)=1,IF(AND(YEAR(OktNed1+6)=KoledarskoLeto,MONTH(OktNed1+6)=10),OktNed1+6,""),IF(AND(YEAR(OktNed1+13)=KoledarskoLeto,MONTH(OktNed1+13)=10),OktNed1+13,""))</f>
        <v>44114</v>
      </c>
      <c r="R45" s="43">
        <f ca="1">IF(DAY(OktNed1)=1,IF(AND(YEAR(OktNed1+7)=KoledarskoLeto,MONTH(OktNed1+7)=10),OktNed1+7,""),IF(AND(YEAR(OktNed1+14)=KoledarskoLeto,MONTH(OktNed1+14)=10),OktNed1+14,""))</f>
        <v>44115</v>
      </c>
      <c r="S45" s="36"/>
      <c r="T45" s="40"/>
      <c r="U45" s="43">
        <f ca="1">IF(DAY(NovNed1)=1,IF(AND(YEAR(NovNed1+1)=KoledarskoLeto,MONTH(NovNed1+1)=11),NovNed1+1,""),IF(AND(YEAR(NovNed1+8)=KoledarskoLeto,MONTH(NovNed1+8)=11),NovNed1+8,""))</f>
        <v>44137</v>
      </c>
      <c r="V45" s="43">
        <f ca="1">IF(DAY(NovNed1)=1,IF(AND(YEAR(NovNed1+2)=KoledarskoLeto,MONTH(NovNed1+2)=11),NovNed1+2,""),IF(AND(YEAR(NovNed1+9)=KoledarskoLeto,MONTH(NovNed1+9)=11),NovNed1+9,""))</f>
        <v>44138</v>
      </c>
      <c r="W45" s="43">
        <f ca="1">IF(DAY(NovNed1)=1,IF(AND(YEAR(NovNed1+3)=KoledarskoLeto,MONTH(NovNed1+3)=11),NovNed1+3,""),IF(AND(YEAR(NovNed1+10)=KoledarskoLeto,MONTH(NovNed1+10)=11),NovNed1+10,""))</f>
        <v>44139</v>
      </c>
      <c r="X45" s="43">
        <f ca="1">IF(DAY(NovNed1)=1,IF(AND(YEAR(NovNed1+4)=KoledarskoLeto,MONTH(NovNed1+4)=11),NovNed1+4,""),IF(AND(YEAR(NovNed1+11)=KoledarskoLeto,MONTH(NovNed1+11)=11),NovNed1+11,""))</f>
        <v>44140</v>
      </c>
      <c r="Y45" s="43">
        <f ca="1">IF(DAY(NovNed1)=1,IF(AND(YEAR(NovNed1+5)=KoledarskoLeto,MONTH(NovNed1+5)=11),NovNed1+5,""),IF(AND(YEAR(NovNed1+12)=KoledarskoLeto,MONTH(NovNed1+12)=11),NovNed1+12,""))</f>
        <v>44141</v>
      </c>
      <c r="Z45" s="43">
        <f ca="1">IF(DAY(NovNed1)=1,IF(AND(YEAR(NovNed1+6)=KoledarskoLeto,MONTH(NovNed1+6)=11),NovNed1+6,""),IF(AND(YEAR(NovNed1+13)=KoledarskoLeto,MONTH(NovNed1+13)=11),NovNed1+13,""))</f>
        <v>44142</v>
      </c>
      <c r="AA45" s="43">
        <f ca="1">IF(DAY(NovNed1)=1,IF(AND(YEAR(NovNed1+7)=KoledarskoLeto,MONTH(NovNed1+7)=11),NovNed1+7,""),IF(AND(YEAR(NovNed1+14)=KoledarskoLeto,MONTH(NovNed1+14)=11),NovNed1+14,""))</f>
        <v>44143</v>
      </c>
      <c r="AB45" s="36"/>
      <c r="AC45" s="39"/>
      <c r="AD45" s="43">
        <f ca="1">IF(DAY(DecNed1)=1,IF(AND(YEAR(DecNed1+1)=KoledarskoLeto,MONTH(DecNed1+1)=12),DecNed1+1,""),IF(AND(YEAR(DecNed1+8)=KoledarskoLeto,MONTH(DecNed1+8)=12),DecNed1+8,""))</f>
        <v>44172</v>
      </c>
      <c r="AE45" s="43">
        <f ca="1">IF(DAY(DecNed1)=1,IF(AND(YEAR(DecNed1+2)=KoledarskoLeto,MONTH(DecNed1+2)=12),DecNed1+2,""),IF(AND(YEAR(DecNed1+9)=KoledarskoLeto,MONTH(DecNed1+9)=12),DecNed1+9,""))</f>
        <v>44173</v>
      </c>
      <c r="AF45" s="43">
        <f ca="1">IF(DAY(DecNed1)=1,IF(AND(YEAR(DecNed1+3)=KoledarskoLeto,MONTH(DecNed1+3)=12),DecNed1+3,""),IF(AND(YEAR(DecNed1+10)=KoledarskoLeto,MONTH(DecNed1+10)=12),DecNed1+10,""))</f>
        <v>44174</v>
      </c>
      <c r="AG45" s="43">
        <f ca="1">IF(DAY(DecNed1)=1,IF(AND(YEAR(DecNed1+4)=KoledarskoLeto,MONTH(DecNed1+4)=12),DecNed1+4,""),IF(AND(YEAR(DecNed1+11)=KoledarskoLeto,MONTH(DecNed1+11)=12),DecNed1+11,""))</f>
        <v>44175</v>
      </c>
      <c r="AH45" s="43">
        <f ca="1">IF(DAY(DecNed1)=1,IF(AND(YEAR(DecNed1+5)=KoledarskoLeto,MONTH(DecNed1+5)=12),DecNed1+5,""),IF(AND(YEAR(DecNed1+12)=KoledarskoLeto,MONTH(DecNed1+12)=12),DecNed1+12,""))</f>
        <v>44176</v>
      </c>
      <c r="AI45" s="43">
        <f ca="1">IF(DAY(DecNed1)=1,IF(AND(YEAR(DecNed1+6)=KoledarskoLeto,MONTH(DecNed1+6)=12),DecNed1+6,""),IF(AND(YEAR(DecNed1+13)=KoledarskoLeto,MONTH(DecNed1+13)=12),DecNed1+13,""))</f>
        <v>44177</v>
      </c>
      <c r="AJ45" s="43">
        <f ca="1">IF(DAY(DecNed1)=1,IF(AND(YEAR(DecNed1+7)=KoledarskoLeto,MONTH(DecNed1+7)=12),DecNed1+7,""),IF(AND(YEAR(DecNed1+14)=KoledarskoLeto,MONTH(DecNed1+14)=12),DecNed1+14,""))</f>
        <v>44178</v>
      </c>
    </row>
    <row r="46" spans="1:36" x14ac:dyDescent="0.2">
      <c r="C46" s="43">
        <f ca="1">IF(DAY(SepNed1)=1,IF(AND(YEAR(SepNed1+8)=KoledarskoLeto,MONTH(SepNed1+8)=9),SepNed1+8,""),IF(AND(YEAR(SepNed1+15)=KoledarskoLeto,MONTH(SepNed1+15)=9),SepNed1+15,""))</f>
        <v>44088</v>
      </c>
      <c r="D46" s="43">
        <f ca="1">IF(DAY(SepNed1)=1,IF(AND(YEAR(SepNed1+9)=KoledarskoLeto,MONTH(SepNed1+9)=9),SepNed1+9,""),IF(AND(YEAR(SepNed1+16)=KoledarskoLeto,MONTH(SepNed1+16)=9),SepNed1+16,""))</f>
        <v>44089</v>
      </c>
      <c r="E46" s="43">
        <f ca="1">IF(DAY(SepNed1)=1,IF(AND(YEAR(SepNed1+10)=KoledarskoLeto,MONTH(SepNed1+10)=9),SepNed1+10,""),IF(AND(YEAR(SepNed1+17)=KoledarskoLeto,MONTH(SepNed1+17)=9),SepNed1+17,""))</f>
        <v>44090</v>
      </c>
      <c r="F46" s="43">
        <f ca="1">IF(DAY(SepNed1)=1,IF(AND(YEAR(SepNed1+11)=KoledarskoLeto,MONTH(SepNed1+11)=9),SepNed1+11,""),IF(AND(YEAR(SepNed1+18)=KoledarskoLeto,MONTH(SepNed1+18)=9),SepNed1+18,""))</f>
        <v>44091</v>
      </c>
      <c r="G46" s="43">
        <f ca="1">IF(DAY(SepNed1)=1,IF(AND(YEAR(SepNed1+12)=KoledarskoLeto,MONTH(SepNed1+12)=9),SepNed1+12,""),IF(AND(YEAR(SepNed1+19)=KoledarskoLeto,MONTH(SepNed1+19)=9),SepNed1+19,""))</f>
        <v>44092</v>
      </c>
      <c r="H46" s="43">
        <f ca="1">IF(DAY(SepNed1)=1,IF(AND(YEAR(SepNed1+13)=KoledarskoLeto,MONTH(SepNed1+13)=9),SepNed1+13,""),IF(AND(YEAR(SepNed1+20)=KoledarskoLeto,MONTH(SepNed1+20)=9),SepNed1+20,""))</f>
        <v>44093</v>
      </c>
      <c r="I46" s="43">
        <f ca="1">IF(DAY(SepNed1)=1,IF(AND(YEAR(SepNed1+14)=KoledarskoLeto,MONTH(SepNed1+14)=9),SepNed1+14,""),IF(AND(YEAR(SepNed1+21)=KoledarskoLeto,MONTH(SepNed1+21)=9),SepNed1+21,""))</f>
        <v>44094</v>
      </c>
      <c r="J46" s="36"/>
      <c r="K46" s="39"/>
      <c r="L46" s="43">
        <f ca="1">IF(DAY(OktNed1)=1,IF(AND(YEAR(OktNed1+8)=KoledarskoLeto,MONTH(OktNed1+8)=10),OktNed1+8,""),IF(AND(YEAR(OktNed1+15)=KoledarskoLeto,MONTH(OktNed1+15)=10),OktNed1+15,""))</f>
        <v>44116</v>
      </c>
      <c r="M46" s="43">
        <f ca="1">IF(DAY(OktNed1)=1,IF(AND(YEAR(OktNed1+9)=KoledarskoLeto,MONTH(OktNed1+9)=10),OktNed1+9,""),IF(AND(YEAR(OktNed1+16)=KoledarskoLeto,MONTH(OktNed1+16)=10),OktNed1+16,""))</f>
        <v>44117</v>
      </c>
      <c r="N46" s="43">
        <f ca="1">IF(DAY(OktNed1)=1,IF(AND(YEAR(OktNed1+10)=KoledarskoLeto,MONTH(OktNed1+10)=10),OktNed1+10,""),IF(AND(YEAR(OktNed1+17)=KoledarskoLeto,MONTH(OktNed1+17)=10),OktNed1+17,""))</f>
        <v>44118</v>
      </c>
      <c r="O46" s="43">
        <f ca="1">IF(DAY(OktNed1)=1,IF(AND(YEAR(OktNed1+11)=KoledarskoLeto,MONTH(OktNed1+11)=10),OktNed1+11,""),IF(AND(YEAR(OktNed1+18)=KoledarskoLeto,MONTH(OktNed1+18)=10),OktNed1+18,""))</f>
        <v>44119</v>
      </c>
      <c r="P46" s="43">
        <f ca="1">IF(DAY(OktNed1)=1,IF(AND(YEAR(OktNed1+12)=KoledarskoLeto,MONTH(OktNed1+12)=10),OktNed1+12,""),IF(AND(YEAR(OktNed1+19)=KoledarskoLeto,MONTH(OktNed1+19)=10),OktNed1+19,""))</f>
        <v>44120</v>
      </c>
      <c r="Q46" s="43">
        <f ca="1">IF(DAY(OktNed1)=1,IF(AND(YEAR(OktNed1+13)=KoledarskoLeto,MONTH(OktNed1+13)=10),OktNed1+13,""),IF(AND(YEAR(OktNed1+20)=KoledarskoLeto,MONTH(OktNed1+20)=10),OktNed1+20,""))</f>
        <v>44121</v>
      </c>
      <c r="R46" s="43">
        <f ca="1">IF(DAY(OktNed1)=1,IF(AND(YEAR(OktNed1+14)=KoledarskoLeto,MONTH(OktNed1+14)=10),OktNed1+14,""),IF(AND(YEAR(OktNed1+21)=KoledarskoLeto,MONTH(OktNed1+21)=10),OktNed1+21,""))</f>
        <v>44122</v>
      </c>
      <c r="S46" s="36"/>
      <c r="T46" s="40"/>
      <c r="U46" s="43">
        <f ca="1">IF(DAY(NovNed1)=1,IF(AND(YEAR(NovNed1+8)=KoledarskoLeto,MONTH(NovNed1+8)=11),NovNed1+8,""),IF(AND(YEAR(NovNed1+15)=KoledarskoLeto,MONTH(NovNed1+15)=11),NovNed1+15,""))</f>
        <v>44144</v>
      </c>
      <c r="V46" s="43">
        <f ca="1">IF(DAY(NovNed1)=1,IF(AND(YEAR(NovNed1+9)=KoledarskoLeto,MONTH(NovNed1+9)=11),NovNed1+9,""),IF(AND(YEAR(NovNed1+16)=KoledarskoLeto,MONTH(NovNed1+16)=11),NovNed1+16,""))</f>
        <v>44145</v>
      </c>
      <c r="W46" s="43">
        <f ca="1">IF(DAY(NovNed1)=1,IF(AND(YEAR(NovNed1+10)=KoledarskoLeto,MONTH(NovNed1+10)=11),NovNed1+10,""),IF(AND(YEAR(NovNed1+17)=KoledarskoLeto,MONTH(NovNed1+17)=11),NovNed1+17,""))</f>
        <v>44146</v>
      </c>
      <c r="X46" s="43">
        <f ca="1">IF(DAY(NovNed1)=1,IF(AND(YEAR(NovNed1+11)=KoledarskoLeto,MONTH(NovNed1+11)=11),NovNed1+11,""),IF(AND(YEAR(NovNed1+18)=KoledarskoLeto,MONTH(NovNed1+18)=11),NovNed1+18,""))</f>
        <v>44147</v>
      </c>
      <c r="Y46" s="43">
        <f ca="1">IF(DAY(NovNed1)=1,IF(AND(YEAR(NovNed1+12)=KoledarskoLeto,MONTH(NovNed1+12)=11),NovNed1+12,""),IF(AND(YEAR(NovNed1+19)=KoledarskoLeto,MONTH(NovNed1+19)=11),NovNed1+19,""))</f>
        <v>44148</v>
      </c>
      <c r="Z46" s="43">
        <f ca="1">IF(DAY(NovNed1)=1,IF(AND(YEAR(NovNed1+13)=KoledarskoLeto,MONTH(NovNed1+13)=11),NovNed1+13,""),IF(AND(YEAR(NovNed1+20)=KoledarskoLeto,MONTH(NovNed1+20)=11),NovNed1+20,""))</f>
        <v>44149</v>
      </c>
      <c r="AA46" s="43">
        <f ca="1">IF(DAY(NovNed1)=1,IF(AND(YEAR(NovNed1+14)=KoledarskoLeto,MONTH(NovNed1+14)=11),NovNed1+14,""),IF(AND(YEAR(NovNed1+21)=KoledarskoLeto,MONTH(NovNed1+21)=11),NovNed1+21,""))</f>
        <v>44150</v>
      </c>
      <c r="AB46" s="36"/>
      <c r="AC46" s="39"/>
      <c r="AD46" s="43">
        <f ca="1">IF(DAY(DecNed1)=1,IF(AND(YEAR(DecNed1+8)=KoledarskoLeto,MONTH(DecNed1+8)=12),DecNed1+8,""),IF(AND(YEAR(DecNed1+15)=KoledarskoLeto,MONTH(DecNed1+15)=12),DecNed1+15,""))</f>
        <v>44179</v>
      </c>
      <c r="AE46" s="43">
        <f ca="1">IF(DAY(DecNed1)=1,IF(AND(YEAR(DecNed1+9)=KoledarskoLeto,MONTH(DecNed1+9)=12),DecNed1+9,""),IF(AND(YEAR(DecNed1+16)=KoledarskoLeto,MONTH(DecNed1+16)=12),DecNed1+16,""))</f>
        <v>44180</v>
      </c>
      <c r="AF46" s="43">
        <f ca="1">IF(DAY(DecNed1)=1,IF(AND(YEAR(DecNed1+10)=KoledarskoLeto,MONTH(DecNed1+10)=12),DecNed1+10,""),IF(AND(YEAR(DecNed1+17)=KoledarskoLeto,MONTH(DecNed1+17)=12),DecNed1+17,""))</f>
        <v>44181</v>
      </c>
      <c r="AG46" s="43">
        <f ca="1">IF(DAY(DecNed1)=1,IF(AND(YEAR(DecNed1+11)=KoledarskoLeto,MONTH(DecNed1+11)=12),DecNed1+11,""),IF(AND(YEAR(DecNed1+18)=KoledarskoLeto,MONTH(DecNed1+18)=12),DecNed1+18,""))</f>
        <v>44182</v>
      </c>
      <c r="AH46" s="43">
        <f ca="1">IF(DAY(DecNed1)=1,IF(AND(YEAR(DecNed1+12)=KoledarskoLeto,MONTH(DecNed1+12)=12),DecNed1+12,""),IF(AND(YEAR(DecNed1+19)=KoledarskoLeto,MONTH(DecNed1+19)=12),DecNed1+19,""))</f>
        <v>44183</v>
      </c>
      <c r="AI46" s="43">
        <f ca="1">IF(DAY(DecNed1)=1,IF(AND(YEAR(DecNed1+13)=KoledarskoLeto,MONTH(DecNed1+13)=12),DecNed1+13,""),IF(AND(YEAR(DecNed1+20)=KoledarskoLeto,MONTH(DecNed1+20)=12),DecNed1+20,""))</f>
        <v>44184</v>
      </c>
      <c r="AJ46" s="43">
        <f ca="1">IF(DAY(DecNed1)=1,IF(AND(YEAR(DecNed1+14)=KoledarskoLeto,MONTH(DecNed1+14)=12),DecNed1+14,""),IF(AND(YEAR(DecNed1+21)=KoledarskoLeto,MONTH(DecNed1+21)=12),DecNed1+21,""))</f>
        <v>44185</v>
      </c>
    </row>
    <row r="47" spans="1:36" x14ac:dyDescent="0.2">
      <c r="C47" s="43">
        <f ca="1">IF(DAY(SepNed1)=1,IF(AND(YEAR(SepNed1+15)=KoledarskoLeto,MONTH(SepNed1+15)=9),SepNed1+15,""),IF(AND(YEAR(SepNed1+22)=KoledarskoLeto,MONTH(SepNed1+22)=9),SepNed1+22,""))</f>
        <v>44095</v>
      </c>
      <c r="D47" s="43">
        <f ca="1">IF(DAY(SepNed1)=1,IF(AND(YEAR(SepNed1+16)=KoledarskoLeto,MONTH(SepNed1+16)=9),SepNed1+16,""),IF(AND(YEAR(SepNed1+23)=KoledarskoLeto,MONTH(SepNed1+23)=9),SepNed1+23,""))</f>
        <v>44096</v>
      </c>
      <c r="E47" s="43">
        <f ca="1">IF(DAY(SepNed1)=1,IF(AND(YEAR(SepNed1+17)=KoledarskoLeto,MONTH(SepNed1+17)=9),SepNed1+17,""),IF(AND(YEAR(SepNed1+24)=KoledarskoLeto,MONTH(SepNed1+24)=9),SepNed1+24,""))</f>
        <v>44097</v>
      </c>
      <c r="F47" s="43">
        <f ca="1">IF(DAY(SepNed1)=1,IF(AND(YEAR(SepNed1+18)=KoledarskoLeto,MONTH(SepNed1+18)=9),SepNed1+18,""),IF(AND(YEAR(SepNed1+25)=KoledarskoLeto,MONTH(SepNed1+25)=9),SepNed1+25,""))</f>
        <v>44098</v>
      </c>
      <c r="G47" s="43">
        <f ca="1">IF(DAY(SepNed1)=1,IF(AND(YEAR(SepNed1+19)=KoledarskoLeto,MONTH(SepNed1+19)=9),SepNed1+19,""),IF(AND(YEAR(SepNed1+26)=KoledarskoLeto,MONTH(SepNed1+26)=9),SepNed1+26,""))</f>
        <v>44099</v>
      </c>
      <c r="H47" s="43">
        <f ca="1">IF(DAY(SepNed1)=1,IF(AND(YEAR(SepNed1+20)=KoledarskoLeto,MONTH(SepNed1+20)=9),SepNed1+20,""),IF(AND(YEAR(SepNed1+27)=KoledarskoLeto,MONTH(SepNed1+27)=9),SepNed1+27,""))</f>
        <v>44100</v>
      </c>
      <c r="I47" s="43">
        <f ca="1">IF(DAY(SepNed1)=1,IF(AND(YEAR(SepNed1+21)=KoledarskoLeto,MONTH(SepNed1+21)=9),SepNed1+21,""),IF(AND(YEAR(SepNed1+28)=KoledarskoLeto,MONTH(SepNed1+28)=9),SepNed1+28,""))</f>
        <v>44101</v>
      </c>
      <c r="J47" s="36"/>
      <c r="K47" s="39"/>
      <c r="L47" s="43">
        <f ca="1">IF(DAY(OktNed1)=1,IF(AND(YEAR(OktNed1+15)=KoledarskoLeto,MONTH(OktNed1+15)=10),OktNed1+15,""),IF(AND(YEAR(OktNed1+22)=KoledarskoLeto,MONTH(OktNed1+22)=10),OktNed1+22,""))</f>
        <v>44123</v>
      </c>
      <c r="M47" s="43">
        <f ca="1">IF(DAY(OktNed1)=1,IF(AND(YEAR(OktNed1+16)=KoledarskoLeto,MONTH(OktNed1+16)=10),OktNed1+16,""),IF(AND(YEAR(OktNed1+23)=KoledarskoLeto,MONTH(OktNed1+23)=10),OktNed1+23,""))</f>
        <v>44124</v>
      </c>
      <c r="N47" s="43">
        <f ca="1">IF(DAY(OktNed1)=1,IF(AND(YEAR(OktNed1+17)=KoledarskoLeto,MONTH(OktNed1+17)=10),OktNed1+17,""),IF(AND(YEAR(OktNed1+24)=KoledarskoLeto,MONTH(OktNed1+24)=10),OktNed1+24,""))</f>
        <v>44125</v>
      </c>
      <c r="O47" s="43">
        <f ca="1">IF(DAY(OktNed1)=1,IF(AND(YEAR(OktNed1+18)=KoledarskoLeto,MONTH(OktNed1+18)=10),OktNed1+18,""),IF(AND(YEAR(OktNed1+25)=KoledarskoLeto,MONTH(OktNed1+25)=10),OktNed1+25,""))</f>
        <v>44126</v>
      </c>
      <c r="P47" s="43">
        <f ca="1">IF(DAY(OktNed1)=1,IF(AND(YEAR(OktNed1+19)=KoledarskoLeto,MONTH(OktNed1+19)=10),OktNed1+19,""),IF(AND(YEAR(OktNed1+26)=KoledarskoLeto,MONTH(OktNed1+26)=10),OktNed1+26,""))</f>
        <v>44127</v>
      </c>
      <c r="Q47" s="43">
        <f ca="1">IF(DAY(OktNed1)=1,IF(AND(YEAR(OktNed1+20)=KoledarskoLeto,MONTH(OktNed1+20)=10),OktNed1+20,""),IF(AND(YEAR(OktNed1+27)=KoledarskoLeto,MONTH(OktNed1+27)=10),OktNed1+27,""))</f>
        <v>44128</v>
      </c>
      <c r="R47" s="43">
        <f ca="1">IF(DAY(OktNed1)=1,IF(AND(YEAR(OktNed1+21)=KoledarskoLeto,MONTH(OktNed1+21)=10),OktNed1+21,""),IF(AND(YEAR(OktNed1+28)=KoledarskoLeto,MONTH(OktNed1+28)=10),OktNed1+28,""))</f>
        <v>44129</v>
      </c>
      <c r="S47" s="36"/>
      <c r="T47" s="40"/>
      <c r="U47" s="43">
        <f ca="1">IF(DAY(NovNed1)=1,IF(AND(YEAR(NovNed1+15)=KoledarskoLeto,MONTH(NovNed1+15)=11),NovNed1+15,""),IF(AND(YEAR(NovNed1+22)=KoledarskoLeto,MONTH(NovNed1+22)=11),NovNed1+22,""))</f>
        <v>44151</v>
      </c>
      <c r="V47" s="43">
        <f ca="1">IF(DAY(NovNed1)=1,IF(AND(YEAR(NovNed1+16)=KoledarskoLeto,MONTH(NovNed1+16)=11),NovNed1+16,""),IF(AND(YEAR(NovNed1+23)=KoledarskoLeto,MONTH(NovNed1+23)=11),NovNed1+23,""))</f>
        <v>44152</v>
      </c>
      <c r="W47" s="43">
        <f ca="1">IF(DAY(NovNed1)=1,IF(AND(YEAR(NovNed1+17)=KoledarskoLeto,MONTH(NovNed1+17)=11),NovNed1+17,""),IF(AND(YEAR(NovNed1+24)=KoledarskoLeto,MONTH(NovNed1+24)=11),NovNed1+24,""))</f>
        <v>44153</v>
      </c>
      <c r="X47" s="43">
        <f ca="1">IF(DAY(NovNed1)=1,IF(AND(YEAR(NovNed1+18)=KoledarskoLeto,MONTH(NovNed1+18)=11),NovNed1+18,""),IF(AND(YEAR(NovNed1+25)=KoledarskoLeto,MONTH(NovNed1+25)=11),NovNed1+25,""))</f>
        <v>44154</v>
      </c>
      <c r="Y47" s="43">
        <f ca="1">IF(DAY(NovNed1)=1,IF(AND(YEAR(NovNed1+19)=KoledarskoLeto,MONTH(NovNed1+19)=11),NovNed1+19,""),IF(AND(YEAR(NovNed1+26)=KoledarskoLeto,MONTH(NovNed1+26)=11),NovNed1+26,""))</f>
        <v>44155</v>
      </c>
      <c r="Z47" s="43">
        <f ca="1">IF(DAY(NovNed1)=1,IF(AND(YEAR(NovNed1+20)=KoledarskoLeto,MONTH(NovNed1+20)=11),NovNed1+20,""),IF(AND(YEAR(NovNed1+27)=KoledarskoLeto,MONTH(NovNed1+27)=11),NovNed1+27,""))</f>
        <v>44156</v>
      </c>
      <c r="AA47" s="43">
        <f ca="1">IF(DAY(NovNed1)=1,IF(AND(YEAR(NovNed1+21)=KoledarskoLeto,MONTH(NovNed1+21)=11),NovNed1+21,""),IF(AND(YEAR(NovNed1+28)=KoledarskoLeto,MONTH(NovNed1+28)=11),NovNed1+28,""))</f>
        <v>44157</v>
      </c>
      <c r="AB47" s="36"/>
      <c r="AC47" s="39"/>
      <c r="AD47" s="43">
        <f ca="1">IF(DAY(DecNed1)=1,IF(AND(YEAR(DecNed1+15)=KoledarskoLeto,MONTH(DecNed1+15)=12),DecNed1+15,""),IF(AND(YEAR(DecNed1+22)=KoledarskoLeto,MONTH(DecNed1+22)=12),DecNed1+22,""))</f>
        <v>44186</v>
      </c>
      <c r="AE47" s="43">
        <f ca="1">IF(DAY(DecNed1)=1,IF(AND(YEAR(DecNed1+16)=KoledarskoLeto,MONTH(DecNed1+16)=12),DecNed1+16,""),IF(AND(YEAR(DecNed1+23)=KoledarskoLeto,MONTH(DecNed1+23)=12),DecNed1+23,""))</f>
        <v>44187</v>
      </c>
      <c r="AF47" s="43">
        <f ca="1">IF(DAY(DecNed1)=1,IF(AND(YEAR(DecNed1+17)=KoledarskoLeto,MONTH(DecNed1+17)=12),DecNed1+17,""),IF(AND(YEAR(DecNed1+24)=KoledarskoLeto,MONTH(DecNed1+24)=12),DecNed1+24,""))</f>
        <v>44188</v>
      </c>
      <c r="AG47" s="43">
        <f ca="1">IF(DAY(DecNed1)=1,IF(AND(YEAR(DecNed1+18)=KoledarskoLeto,MONTH(DecNed1+18)=12),DecNed1+18,""),IF(AND(YEAR(DecNed1+25)=KoledarskoLeto,MONTH(DecNed1+25)=12),DecNed1+25,""))</f>
        <v>44189</v>
      </c>
      <c r="AH47" s="43">
        <f ca="1">IF(DAY(DecNed1)=1,IF(AND(YEAR(DecNed1+19)=KoledarskoLeto,MONTH(DecNed1+19)=12),DecNed1+19,""),IF(AND(YEAR(DecNed1+26)=KoledarskoLeto,MONTH(DecNed1+26)=12),DecNed1+26,""))</f>
        <v>44190</v>
      </c>
      <c r="AI47" s="43">
        <f ca="1">IF(DAY(DecNed1)=1,IF(AND(YEAR(DecNed1+20)=KoledarskoLeto,MONTH(DecNed1+20)=12),DecNed1+20,""),IF(AND(YEAR(DecNed1+27)=KoledarskoLeto,MONTH(DecNed1+27)=12),DecNed1+27,""))</f>
        <v>44191</v>
      </c>
      <c r="AJ47" s="43">
        <f ca="1">IF(DAY(DecNed1)=1,IF(AND(YEAR(DecNed1+21)=KoledarskoLeto,MONTH(DecNed1+21)=12),DecNed1+21,""),IF(AND(YEAR(DecNed1+28)=KoledarskoLeto,MONTH(DecNed1+28)=12),DecNed1+28,""))</f>
        <v>44192</v>
      </c>
    </row>
    <row r="48" spans="1:36" x14ac:dyDescent="0.2">
      <c r="C48" s="43">
        <f ca="1">IF(DAY(SepNed1)=1,IF(AND(YEAR(SepNed1+22)=KoledarskoLeto,MONTH(SepNed1+22)=9),SepNed1+22,""),IF(AND(YEAR(SepNed1+29)=KoledarskoLeto,MONTH(SepNed1+29)=9),SepNed1+29,""))</f>
        <v>44102</v>
      </c>
      <c r="D48" s="43">
        <f ca="1">IF(DAY(SepNed1)=1,IF(AND(YEAR(SepNed1+23)=KoledarskoLeto,MONTH(SepNed1+23)=9),SepNed1+23,""),IF(AND(YEAR(SepNed1+30)=KoledarskoLeto,MONTH(SepNed1+30)=9),SepNed1+30,""))</f>
        <v>44103</v>
      </c>
      <c r="E48" s="43">
        <f ca="1">IF(DAY(SepNed1)=1,IF(AND(YEAR(SepNed1+24)=KoledarskoLeto,MONTH(SepNed1+24)=9),SepNed1+24,""),IF(AND(YEAR(SepNed1+31)=KoledarskoLeto,MONTH(SepNed1+31)=9),SepNed1+31,""))</f>
        <v>44104</v>
      </c>
      <c r="F48" s="43" t="str">
        <f ca="1">IF(DAY(SepNed1)=1,IF(AND(YEAR(SepNed1+25)=KoledarskoLeto,MONTH(SepNed1+25)=9),SepNed1+25,""),IF(AND(YEAR(SepNed1+32)=KoledarskoLeto,MONTH(SepNed1+32)=9),SepNed1+32,""))</f>
        <v/>
      </c>
      <c r="G48" s="43" t="str">
        <f ca="1">IF(DAY(SepNed1)=1,IF(AND(YEAR(SepNed1+26)=KoledarskoLeto,MONTH(SepNed1+26)=9),SepNed1+26,""),IF(AND(YEAR(SepNed1+33)=KoledarskoLeto,MONTH(SepNed1+33)=9),SepNed1+33,""))</f>
        <v/>
      </c>
      <c r="H48" s="43" t="str">
        <f ca="1">IF(DAY(SepNed1)=1,IF(AND(YEAR(SepNed1+27)=KoledarskoLeto,MONTH(SepNed1+27)=9),SepNed1+27,""),IF(AND(YEAR(SepNed1+34)=KoledarskoLeto,MONTH(SepNed1+34)=9),SepNed1+34,""))</f>
        <v/>
      </c>
      <c r="I48" s="43" t="str">
        <f ca="1">IF(DAY(SepNed1)=1,IF(AND(YEAR(SepNed1+28)=KoledarskoLeto,MONTH(SepNed1+28)=9),SepNed1+28,""),IF(AND(YEAR(SepNed1+35)=KoledarskoLeto,MONTH(SepNed1+35)=9),SepNed1+35,""))</f>
        <v/>
      </c>
      <c r="J48" s="36"/>
      <c r="K48" s="39"/>
      <c r="L48" s="43">
        <f ca="1">IF(DAY(OktNed1)=1,IF(AND(YEAR(OktNed1+22)=KoledarskoLeto,MONTH(OktNed1+22)=10),OktNed1+22,""),IF(AND(YEAR(OktNed1+29)=KoledarskoLeto,MONTH(OktNed1+29)=10),OktNed1+29,""))</f>
        <v>44130</v>
      </c>
      <c r="M48" s="43">
        <f ca="1">IF(DAY(OktNed1)=1,IF(AND(YEAR(OktNed1+23)=KoledarskoLeto,MONTH(OktNed1+23)=10),OktNed1+23,""),IF(AND(YEAR(OktNed1+30)=KoledarskoLeto,MONTH(OktNed1+30)=10),OktNed1+30,""))</f>
        <v>44131</v>
      </c>
      <c r="N48" s="43">
        <f ca="1">IF(DAY(OktNed1)=1,IF(AND(YEAR(OktNed1+24)=KoledarskoLeto,MONTH(OktNed1+24)=10),OktNed1+24,""),IF(AND(YEAR(OktNed1+31)=KoledarskoLeto,MONTH(OktNed1+31)=10),OktNed1+31,""))</f>
        <v>44132</v>
      </c>
      <c r="O48" s="43">
        <f ca="1">IF(DAY(OktNed1)=1,IF(AND(YEAR(OktNed1+25)=KoledarskoLeto,MONTH(OktNed1+25)=10),OktNed1+25,""),IF(AND(YEAR(OktNed1+32)=KoledarskoLeto,MONTH(OktNed1+32)=10),OktNed1+32,""))</f>
        <v>44133</v>
      </c>
      <c r="P48" s="43">
        <f ca="1">IF(DAY(OktNed1)=1,IF(AND(YEAR(OktNed1+26)=KoledarskoLeto,MONTH(OktNed1+26)=10),OktNed1+26,""),IF(AND(YEAR(OktNed1+33)=KoledarskoLeto,MONTH(OktNed1+33)=10),OktNed1+33,""))</f>
        <v>44134</v>
      </c>
      <c r="Q48" s="43">
        <f ca="1">IF(DAY(OktNed1)=1,IF(AND(YEAR(OktNed1+27)=KoledarskoLeto,MONTH(OktNed1+27)=10),OktNed1+27,""),IF(AND(YEAR(OktNed1+34)=KoledarskoLeto,MONTH(OktNed1+34)=10),OktNed1+34,""))</f>
        <v>44135</v>
      </c>
      <c r="R48" s="43" t="str">
        <f ca="1">IF(DAY(OktNed1)=1,IF(AND(YEAR(OktNed1+28)=KoledarskoLeto,MONTH(OktNed1+28)=10),OktNed1+28,""),IF(AND(YEAR(OktNed1+35)=KoledarskoLeto,MONTH(OktNed1+35)=10),OktNed1+35,""))</f>
        <v/>
      </c>
      <c r="S48" s="36"/>
      <c r="T48" s="40"/>
      <c r="U48" s="43">
        <f ca="1">IF(DAY(NovNed1)=1,IF(AND(YEAR(NovNed1+22)=KoledarskoLeto,MONTH(NovNed1+22)=11),NovNed1+22,""),IF(AND(YEAR(NovNed1+29)=KoledarskoLeto,MONTH(NovNed1+29)=11),NovNed1+29,""))</f>
        <v>44158</v>
      </c>
      <c r="V48" s="43">
        <f ca="1">IF(DAY(NovNed1)=1,IF(AND(YEAR(NovNed1+23)=KoledarskoLeto,MONTH(NovNed1+23)=11),NovNed1+23,""),IF(AND(YEAR(NovNed1+30)=KoledarskoLeto,MONTH(NovNed1+30)=11),NovNed1+30,""))</f>
        <v>44159</v>
      </c>
      <c r="W48" s="43">
        <f ca="1">IF(DAY(NovNed1)=1,IF(AND(YEAR(NovNed1+24)=KoledarskoLeto,MONTH(NovNed1+24)=11),NovNed1+24,""),IF(AND(YEAR(NovNed1+31)=KoledarskoLeto,MONTH(NovNed1+31)=11),NovNed1+31,""))</f>
        <v>44160</v>
      </c>
      <c r="X48" s="43">
        <f ca="1">IF(DAY(NovNed1)=1,IF(AND(YEAR(NovNed1+25)=KoledarskoLeto,MONTH(NovNed1+25)=11),NovNed1+25,""),IF(AND(YEAR(NovNed1+32)=KoledarskoLeto,MONTH(NovNed1+32)=11),NovNed1+32,""))</f>
        <v>44161</v>
      </c>
      <c r="Y48" s="43">
        <f ca="1">IF(DAY(NovNed1)=1,IF(AND(YEAR(NovNed1+26)=KoledarskoLeto,MONTH(NovNed1+26)=11),NovNed1+26,""),IF(AND(YEAR(NovNed1+33)=KoledarskoLeto,MONTH(NovNed1+33)=11),NovNed1+33,""))</f>
        <v>44162</v>
      </c>
      <c r="Z48" s="43">
        <f ca="1">IF(DAY(NovNed1)=1,IF(AND(YEAR(NovNed1+27)=KoledarskoLeto,MONTH(NovNed1+27)=11),NovNed1+27,""),IF(AND(YEAR(NovNed1+34)=KoledarskoLeto,MONTH(NovNed1+34)=11),NovNed1+34,""))</f>
        <v>44163</v>
      </c>
      <c r="AA48" s="43">
        <f ca="1">IF(DAY(NovNed1)=1,IF(AND(YEAR(NovNed1+28)=KoledarskoLeto,MONTH(NovNed1+28)=11),NovNed1+28,""),IF(AND(YEAR(NovNed1+35)=KoledarskoLeto,MONTH(NovNed1+35)=11),NovNed1+35,""))</f>
        <v>44164</v>
      </c>
      <c r="AB48" s="36"/>
      <c r="AC48" s="39"/>
      <c r="AD48" s="43">
        <f ca="1">IF(DAY(DecNed1)=1,IF(AND(YEAR(DecNed1+22)=KoledarskoLeto,MONTH(DecNed1+22)=12),DecNed1+22,""),IF(AND(YEAR(DecNed1+29)=KoledarskoLeto,MONTH(DecNed1+29)=12),DecNed1+29,""))</f>
        <v>44193</v>
      </c>
      <c r="AE48" s="43">
        <f ca="1">IF(DAY(DecNed1)=1,IF(AND(YEAR(DecNed1+23)=KoledarskoLeto,MONTH(DecNed1+23)=12),DecNed1+23,""),IF(AND(YEAR(DecNed1+30)=KoledarskoLeto,MONTH(DecNed1+30)=12),DecNed1+30,""))</f>
        <v>44194</v>
      </c>
      <c r="AF48" s="43">
        <f ca="1">IF(DAY(DecNed1)=1,IF(AND(YEAR(DecNed1+24)=KoledarskoLeto,MONTH(DecNed1+24)=12),DecNed1+24,""),IF(AND(YEAR(DecNed1+31)=KoledarskoLeto,MONTH(DecNed1+31)=12),DecNed1+31,""))</f>
        <v>44195</v>
      </c>
      <c r="AG48" s="43">
        <f ca="1">IF(DAY(DecNed1)=1,IF(AND(YEAR(DecNed1+25)=KoledarskoLeto,MONTH(DecNed1+25)=12),DecNed1+25,""),IF(AND(YEAR(DecNed1+32)=KoledarskoLeto,MONTH(DecNed1+32)=12),DecNed1+32,""))</f>
        <v>44196</v>
      </c>
      <c r="AH48" s="43" t="str">
        <f ca="1">IF(DAY(DecNed1)=1,IF(AND(YEAR(DecNed1+26)=KoledarskoLeto,MONTH(DecNed1+26)=12),DecNed1+26,""),IF(AND(YEAR(DecNed1+33)=KoledarskoLeto,MONTH(DecNed1+33)=12),DecNed1+33,""))</f>
        <v/>
      </c>
      <c r="AI48" s="43" t="str">
        <f ca="1">IF(DAY(DecNed1)=1,IF(AND(YEAR(DecNed1+27)=KoledarskoLeto,MONTH(DecNed1+27)=12),DecNed1+27,""),IF(AND(YEAR(DecNed1+34)=KoledarskoLeto,MONTH(DecNed1+34)=12),DecNed1+34,""))</f>
        <v/>
      </c>
      <c r="AJ48" s="43" t="str">
        <f ca="1">IF(DAY(DecNed1)=1,IF(AND(YEAR(DecNed1+28)=KoledarskoLeto,MONTH(DecNed1+28)=12),DecNed1+28,""),IF(AND(YEAR(DecNed1+35)=KoledarskoLeto,MONTH(DecNed1+35)=12),DecNed1+35,""))</f>
        <v/>
      </c>
    </row>
    <row r="49" spans="3:36" x14ac:dyDescent="0.2">
      <c r="C49" s="43" t="str">
        <f ca="1">IF(DAY(SepNed1)=1,IF(AND(YEAR(SepNed1+29)=KoledarskoLeto,MONTH(SepNed1+29)=9),SepNed1+29,""),IF(AND(YEAR(SepNed1+36)=KoledarskoLeto,MONTH(SepNed1+36)=9),SepNed1+36,""))</f>
        <v/>
      </c>
      <c r="D49" s="43" t="str">
        <f ca="1">IF(DAY(SepNed1)=1,IF(AND(YEAR(SepNed1+30)=KoledarskoLeto,MONTH(SepNed1+30)=9),SepNed1+30,""),IF(AND(YEAR(SepNed1+37)=KoledarskoLeto,MONTH(SepNed1+37)=9),SepNed1+37,""))</f>
        <v/>
      </c>
      <c r="E49" s="43" t="str">
        <f ca="1">IF(DAY(SepNed1)=1,IF(AND(YEAR(SepNed1+31)=KoledarskoLeto,MONTH(SepNed1+31)=9),SepNed1+31,""),IF(AND(YEAR(SepNed1+38)=KoledarskoLeto,MONTH(SepNed1+38)=9),SepNed1+38,""))</f>
        <v/>
      </c>
      <c r="F49" s="43" t="str">
        <f ca="1">IF(DAY(SepNed1)=1,IF(AND(YEAR(SepNed1+32)=KoledarskoLeto,MONTH(SepNed1+32)=9),SepNed1+32,""),IF(AND(YEAR(SepNed1+39)=KoledarskoLeto,MONTH(SepNed1+39)=9),SepNed1+39,""))</f>
        <v/>
      </c>
      <c r="G49" s="43" t="str">
        <f ca="1">IF(DAY(SepNed1)=1,IF(AND(YEAR(SepNed1+33)=KoledarskoLeto,MONTH(SepNed1+33)=9),SepNed1+33,""),IF(AND(YEAR(SepNed1+40)=KoledarskoLeto,MONTH(SepNed1+40)=9),SepNed1+40,""))</f>
        <v/>
      </c>
      <c r="H49" s="43" t="str">
        <f ca="1">IF(DAY(SepNed1)=1,IF(AND(YEAR(SepNed1+34)=KoledarskoLeto,MONTH(SepNed1+34)=9),SepNed1+34,""),IF(AND(YEAR(SepNed1+41)=KoledarskoLeto,MONTH(SepNed1+41)=9),SepNed1+41,""))</f>
        <v/>
      </c>
      <c r="I49" s="43" t="str">
        <f ca="1">IF(DAY(SepNed1)=1,IF(AND(YEAR(SepNed1+35)=KoledarskoLeto,MONTH(SepNed1+35)=9),SepNed1+35,""),IF(AND(YEAR(SepNed1+42)=KoledarskoLeto,MONTH(SepNed1+42)=9),SepNed1+42,""))</f>
        <v/>
      </c>
      <c r="J49" s="36"/>
      <c r="K49" s="39"/>
      <c r="L49" s="43" t="str">
        <f ca="1">IF(DAY(OktNed1)=1,IF(AND(YEAR(OktNed1+29)=KoledarskoLeto,MONTH(OktNed1+29)=10),OktNed1+29,""),IF(AND(YEAR(OktNed1+36)=KoledarskoLeto,MONTH(OktNed1+36)=10),OktNed1+36,""))</f>
        <v/>
      </c>
      <c r="M49" s="43" t="str">
        <f ca="1">IF(DAY(OktNed1)=1,IF(AND(YEAR(OktNed1+30)=KoledarskoLeto,MONTH(OktNed1+30)=10),OktNed1+30,""),IF(AND(YEAR(OktNed1+37)=KoledarskoLeto,MONTH(OktNed1+37)=10),OktNed1+37,""))</f>
        <v/>
      </c>
      <c r="N49" s="43" t="str">
        <f ca="1">IF(DAY(OktNed1)=1,IF(AND(YEAR(OktNed1+31)=KoledarskoLeto,MONTH(OktNed1+31)=10),OktNed1+31,""),IF(AND(YEAR(OktNed1+38)=KoledarskoLeto,MONTH(OktNed1+38)=10),OktNed1+38,""))</f>
        <v/>
      </c>
      <c r="O49" s="43" t="str">
        <f ca="1">IF(DAY(OktNed1)=1,IF(AND(YEAR(OktNed1+32)=KoledarskoLeto,MONTH(OktNed1+32)=10),OktNed1+32,""),IF(AND(YEAR(OktNed1+39)=KoledarskoLeto,MONTH(OktNed1+39)=10),OktNed1+39,""))</f>
        <v/>
      </c>
      <c r="P49" s="43" t="str">
        <f ca="1">IF(DAY(OktNed1)=1,IF(AND(YEAR(OktNed1+33)=KoledarskoLeto,MONTH(OktNed1+33)=10),OktNed1+33,""),IF(AND(YEAR(OktNed1+40)=KoledarskoLeto,MONTH(OktNed1+40)=10),OktNed1+40,""))</f>
        <v/>
      </c>
      <c r="Q49" s="43" t="str">
        <f ca="1">IF(DAY(OktNed1)=1,IF(AND(YEAR(OktNed1+34)=KoledarskoLeto,MONTH(OktNed1+34)=10),OktNed1+34,""),IF(AND(YEAR(OktNed1+41)=KoledarskoLeto,MONTH(OktNed1+41)=10),OktNed1+41,""))</f>
        <v/>
      </c>
      <c r="R49" s="43" t="str">
        <f ca="1">IF(DAY(OktNed1)=1,IF(AND(YEAR(OktNed1+35)=KoledarskoLeto,MONTH(OktNed1+35)=10),OktNed1+35,""),IF(AND(YEAR(OktNed1+42)=KoledarskoLeto,MONTH(OktNed1+42)=10),OktNed1+42,""))</f>
        <v/>
      </c>
      <c r="S49" s="36"/>
      <c r="T49" s="40"/>
      <c r="U49" s="43">
        <f ca="1">IF(DAY(NovNed1)=1,IF(AND(YEAR(NovNed1+29)=KoledarskoLeto,MONTH(NovNed1+29)=11),NovNed1+29,""),IF(AND(YEAR(NovNed1+36)=KoledarskoLeto,MONTH(NovNed1+36)=11),NovNed1+36,""))</f>
        <v>44165</v>
      </c>
      <c r="V49" s="43" t="str">
        <f ca="1">IF(DAY(NovNed1)=1,IF(AND(YEAR(NovNed1+30)=KoledarskoLeto,MONTH(NovNed1+30)=11),NovNed1+30,""),IF(AND(YEAR(NovNed1+37)=KoledarskoLeto,MONTH(NovNed1+37)=11),NovNed1+37,""))</f>
        <v/>
      </c>
      <c r="W49" s="43" t="str">
        <f ca="1">IF(DAY(NovNed1)=1,IF(AND(YEAR(NovNed1+31)=KoledarskoLeto,MONTH(NovNed1+31)=11),NovNed1+31,""),IF(AND(YEAR(NovNed1+38)=KoledarskoLeto,MONTH(NovNed1+38)=11),NovNed1+38,""))</f>
        <v/>
      </c>
      <c r="X49" s="43" t="str">
        <f ca="1">IF(DAY(NovNed1)=1,IF(AND(YEAR(NovNed1+32)=KoledarskoLeto,MONTH(NovNed1+32)=11),NovNed1+32,""),IF(AND(YEAR(NovNed1+39)=KoledarskoLeto,MONTH(NovNed1+39)=11),NovNed1+39,""))</f>
        <v/>
      </c>
      <c r="Y49" s="43" t="str">
        <f ca="1">IF(DAY(NovNed1)=1,IF(AND(YEAR(NovNed1+33)=KoledarskoLeto,MONTH(NovNed1+33)=11),NovNed1+33,""),IF(AND(YEAR(NovNed1+40)=KoledarskoLeto,MONTH(NovNed1+40)=11),NovNed1+40,""))</f>
        <v/>
      </c>
      <c r="Z49" s="43" t="str">
        <f ca="1">IF(DAY(NovNed1)=1,IF(AND(YEAR(NovNed1+34)=KoledarskoLeto,MONTH(NovNed1+34)=11),NovNed1+34,""),IF(AND(YEAR(NovNed1+41)=KoledarskoLeto,MONTH(NovNed1+41)=11),NovNed1+41,""))</f>
        <v/>
      </c>
      <c r="AA49" s="43" t="str">
        <f ca="1">IF(DAY(NovNed1)=1,IF(AND(YEAR(NovNed1+35)=KoledarskoLeto,MONTH(NovNed1+35)=11),NovNed1+35,""),IF(AND(YEAR(NovNed1+42)=KoledarskoLeto,MONTH(NovNed1+42)=11),NovNed1+42,""))</f>
        <v/>
      </c>
      <c r="AB49" s="36"/>
      <c r="AC49" s="39"/>
      <c r="AD49" s="43" t="str">
        <f ca="1">IF(DAY(DecNed1)=1,IF(AND(YEAR(DecNed1+29)=KoledarskoLeto,MONTH(DecNed1+29)=12),DecNed1+29,""),IF(AND(YEAR(DecNed1+36)=KoledarskoLeto,MONTH(DecNed1+36)=12),DecNed1+36,""))</f>
        <v/>
      </c>
      <c r="AE49" s="43" t="str">
        <f ca="1">IF(DAY(DecNed1)=1,IF(AND(YEAR(DecNed1+30)=KoledarskoLeto,MONTH(DecNed1+30)=12),DecNed1+30,""),IF(AND(YEAR(DecNed1+37)=KoledarskoLeto,MONTH(DecNed1+37)=12),DecNed1+37,""))</f>
        <v/>
      </c>
      <c r="AF49" s="43" t="str">
        <f ca="1">IF(DAY(DecNed1)=1,IF(AND(YEAR(DecNed1+31)=KoledarskoLeto,MONTH(DecNed1+31)=12),DecNed1+31,""),IF(AND(YEAR(DecNed1+38)=KoledarskoLeto,MONTH(DecNed1+38)=12),DecNed1+38,""))</f>
        <v/>
      </c>
      <c r="AG49" s="43" t="str">
        <f ca="1">IF(DAY(DecNed1)=1,IF(AND(YEAR(DecNed1+32)=KoledarskoLeto,MONTH(DecNed1+32)=12),DecNed1+32,""),IF(AND(YEAR(DecNed1+39)=KoledarskoLeto,MONTH(DecNed1+39)=12),DecNed1+39,""))</f>
        <v/>
      </c>
      <c r="AH49" s="43" t="str">
        <f ca="1">IF(DAY(DecNed1)=1,IF(AND(YEAR(DecNed1+33)=KoledarskoLeto,MONTH(DecNed1+33)=12),DecNed1+33,""),IF(AND(YEAR(DecNed1+40)=KoledarskoLeto,MONTH(DecNed1+40)=12),DecNed1+40,""))</f>
        <v/>
      </c>
      <c r="AI49" s="43" t="str">
        <f ca="1">IF(DAY(DecNed1)=1,IF(AND(YEAR(DecNed1+34)=KoledarskoLeto,MONTH(DecNed1+34)=12),DecNed1+34,""),IF(AND(YEAR(DecNed1+41)=KoledarskoLeto,MONTH(DecNed1+41)=12),DecNed1+41,""))</f>
        <v/>
      </c>
      <c r="AJ49" s="43" t="str">
        <f ca="1">IF(DAY(DecNed1)=1,IF(AND(YEAR(DecNed1+35)=KoledarskoLeto,MONTH(DecNed1+35)=12),DecNed1+35,""),IF(AND(YEAR(DecNed1+42)=KoledarskoLeto,MONTH(DecNed1+42)=12),DecNed1+42,""))</f>
        <v/>
      </c>
    </row>
    <row r="50" spans="3:36" x14ac:dyDescent="0.2">
      <c r="C50" s="2"/>
      <c r="D50" s="2"/>
      <c r="E50" s="2"/>
      <c r="F50" s="2"/>
      <c r="G50" s="2"/>
      <c r="H50" s="2"/>
      <c r="I50" s="2"/>
      <c r="J50" s="2"/>
      <c r="K50" s="1"/>
      <c r="L50" s="1"/>
      <c r="M50" s="1"/>
      <c r="N50" s="1"/>
      <c r="O50" s="1"/>
      <c r="P50" s="1"/>
      <c r="Q50" s="1"/>
      <c r="R50" s="1"/>
      <c r="S50" s="1"/>
    </row>
  </sheetData>
  <mergeCells count="62">
    <mergeCell ref="AL3:AN3"/>
    <mergeCell ref="D3:AD3"/>
    <mergeCell ref="AE3:AI3"/>
    <mergeCell ref="U19:AI19"/>
    <mergeCell ref="U20:AI20"/>
    <mergeCell ref="H17:Q17"/>
    <mergeCell ref="H18:Q18"/>
    <mergeCell ref="H19:Q19"/>
    <mergeCell ref="H20:Q20"/>
    <mergeCell ref="U6:AI6"/>
    <mergeCell ref="U7:AI7"/>
    <mergeCell ref="U8:AI8"/>
    <mergeCell ref="U9:AI9"/>
    <mergeCell ref="U10:AI10"/>
    <mergeCell ref="U11:AI11"/>
    <mergeCell ref="U12:AI12"/>
    <mergeCell ref="D18:G18"/>
    <mergeCell ref="D19:G19"/>
    <mergeCell ref="D20:G20"/>
    <mergeCell ref="U13:AI13"/>
    <mergeCell ref="U14:AI14"/>
    <mergeCell ref="U15:AI15"/>
    <mergeCell ref="U16:AI16"/>
    <mergeCell ref="U17:AI17"/>
    <mergeCell ref="H6:Q6"/>
    <mergeCell ref="H7:Q7"/>
    <mergeCell ref="H8:Q8"/>
    <mergeCell ref="H9:Q9"/>
    <mergeCell ref="U18:AI18"/>
    <mergeCell ref="D6:G6"/>
    <mergeCell ref="D7:G7"/>
    <mergeCell ref="D8:G8"/>
    <mergeCell ref="D9:G9"/>
    <mergeCell ref="D10:G10"/>
    <mergeCell ref="D22:E22"/>
    <mergeCell ref="D21:E21"/>
    <mergeCell ref="H10:Q10"/>
    <mergeCell ref="H11:Q11"/>
    <mergeCell ref="H12:Q12"/>
    <mergeCell ref="H13:Q13"/>
    <mergeCell ref="H14:Q14"/>
    <mergeCell ref="D11:G11"/>
    <mergeCell ref="D12:G12"/>
    <mergeCell ref="D13:G13"/>
    <mergeCell ref="D14:G14"/>
    <mergeCell ref="D15:G15"/>
    <mergeCell ref="H15:Q15"/>
    <mergeCell ref="H16:Q16"/>
    <mergeCell ref="D16:G16"/>
    <mergeCell ref="D17:G17"/>
    <mergeCell ref="C42:I42"/>
    <mergeCell ref="L42:R42"/>
    <mergeCell ref="U42:AA42"/>
    <mergeCell ref="AD42:AJ42"/>
    <mergeCell ref="C24:I24"/>
    <mergeCell ref="L24:R24"/>
    <mergeCell ref="U24:AA24"/>
    <mergeCell ref="AD24:AJ24"/>
    <mergeCell ref="C33:I33"/>
    <mergeCell ref="L33:R33"/>
    <mergeCell ref="U33:AA33"/>
    <mergeCell ref="AD33:AJ33"/>
  </mergeCells>
  <conditionalFormatting sqref="C26:I31 L26:R31 U26:AA31 AD26:AJ31 C35:I40 L35:R40 U35:AA40 AD35:AJ40 C44:I49 L44:R49 U44:AA49 AD44:AJ49">
    <cfRule type="expression" dxfId="108" priority="1">
      <formula>VLOOKUP(C26,PomembniDatumi,1,FALSE)=C26</formula>
    </cfRule>
  </conditionalFormatting>
  <printOptions horizontalCentered="1"/>
  <pageMargins left="0.5" right="0.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Vrtavka">
              <controlPr defaultSize="0" print="0" autoPict="0" altText="Z gumbom vrtavke spremenite koledarsko leto ali spremenite leto v celici AE3.">
                <anchor moveWithCells="1">
                  <from>
                    <xdr:col>35</xdr:col>
                    <xdr:colOff>0</xdr:colOff>
                    <xdr:row>2</xdr:row>
                    <xdr:rowOff>85725</xdr:rowOff>
                  </from>
                  <to>
                    <xdr:col>35</xdr:col>
                    <xdr:colOff>152400</xdr:colOff>
                    <xdr:row>2</xdr:row>
                    <xdr:rowOff>390525</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3</vt:i4>
      </vt:variant>
    </vt:vector>
  </HeadingPairs>
  <TitlesOfParts>
    <vt:vector size="5" baseType="lpstr">
      <vt:lpstr>Začetek</vt:lpstr>
      <vt:lpstr>Družinski koledar</vt:lpstr>
      <vt:lpstr>KoledarskoLeto</vt:lpstr>
      <vt:lpstr>'Družinski koledar'!Področje_tiskanja</vt:lpstr>
      <vt:lpstr>PomembniDatumi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2018-05-25T12:05:00Z</dcterms:created>
  <dcterms:modified xsi:type="dcterms:W3CDTF">2020-04-16T03:26:06Z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2018-05-25T12:05:05.6807680Z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