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dmin\OneDrive - BCS Loc Test 5\WordTech_20190702_Excel_Win32_Q1\OneDrive - BCS Loc Test 5\WordTech_20190719_Excel_Word_Win32_Q1_P2\04_PreDTP_Done\sl-SI\"/>
    </mc:Choice>
  </mc:AlternateContent>
  <xr:revisionPtr revIDLastSave="0" documentId="13_ncr:3_{47820E5B-8536-4423-83CA-B2EB36B5444D}" xr6:coauthVersionLast="43" xr6:coauthVersionMax="43" xr10:uidLastSave="{00000000-0000-0000-0000-000000000000}"/>
  <bookViews>
    <workbookView xWindow="-120" yWindow="-120" windowWidth="29040" windowHeight="15840" tabRatio="686" xr2:uid="{00000000-000D-0000-FFFF-FFFF00000000}"/>
  </bookViews>
  <sheets>
    <sheet name="Januar" sheetId="4" r:id="rId1"/>
    <sheet name="Februar" sheetId="5" r:id="rId2"/>
    <sheet name="Marec" sheetId="17" r:id="rId3"/>
    <sheet name="April" sheetId="18" r:id="rId4"/>
    <sheet name="Maj" sheetId="19" r:id="rId5"/>
    <sheet name="Junij" sheetId="20" r:id="rId6"/>
    <sheet name="Julij" sheetId="21" r:id="rId7"/>
    <sheet name="Avgust" sheetId="22" r:id="rId8"/>
    <sheet name="September" sheetId="23" r:id="rId9"/>
    <sheet name="Oktober" sheetId="24" r:id="rId10"/>
    <sheet name="November" sheetId="25" r:id="rId11"/>
    <sheet name="December" sheetId="15" r:id="rId12"/>
    <sheet name="Imena zaposlenih" sheetId="16" r:id="rId13"/>
  </sheets>
  <definedNames>
    <definedName name="Ime_tipke">Januar!$B$2</definedName>
    <definedName name="ImeMeseca" localSheetId="3">April!$B$4</definedName>
    <definedName name="ImeMeseca" localSheetId="7">Avgust!$B$4</definedName>
    <definedName name="ImeMeseca" localSheetId="11">December!$B$4</definedName>
    <definedName name="ImeMeseca" localSheetId="1">Februar!$B$4</definedName>
    <definedName name="ImeMeseca" localSheetId="0">Januar!$B$4</definedName>
    <definedName name="ImeMeseca" localSheetId="6">Julij!$B$4</definedName>
    <definedName name="ImeMeseca" localSheetId="5">Junij!$B$4</definedName>
    <definedName name="ImeMeseca" localSheetId="4">Maj!$B$4</definedName>
    <definedName name="ImeMeseca" localSheetId="2">Marec!$B$4</definedName>
    <definedName name="ImeMeseca" localSheetId="10">November!$B$4</definedName>
    <definedName name="ImeMeseca" localSheetId="9">Oktober!$B$4</definedName>
    <definedName name="ImeMeseca" localSheetId="8">September!$B$4</definedName>
    <definedName name="KoledarskoLeto">Januar!$AH$4</definedName>
    <definedName name="Naslov_odsotnosti_stolpca">Januar!$B$1</definedName>
    <definedName name="Naslov1">Januar[[#Headers],[Ime zaposlenega]]</definedName>
    <definedName name="Naslov10">Oktober[[#Headers],[Ime zaposlenega]]</definedName>
    <definedName name="Naslov11">November[[#Headers],[Ime zaposlenega]]</definedName>
    <definedName name="Naslov12">December[[#Headers],[Ime zaposlenega]]</definedName>
    <definedName name="Naslov2">Februar[[#Headers],[Ime zaposlenega]]</definedName>
    <definedName name="Naslov3">Marec[[#Headers],[Ime zaposlenega]]</definedName>
    <definedName name="Naslov4">April[[#Headers],[Ime zaposlenega]]</definedName>
    <definedName name="Naslov5">Maj[[#Headers],[Ime zaposlenega]]</definedName>
    <definedName name="Naslov6">Junij[[#Headers],[Ime zaposlenega]]</definedName>
    <definedName name="Naslov7">Julij[[#Headers],[Ime zaposlenega]]</definedName>
    <definedName name="Naslov8">Avgust[[#Headers],[Ime zaposlenega]]</definedName>
    <definedName name="Naslov9">September[[#Headers],[Ime zaposlenega]]</definedName>
    <definedName name="NaslovStolpca13">ImeZaposlenega[[#Headers],[Imena zaposlenih]]</definedName>
    <definedName name="OznakaTipkeBolniška">Januar!$L$2</definedName>
    <definedName name="OznakaTipkeDopust">Januar!$D$2</definedName>
    <definedName name="OznakaTipkeOsebno">Januar!$H$2</definedName>
    <definedName name="OznakaTipkePoMeri1">Januar!$Q$2</definedName>
    <definedName name="OznakaTipkePoMeri2">Januar!$U$2</definedName>
    <definedName name="_xlnm.Print_Titles" localSheetId="3">April!$4:$6</definedName>
    <definedName name="_xlnm.Print_Titles" localSheetId="7">Avgust!$4:$6</definedName>
    <definedName name="_xlnm.Print_Titles" localSheetId="11">December!$4:$6</definedName>
    <definedName name="_xlnm.Print_Titles" localSheetId="1">Februar!$4:$6</definedName>
    <definedName name="_xlnm.Print_Titles" localSheetId="0">Januar!$4:$6</definedName>
    <definedName name="_xlnm.Print_Titles" localSheetId="6">Julij!$4:$6</definedName>
    <definedName name="_xlnm.Print_Titles" localSheetId="5">Junij!$4:$6</definedName>
    <definedName name="_xlnm.Print_Titles" localSheetId="4">Maj!$4:$6</definedName>
    <definedName name="_xlnm.Print_Titles" localSheetId="2">Marec!$4:$6</definedName>
    <definedName name="_xlnm.Print_Titles" localSheetId="10">November!$4:$6</definedName>
    <definedName name="_xlnm.Print_Titles" localSheetId="9">Oktober!$4:$6</definedName>
    <definedName name="_xlnm.Print_Titles" localSheetId="8">September!$4:$6</definedName>
    <definedName name="TipkaBolniška">Januar!$K$2</definedName>
    <definedName name="TipkaDopust">Januar!$C$2</definedName>
    <definedName name="TipkaOsebno">Januar!$G$2</definedName>
    <definedName name="TipkaPoMeri1">Januar!$P$2</definedName>
    <definedName name="TipkaPoMeri2">Januar!$T$2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5" l="1"/>
  <c r="B12" i="24"/>
  <c r="B12" i="23"/>
  <c r="B12" i="22"/>
  <c r="B12" i="21"/>
  <c r="B12" i="20"/>
  <c r="B12" i="19"/>
  <c r="B12" i="18"/>
  <c r="B12" i="17"/>
  <c r="B12" i="5"/>
  <c r="B12" i="4"/>
  <c r="B12" i="25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21" l="1"/>
  <c r="AH12" i="17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<sst xmlns="http://schemas.openxmlformats.org/spreadsheetml/2006/main" count="643" uniqueCount="65">
  <si>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Razpored odsotnosti zaposlenih</t>
  </si>
  <si>
    <t>Tipka za vrsto odsotnosti</t>
  </si>
  <si>
    <t>Januar</t>
  </si>
  <si>
    <t>Ime zaposlenega</t>
  </si>
  <si>
    <t>Zaposleni 1</t>
  </si>
  <si>
    <t>Zaposleni 2</t>
  </si>
  <si>
    <t>Zaposleni 3</t>
  </si>
  <si>
    <t>Zaposleni 4</t>
  </si>
  <si>
    <t>Zaposleni 5</t>
  </si>
  <si>
    <t>Datumi odsotnosti</t>
  </si>
  <si>
    <t>1</t>
  </si>
  <si>
    <t>Dopust</t>
  </si>
  <si>
    <t>2</t>
  </si>
  <si>
    <t>3</t>
  </si>
  <si>
    <t>4</t>
  </si>
  <si>
    <t>5</t>
  </si>
  <si>
    <t>Osebno</t>
  </si>
  <si>
    <t>6</t>
  </si>
  <si>
    <t>7</t>
  </si>
  <si>
    <t>8</t>
  </si>
  <si>
    <t>9</t>
  </si>
  <si>
    <t>Bolniška odsotnost</t>
  </si>
  <si>
    <t>10</t>
  </si>
  <si>
    <t>11</t>
  </si>
  <si>
    <t>12</t>
  </si>
  <si>
    <t>Po meri 1</t>
  </si>
  <si>
    <t>13</t>
  </si>
  <si>
    <t>14</t>
  </si>
  <si>
    <t>15</t>
  </si>
  <si>
    <t>16</t>
  </si>
  <si>
    <t>Po meri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</si>
  <si>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</si>
  <si>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</si>
  <si>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</si>
  <si>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</si>
  <si>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</si>
  <si>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</si>
  <si>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</si>
  <si>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</si>
  <si>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</si>
  <si>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</si>
  <si>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</si>
  <si>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</si>
  <si>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</si>
  <si>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</si>
  <si>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</si>
  <si>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Vnesite leto:</t>
  </si>
  <si>
    <t>Dni skupaj</t>
  </si>
  <si>
    <t>Februar</t>
  </si>
  <si>
    <t xml:space="preserve"> </t>
  </si>
  <si>
    <t xml:space="preserve">  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</si>
  <si>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</si>
  <si>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</si>
  <si>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</si>
  <si>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</si>
  <si>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</si>
  <si>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</si>
  <si>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</si>
  <si>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</si>
  <si>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</si>
  <si>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</si>
  <si>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Imena zaposlenih</t>
  </si>
  <si>
    <t>D</t>
  </si>
  <si>
    <t>O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</si>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</sst>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;0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20% - Accent1" xfId="15" builtinId="30" customBuiltin="1"/>
    <cellStyle name="20% - Accent2" xfId="44" builtinId="34" customBuiltin="1"/>
    <cellStyle name="20% - Accent3" xfId="21" builtinId="38" customBuiltin="1"/>
    <cellStyle name="20% - Accent4" xfId="7" builtinId="42" customBuiltin="1"/>
    <cellStyle name="20% - Accent5" xfId="47" builtinId="46" customBuiltin="1"/>
    <cellStyle name="20% - Accent6" xfId="11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8" builtinId="43" customBuiltin="1"/>
    <cellStyle name="40% - Accent5" xfId="24" builtinId="47" customBuiltin="1"/>
    <cellStyle name="40% - Accent6" xfId="12" builtinId="51" customBuiltin="1"/>
    <cellStyle name="60% - Accent1" xfId="17" builtinId="32" customBuiltin="1"/>
    <cellStyle name="60% - Accent2" xfId="45" builtinId="36" customBuiltin="1"/>
    <cellStyle name="60% - Accent3" xfId="23" builtinId="40" customBuiltin="1"/>
    <cellStyle name="60% - Accent4" xfId="9" builtinId="44" customBuiltin="1"/>
    <cellStyle name="60% - Accent5" xfId="48" builtinId="48" customBuiltin="1"/>
    <cellStyle name="60% - Accent6" xfId="13" builtinId="52" customBuiltin="1"/>
    <cellStyle name="Accent1" xfId="14" builtinId="29" customBuiltin="1"/>
    <cellStyle name="Accent2" xfId="18" builtinId="33" customBuiltin="1"/>
    <cellStyle name="Accent3" xfId="20" builtinId="37" customBuiltin="1"/>
    <cellStyle name="Accent4" xfId="6" builtinId="41" customBuiltin="1"/>
    <cellStyle name="Accent5" xfId="46" builtinId="45" customBuiltin="1"/>
    <cellStyle name="Accent6" xfId="10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43" builtinId="53" customBuiltin="1"/>
    <cellStyle name="Good" xfId="3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 customBuiltin="1"/>
    <cellStyle name="Note" xfId="42" builtinId="10" customBuiltin="1"/>
    <cellStyle name="Output" xfId="37" builtinId="21" customBuiltin="1"/>
    <cellStyle name="Oznaka" xfId="27" xr:uid="{00000000-0005-0000-0000-000018000000}"/>
    <cellStyle name="Percent" xfId="32" builtinId="5" customBuiltin="1"/>
    <cellStyle name="Title" xfId="1" builtinId="15" customBuiltin="1"/>
    <cellStyle name="Total" xfId="25" builtinId="25" customBuiltin="1"/>
    <cellStyle name="Warning Text" xfId="41" builtinId="11" customBuiltin="1"/>
    <cellStyle name="Zaposleni" xfId="26" xr:uid="{00000000-0005-0000-0000-000013000000}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Tabela odsotnosti zaposlenih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nuar" displayName="Januar" ref="B6:AH12" totalsRowCount="1" headerRowDxfId="883" dataDxfId="882" totalsRowDxfId="881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Ime zaposlenega" totalsRowFunction="custom" dataDxfId="880" totalsRowDxfId="879" dataCellStyle="Zaposleni">
      <totalsRowFormula>"Skupaj za "&amp;ImeMeseca</totalsRowFormula>
    </tableColumn>
    <tableColumn id="2" xr3:uid="{00000000-0010-0000-0000-000002000000}" name="1" totalsRowFunction="custom" dataDxfId="878" totalsRowDxfId="877">
      <totalsRowFormula>SUBTOTAL(103,Januar!$C$7:$C$11)</totalsRowFormula>
    </tableColumn>
    <tableColumn id="3" xr3:uid="{00000000-0010-0000-0000-000003000000}" name="2" totalsRowFunction="custom" dataDxfId="876" totalsRowDxfId="875">
      <totalsRowFormula>SUBTOTAL(103,Januar!$D$7:$D$11)</totalsRowFormula>
    </tableColumn>
    <tableColumn id="4" xr3:uid="{00000000-0010-0000-0000-000004000000}" name="3" totalsRowFunction="custom" dataDxfId="874" totalsRowDxfId="873">
      <totalsRowFormula>SUBTOTAL(103,Januar!$E$7:$E$11)</totalsRowFormula>
    </tableColumn>
    <tableColumn id="5" xr3:uid="{00000000-0010-0000-0000-000005000000}" name="4" totalsRowFunction="custom" dataDxfId="872" totalsRowDxfId="871">
      <totalsRowFormula>SUBTOTAL(103,Januar!$F$7:$F$11)</totalsRowFormula>
    </tableColumn>
    <tableColumn id="6" xr3:uid="{00000000-0010-0000-0000-000006000000}" name="5" totalsRowFunction="custom" totalsRowDxfId="870">
      <totalsRowFormula>SUBTOTAL(103,Januar!$G$7:$G$11)</totalsRowFormula>
    </tableColumn>
    <tableColumn id="7" xr3:uid="{00000000-0010-0000-0000-000007000000}" name="6" totalsRowFunction="custom" dataDxfId="869" totalsRowDxfId="868">
      <totalsRowFormula>SUBTOTAL(103,Januar!$H$7:$H$11)</totalsRowFormula>
    </tableColumn>
    <tableColumn id="8" xr3:uid="{00000000-0010-0000-0000-000008000000}" name="7" totalsRowFunction="custom" dataDxfId="867" totalsRowDxfId="866">
      <totalsRowFormula>SUBTOTAL(103,Januar!$I$7:$I$11)</totalsRowFormula>
    </tableColumn>
    <tableColumn id="9" xr3:uid="{00000000-0010-0000-0000-000009000000}" name="8" totalsRowFunction="custom" dataDxfId="865" totalsRowDxfId="864">
      <totalsRowFormula>SUBTOTAL(103,Januar!$J$7:$J$11)</totalsRowFormula>
    </tableColumn>
    <tableColumn id="10" xr3:uid="{00000000-0010-0000-0000-00000A000000}" name="9" totalsRowFunction="custom" dataDxfId="863" totalsRowDxfId="862">
      <totalsRowFormula>SUBTOTAL(103,Januar!$K$7:$K$11)</totalsRowFormula>
    </tableColumn>
    <tableColumn id="11" xr3:uid="{00000000-0010-0000-0000-00000B000000}" name="10" totalsRowFunction="custom" dataDxfId="861" totalsRowDxfId="860">
      <totalsRowFormula>SUBTOTAL(103,Januar!$L$7:$L$11)</totalsRowFormula>
    </tableColumn>
    <tableColumn id="12" xr3:uid="{00000000-0010-0000-0000-00000C000000}" name="11" totalsRowFunction="custom" dataDxfId="859" totalsRowDxfId="858">
      <totalsRowFormula>SUBTOTAL(103,Januar!$M$7:$M$11)</totalsRowFormula>
    </tableColumn>
    <tableColumn id="13" xr3:uid="{00000000-0010-0000-0000-00000D000000}" name="12" totalsRowFunction="custom" dataDxfId="857" totalsRowDxfId="856">
      <totalsRowFormula>SUBTOTAL(103,Januar!$N$7:$N$11)</totalsRowFormula>
    </tableColumn>
    <tableColumn id="14" xr3:uid="{00000000-0010-0000-0000-00000E000000}" name="13" totalsRowFunction="custom" dataDxfId="855" totalsRowDxfId="854">
      <totalsRowFormula>SUBTOTAL(103,Januar!$O$7:$O$11)</totalsRowFormula>
    </tableColumn>
    <tableColumn id="15" xr3:uid="{00000000-0010-0000-0000-00000F000000}" name="14" totalsRowFunction="custom" dataDxfId="853" totalsRowDxfId="852">
      <totalsRowFormula>SUBTOTAL(103,Januar!$P$7:$P$11)</totalsRowFormula>
    </tableColumn>
    <tableColumn id="16" xr3:uid="{00000000-0010-0000-0000-000010000000}" name="15" totalsRowFunction="custom" dataDxfId="851" totalsRowDxfId="850">
      <totalsRowFormula>SUBTOTAL(103,Januar!$Q$7:$Q$11)</totalsRowFormula>
    </tableColumn>
    <tableColumn id="17" xr3:uid="{00000000-0010-0000-0000-000011000000}" name="16" totalsRowFunction="custom" dataDxfId="849" totalsRowDxfId="848">
      <totalsRowFormula>SUBTOTAL(103,Januar!$R$7:$R$11)</totalsRowFormula>
    </tableColumn>
    <tableColumn id="18" xr3:uid="{00000000-0010-0000-0000-000012000000}" name="17" totalsRowFunction="custom" dataDxfId="847" totalsRowDxfId="846">
      <totalsRowFormula>SUBTOTAL(103,Januar!$S$7:$S$11)</totalsRowFormula>
    </tableColumn>
    <tableColumn id="19" xr3:uid="{00000000-0010-0000-0000-000013000000}" name="18" totalsRowFunction="custom" dataDxfId="845" totalsRowDxfId="844">
      <totalsRowFormula>SUBTOTAL(103,Januar!$T$7:$T$11)</totalsRowFormula>
    </tableColumn>
    <tableColumn id="20" xr3:uid="{00000000-0010-0000-0000-000014000000}" name="19" totalsRowFunction="custom" dataDxfId="843" totalsRowDxfId="842">
      <totalsRowFormula>SUBTOTAL(103,Januar!$U$7:$U$11)</totalsRowFormula>
    </tableColumn>
    <tableColumn id="21" xr3:uid="{00000000-0010-0000-0000-000015000000}" name="20" totalsRowFunction="custom" dataDxfId="841" totalsRowDxfId="840">
      <totalsRowFormula>SUBTOTAL(103,Januar!$V$7:$V$11)</totalsRowFormula>
    </tableColumn>
    <tableColumn id="22" xr3:uid="{00000000-0010-0000-0000-000016000000}" name="21" totalsRowFunction="custom" dataDxfId="839" totalsRowDxfId="838">
      <totalsRowFormula>SUBTOTAL(103,Januar!$W$7:$W$11)</totalsRowFormula>
    </tableColumn>
    <tableColumn id="23" xr3:uid="{00000000-0010-0000-0000-000017000000}" name="22" totalsRowFunction="custom" dataDxfId="837" totalsRowDxfId="836">
      <totalsRowFormula>SUBTOTAL(103,Januar!$X$7:$X$11)</totalsRowFormula>
    </tableColumn>
    <tableColumn id="24" xr3:uid="{00000000-0010-0000-0000-000018000000}" name="23" totalsRowFunction="custom" dataDxfId="835" totalsRowDxfId="834">
      <totalsRowFormula>SUBTOTAL(103,Januar!$Y$7:$Y$11)</totalsRowFormula>
    </tableColumn>
    <tableColumn id="25" xr3:uid="{00000000-0010-0000-0000-000019000000}" name="24" totalsRowFunction="custom" dataDxfId="833" totalsRowDxfId="832">
      <totalsRowFormula>SUBTOTAL(103,Januar!$Z$7:$Z$11)</totalsRowFormula>
    </tableColumn>
    <tableColumn id="26" xr3:uid="{00000000-0010-0000-0000-00001A000000}" name="25" totalsRowFunction="custom" dataDxfId="831" totalsRowDxfId="830">
      <totalsRowFormula>SUBTOTAL(103,Januar!$AA$7:$AA$11)</totalsRowFormula>
    </tableColumn>
    <tableColumn id="27" xr3:uid="{00000000-0010-0000-0000-00001B000000}" name="26" totalsRowFunction="custom" dataDxfId="829" totalsRowDxfId="828">
      <totalsRowFormula>SUBTOTAL(103,Januar!$AB$7:$AB$11)</totalsRowFormula>
    </tableColumn>
    <tableColumn id="28" xr3:uid="{00000000-0010-0000-0000-00001C000000}" name="27" totalsRowFunction="custom" dataDxfId="827" totalsRowDxfId="826">
      <totalsRowFormula>SUBTOTAL(103,Januar!$AC$7:$AC$11)</totalsRowFormula>
    </tableColumn>
    <tableColumn id="29" xr3:uid="{00000000-0010-0000-0000-00001D000000}" name="28" totalsRowFunction="custom" dataDxfId="825" totalsRowDxfId="824">
      <totalsRowFormula>SUBTOTAL(103,Januar!$AD$7:$AD$11)</totalsRowFormula>
    </tableColumn>
    <tableColumn id="30" xr3:uid="{00000000-0010-0000-0000-00001E000000}" name="29" totalsRowFunction="custom" dataDxfId="823" totalsRowDxfId="822">
      <totalsRowFormula>SUBTOTAL(103,Januar!$AE$7:$AE$11)</totalsRowFormula>
    </tableColumn>
    <tableColumn id="31" xr3:uid="{00000000-0010-0000-0000-00001F000000}" name="30" totalsRowFunction="custom" dataDxfId="821" totalsRowDxfId="820">
      <totalsRowFormula>SUBTOTAL(103,Januar!$AF$7:$AF$11)</totalsRowFormula>
    </tableColumn>
    <tableColumn id="32" xr3:uid="{00000000-0010-0000-0000-000020000000}" name="31" totalsRowFunction="custom" dataDxfId="819" totalsRowDxfId="818">
      <totalsRowFormula>SUBTOTAL(103,Januar!$AG$7:$AG$11)</totalsRowFormula>
    </tableColumn>
    <tableColumn id="33" xr3:uid="{00000000-0010-0000-0000-000021000000}" name="Dni skupaj" totalsRowFunction="sum" dataDxfId="817" totalsRowDxfId="816">
      <calculatedColumnFormula>COUNTA(Januar!$C7:$AG7)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Oktober" displayName="Oktober" ref="B6:AH12" totalsRowCount="1" headerRowDxfId="216" dataDxfId="215" totalsRowDxfId="214">
  <tableColumns count="33">
    <tableColumn id="1" xr3:uid="{00000000-0010-0000-0900-000001000000}" name="Ime zaposlenega" totalsRowFunction="custom" dataDxfId="213" totalsRowDxfId="212" dataCellStyle="Zaposleni">
      <totalsRowFormula>"Skupaj za "&amp;ImeMeseca</totalsRowFormula>
    </tableColumn>
    <tableColumn id="2" xr3:uid="{00000000-0010-0000-0900-000002000000}" name="1" totalsRowFunction="count" dataDxfId="211" totalsRowDxfId="210"/>
    <tableColumn id="3" xr3:uid="{00000000-0010-0000-0900-000003000000}" name="2" totalsRowFunction="count" dataDxfId="209" totalsRowDxfId="208"/>
    <tableColumn id="4" xr3:uid="{00000000-0010-0000-0900-000004000000}" name="3" totalsRowFunction="count" dataDxfId="207" totalsRowDxfId="206"/>
    <tableColumn id="5" xr3:uid="{00000000-0010-0000-0900-000005000000}" name="4" totalsRowFunction="count" dataDxfId="205" totalsRowDxfId="204"/>
    <tableColumn id="6" xr3:uid="{00000000-0010-0000-0900-000006000000}" name="5" totalsRowFunction="count" dataDxfId="203" totalsRowDxfId="202"/>
    <tableColumn id="7" xr3:uid="{00000000-0010-0000-0900-000007000000}" name="6" totalsRowFunction="count" dataDxfId="201" totalsRowDxfId="200"/>
    <tableColumn id="8" xr3:uid="{00000000-0010-0000-0900-000008000000}" name="7" totalsRowFunction="count" dataDxfId="199" totalsRowDxfId="198"/>
    <tableColumn id="9" xr3:uid="{00000000-0010-0000-0900-000009000000}" name="8" totalsRowFunction="count" dataDxfId="197" totalsRowDxfId="196"/>
    <tableColumn id="10" xr3:uid="{00000000-0010-0000-0900-00000A000000}" name="9" totalsRowFunction="count" dataDxfId="195" totalsRowDxfId="194"/>
    <tableColumn id="11" xr3:uid="{00000000-0010-0000-0900-00000B000000}" name="10" totalsRowFunction="count" dataDxfId="193" totalsRowDxfId="192"/>
    <tableColumn id="12" xr3:uid="{00000000-0010-0000-0900-00000C000000}" name="11" totalsRowFunction="count" dataDxfId="191" totalsRowDxfId="190"/>
    <tableColumn id="13" xr3:uid="{00000000-0010-0000-0900-00000D000000}" name="12" totalsRowFunction="count" dataDxfId="189" totalsRowDxfId="188"/>
    <tableColumn id="14" xr3:uid="{00000000-0010-0000-0900-00000E000000}" name="13" totalsRowFunction="count" dataDxfId="187" totalsRowDxfId="186"/>
    <tableColumn id="15" xr3:uid="{00000000-0010-0000-0900-00000F000000}" name="14" totalsRowFunction="count" dataDxfId="185" totalsRowDxfId="184"/>
    <tableColumn id="16" xr3:uid="{00000000-0010-0000-0900-000010000000}" name="15" totalsRowFunction="count" dataDxfId="183" totalsRowDxfId="182"/>
    <tableColumn id="17" xr3:uid="{00000000-0010-0000-0900-000011000000}" name="16" totalsRowFunction="count" dataDxfId="181" totalsRowDxfId="180"/>
    <tableColumn id="18" xr3:uid="{00000000-0010-0000-0900-000012000000}" name="17" totalsRowFunction="count" dataDxfId="179" totalsRowDxfId="178"/>
    <tableColumn id="19" xr3:uid="{00000000-0010-0000-0900-000013000000}" name="18" totalsRowFunction="count" dataDxfId="177" totalsRowDxfId="176"/>
    <tableColumn id="20" xr3:uid="{00000000-0010-0000-0900-000014000000}" name="19" totalsRowFunction="count" dataDxfId="175" totalsRowDxfId="174"/>
    <tableColumn id="21" xr3:uid="{00000000-0010-0000-0900-000015000000}" name="20" totalsRowFunction="count" dataDxfId="173" totalsRowDxfId="172"/>
    <tableColumn id="22" xr3:uid="{00000000-0010-0000-0900-000016000000}" name="21" totalsRowFunction="count" dataDxfId="171" totalsRowDxfId="170"/>
    <tableColumn id="23" xr3:uid="{00000000-0010-0000-0900-000017000000}" name="22" totalsRowFunction="count" dataDxfId="169" totalsRowDxfId="168"/>
    <tableColumn id="24" xr3:uid="{00000000-0010-0000-0900-000018000000}" name="23" totalsRowFunction="count" dataDxfId="167" totalsRowDxfId="166"/>
    <tableColumn id="25" xr3:uid="{00000000-0010-0000-0900-000019000000}" name="24" totalsRowFunction="count" dataDxfId="165" totalsRowDxfId="164"/>
    <tableColumn id="26" xr3:uid="{00000000-0010-0000-0900-00001A000000}" name="25" totalsRowFunction="count" dataDxfId="163" totalsRowDxfId="162"/>
    <tableColumn id="27" xr3:uid="{00000000-0010-0000-0900-00001B000000}" name="26" totalsRowFunction="count" dataDxfId="161" totalsRowDxfId="160"/>
    <tableColumn id="28" xr3:uid="{00000000-0010-0000-0900-00001C000000}" name="27" totalsRowFunction="count" dataDxfId="159" totalsRowDxfId="158"/>
    <tableColumn id="29" xr3:uid="{00000000-0010-0000-0900-00001D000000}" name="28" totalsRowFunction="count" dataDxfId="157" totalsRowDxfId="156"/>
    <tableColumn id="30" xr3:uid="{00000000-0010-0000-0900-00001E000000}" name="29" totalsRowFunction="count" dataDxfId="155" totalsRowDxfId="154"/>
    <tableColumn id="31" xr3:uid="{00000000-0010-0000-0900-00001F000000}" name="30" totalsRowFunction="count" dataDxfId="153" totalsRowDxfId="152"/>
    <tableColumn id="32" xr3:uid="{00000000-0010-0000-0900-000020000000}" name="31" totalsRowFunction="count" dataDxfId="151" totalsRowDxfId="150"/>
    <tableColumn id="33" xr3:uid="{00000000-0010-0000-0900-000021000000}" name="Dni skupaj" totalsRowFunction="sum" dataDxfId="149" totalsRowDxfId="148">
      <calculatedColumnFormula>COUNTA(Oktober[[#This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November" displayName="November" ref="B6:AH12" totalsRowCount="1" headerRowDxfId="142" dataDxfId="141" totalsRowDxfId="140">
  <tableColumns count="33">
    <tableColumn id="1" xr3:uid="{00000000-0010-0000-0A00-000001000000}" name="Ime zaposlenega" totalsRowFunction="custom" dataDxfId="139" totalsRowDxfId="138" dataCellStyle="Zaposleni">
      <totalsRowFormula>"Skupaj za "&amp;ImeMeseca</totalsRowFormula>
    </tableColumn>
    <tableColumn id="2" xr3:uid="{00000000-0010-0000-0A00-000002000000}" name="1" totalsRowFunction="count" dataDxfId="137" totalsRowDxfId="136"/>
    <tableColumn id="3" xr3:uid="{00000000-0010-0000-0A00-000003000000}" name="2" totalsRowFunction="count" dataDxfId="135" totalsRowDxfId="134"/>
    <tableColumn id="4" xr3:uid="{00000000-0010-0000-0A00-000004000000}" name="3" totalsRowFunction="count" dataDxfId="133" totalsRowDxfId="132"/>
    <tableColumn id="5" xr3:uid="{00000000-0010-0000-0A00-000005000000}" name="4" totalsRowFunction="count" dataDxfId="131" totalsRowDxfId="130"/>
    <tableColumn id="6" xr3:uid="{00000000-0010-0000-0A00-000006000000}" name="5" totalsRowFunction="count" dataDxfId="129" totalsRowDxfId="128"/>
    <tableColumn id="7" xr3:uid="{00000000-0010-0000-0A00-000007000000}" name="6" totalsRowFunction="count" dataDxfId="127" totalsRowDxfId="126"/>
    <tableColumn id="8" xr3:uid="{00000000-0010-0000-0A00-000008000000}" name="7" totalsRowFunction="count" dataDxfId="125" totalsRowDxfId="124"/>
    <tableColumn id="9" xr3:uid="{00000000-0010-0000-0A00-000009000000}" name="8" totalsRowFunction="count" dataDxfId="123" totalsRowDxfId="122"/>
    <tableColumn id="10" xr3:uid="{00000000-0010-0000-0A00-00000A000000}" name="9" totalsRowFunction="count" dataDxfId="121" totalsRowDxfId="120"/>
    <tableColumn id="11" xr3:uid="{00000000-0010-0000-0A00-00000B000000}" name="10" totalsRowFunction="count" dataDxfId="119" totalsRowDxfId="118"/>
    <tableColumn id="12" xr3:uid="{00000000-0010-0000-0A00-00000C000000}" name="11" totalsRowFunction="count" dataDxfId="117" totalsRowDxfId="116"/>
    <tableColumn id="13" xr3:uid="{00000000-0010-0000-0A00-00000D000000}" name="12" totalsRowFunction="count" dataDxfId="115" totalsRowDxfId="114"/>
    <tableColumn id="14" xr3:uid="{00000000-0010-0000-0A00-00000E000000}" name="13" totalsRowFunction="count" dataDxfId="113" totalsRowDxfId="112"/>
    <tableColumn id="15" xr3:uid="{00000000-0010-0000-0A00-00000F000000}" name="14" totalsRowFunction="count" dataDxfId="111" totalsRowDxfId="110"/>
    <tableColumn id="16" xr3:uid="{00000000-0010-0000-0A00-000010000000}" name="15" totalsRowFunction="count" dataDxfId="109" totalsRowDxfId="108"/>
    <tableColumn id="17" xr3:uid="{00000000-0010-0000-0A00-000011000000}" name="16" totalsRowFunction="count" dataDxfId="107" totalsRowDxfId="106"/>
    <tableColumn id="18" xr3:uid="{00000000-0010-0000-0A00-000012000000}" name="17" totalsRowFunction="count" dataDxfId="105" totalsRowDxfId="104"/>
    <tableColumn id="19" xr3:uid="{00000000-0010-0000-0A00-000013000000}" name="18" totalsRowFunction="count" dataDxfId="103" totalsRowDxfId="102"/>
    <tableColumn id="20" xr3:uid="{00000000-0010-0000-0A00-000014000000}" name="19" totalsRowFunction="count" dataDxfId="101" totalsRowDxfId="100"/>
    <tableColumn id="21" xr3:uid="{00000000-0010-0000-0A00-000015000000}" name="20" totalsRowFunction="count" dataDxfId="99" totalsRowDxfId="98"/>
    <tableColumn id="22" xr3:uid="{00000000-0010-0000-0A00-000016000000}" name="21" totalsRowFunction="count" dataDxfId="97" totalsRowDxfId="96"/>
    <tableColumn id="23" xr3:uid="{00000000-0010-0000-0A00-000017000000}" name="22" totalsRowFunction="count" dataDxfId="95" totalsRowDxfId="94"/>
    <tableColumn id="24" xr3:uid="{00000000-0010-0000-0A00-000018000000}" name="23" totalsRowFunction="count" dataDxfId="93" totalsRowDxfId="92"/>
    <tableColumn id="25" xr3:uid="{00000000-0010-0000-0A00-000019000000}" name="24" totalsRowFunction="count" dataDxfId="91" totalsRowDxfId="90"/>
    <tableColumn id="26" xr3:uid="{00000000-0010-0000-0A00-00001A000000}" name="25" totalsRowFunction="count" dataDxfId="89" totalsRowDxfId="88"/>
    <tableColumn id="27" xr3:uid="{00000000-0010-0000-0A00-00001B000000}" name="26" totalsRowFunction="count" dataDxfId="87" totalsRowDxfId="86"/>
    <tableColumn id="28" xr3:uid="{00000000-0010-0000-0A00-00001C000000}" name="27" totalsRowFunction="count" dataDxfId="85" totalsRowDxfId="84"/>
    <tableColumn id="29" xr3:uid="{00000000-0010-0000-0A00-00001D000000}" name="28" totalsRowFunction="count" dataDxfId="83" totalsRowDxfId="82"/>
    <tableColumn id="30" xr3:uid="{00000000-0010-0000-0A00-00001E000000}" name="29" totalsRowFunction="count" dataDxfId="81" totalsRowDxfId="80"/>
    <tableColumn id="31" xr3:uid="{00000000-0010-0000-0A00-00001F000000}" name="30" totalsRowFunction="count" dataDxfId="79" totalsRowDxfId="78"/>
    <tableColumn id="32" xr3:uid="{00000000-0010-0000-0A00-000020000000}" name=" " totalsRowFunction="count" dataDxfId="77" totalsRowDxfId="76"/>
    <tableColumn id="33" xr3:uid="{00000000-0010-0000-0A00-000021000000}" name="Dni skupaj" totalsRowFunction="sum" dataDxfId="75" totalsRowDxfId="74">
      <calculatedColumnFormula>COUNTA(November[[#This Row],[1]:[30]])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er" displayName="December" ref="B6:AH12" totalsRowCount="1" headerRowDxfId="68" dataDxfId="67" totalsRowDxfId="66">
  <tableColumns count="33">
    <tableColumn id="1" xr3:uid="{00000000-0010-0000-0B00-000001000000}" name="Ime zaposlenega" totalsRowFunction="custom" dataDxfId="65" totalsRowDxfId="64" dataCellStyle="Zaposleni">
      <totalsRowFormula>"Skupaj za "&amp;ImeMeseca</totalsRowFormula>
    </tableColumn>
    <tableColumn id="2" xr3:uid="{00000000-0010-0000-0B00-000002000000}" name="1" totalsRowFunction="count" dataDxfId="63" totalsRowDxfId="62"/>
    <tableColumn id="3" xr3:uid="{00000000-0010-0000-0B00-000003000000}" name="2" totalsRowFunction="count" dataDxfId="61" totalsRowDxfId="60"/>
    <tableColumn id="4" xr3:uid="{00000000-0010-0000-0B00-000004000000}" name="3" totalsRowFunction="count" dataDxfId="59" totalsRowDxfId="58"/>
    <tableColumn id="5" xr3:uid="{00000000-0010-0000-0B00-000005000000}" name="4" totalsRowFunction="count" dataDxfId="57" totalsRowDxfId="56"/>
    <tableColumn id="6" xr3:uid="{00000000-0010-0000-0B00-000006000000}" name="5" totalsRowFunction="count" dataDxfId="55" totalsRowDxfId="54"/>
    <tableColumn id="7" xr3:uid="{00000000-0010-0000-0B00-000007000000}" name="6" totalsRowFunction="count" dataDxfId="53" totalsRowDxfId="52"/>
    <tableColumn id="8" xr3:uid="{00000000-0010-0000-0B00-000008000000}" name="7" totalsRowFunction="count" dataDxfId="51" totalsRowDxfId="50"/>
    <tableColumn id="9" xr3:uid="{00000000-0010-0000-0B00-000009000000}" name="8" totalsRowFunction="count" dataDxfId="49" totalsRowDxfId="48"/>
    <tableColumn id="10" xr3:uid="{00000000-0010-0000-0B00-00000A000000}" name="9" totalsRowFunction="count" dataDxfId="47" totalsRowDxfId="46"/>
    <tableColumn id="11" xr3:uid="{00000000-0010-0000-0B00-00000B000000}" name="10" totalsRowFunction="count" dataDxfId="45" totalsRowDxfId="44"/>
    <tableColumn id="12" xr3:uid="{00000000-0010-0000-0B00-00000C000000}" name="11" totalsRowFunction="count" dataDxfId="43" totalsRowDxfId="42"/>
    <tableColumn id="13" xr3:uid="{00000000-0010-0000-0B00-00000D000000}" name="12" totalsRowFunction="count" dataDxfId="41" totalsRowDxfId="40"/>
    <tableColumn id="14" xr3:uid="{00000000-0010-0000-0B00-00000E000000}" name="13" totalsRowFunction="count" dataDxfId="39" totalsRowDxfId="38"/>
    <tableColumn id="15" xr3:uid="{00000000-0010-0000-0B00-00000F000000}" name="14" totalsRowFunction="count" dataDxfId="37" totalsRowDxfId="36"/>
    <tableColumn id="16" xr3:uid="{00000000-0010-0000-0B00-000010000000}" name="15" totalsRowFunction="count" dataDxfId="35" totalsRowDxfId="34"/>
    <tableColumn id="17" xr3:uid="{00000000-0010-0000-0B00-000011000000}" name="16" totalsRowFunction="count" dataDxfId="33" totalsRowDxfId="32"/>
    <tableColumn id="18" xr3:uid="{00000000-0010-0000-0B00-000012000000}" name="17" totalsRowFunction="count" dataDxfId="31" totalsRowDxfId="30"/>
    <tableColumn id="19" xr3:uid="{00000000-0010-0000-0B00-000013000000}" name="18" totalsRowFunction="count" dataDxfId="29" totalsRowDxfId="28"/>
    <tableColumn id="20" xr3:uid="{00000000-0010-0000-0B00-000014000000}" name="19" totalsRowFunction="count" dataDxfId="27" totalsRowDxfId="26"/>
    <tableColumn id="21" xr3:uid="{00000000-0010-0000-0B00-000015000000}" name="20" totalsRowFunction="count" dataDxfId="25" totalsRowDxfId="24"/>
    <tableColumn id="22" xr3:uid="{00000000-0010-0000-0B00-000016000000}" name="21" totalsRowFunction="count" dataDxfId="23" totalsRowDxfId="22"/>
    <tableColumn id="23" xr3:uid="{00000000-0010-0000-0B00-000017000000}" name="22" totalsRowFunction="count" dataDxfId="21" totalsRowDxfId="20"/>
    <tableColumn id="24" xr3:uid="{00000000-0010-0000-0B00-000018000000}" name="23" totalsRowFunction="count" dataDxfId="19" totalsRowDxfId="18"/>
    <tableColumn id="25" xr3:uid="{00000000-0010-0000-0B00-000019000000}" name="24" totalsRowFunction="count" dataDxfId="17" totalsRowDxfId="16"/>
    <tableColumn id="26" xr3:uid="{00000000-0010-0000-0B00-00001A000000}" name="25" totalsRowFunction="count" dataDxfId="15" totalsRowDxfId="14"/>
    <tableColumn id="27" xr3:uid="{00000000-0010-0000-0B00-00001B000000}" name="26" totalsRowFunction="count" dataDxfId="13" totalsRowDxfId="12"/>
    <tableColumn id="28" xr3:uid="{00000000-0010-0000-0B00-00001C000000}" name="27" totalsRowFunction="count" dataDxfId="11" totalsRowDxfId="10"/>
    <tableColumn id="29" xr3:uid="{00000000-0010-0000-0B00-00001D000000}" name="28" totalsRowFunction="count" dataDxfId="9" totalsRowDxfId="8"/>
    <tableColumn id="30" xr3:uid="{00000000-0010-0000-0B00-00001E000000}" name="29" totalsRowFunction="count" dataDxfId="7" totalsRowDxfId="6"/>
    <tableColumn id="31" xr3:uid="{00000000-0010-0000-0B00-00001F000000}" name="30" totalsRowFunction="count" dataDxfId="5" totalsRowDxfId="4"/>
    <tableColumn id="32" xr3:uid="{00000000-0010-0000-0B00-000020000000}" name="31" totalsRowFunction="count" dataDxfId="3" totalsRowDxfId="2"/>
    <tableColumn id="33" xr3:uid="{00000000-0010-0000-0B00-000021000000}" name="Dni skupaj" totalsRowFunction="sum" dataDxfId="1" totalsRowDxfId="0">
      <calculatedColumnFormula>COUNTA(December[[#This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Ponuja seznam imen in datumov na koledarju za beleženje odsotnosti zaposlenih in določene vrste odsotnosti, na primer V = dopust, S = bolniška odsotnost, P = osebni razlogi in dve označbi mest za vnose po meri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ImeZaposlenega" displayName="ImeZaposlenega" ref="B3:B8" totalsRowShown="0">
  <autoFilter ref="B3:B8" xr:uid="{00000000-0009-0000-0100-00000D000000}"/>
  <tableColumns count="1">
    <tableColumn id="1" xr3:uid="{00000000-0010-0000-0C00-000001000000}" name="Imena zaposlenih" dataCellStyle="Zaposleni"/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Ta imena se uporabijo kot možnosti v stolpcu B v tabeli odsotnosti za vsak mesec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" displayName="Februar" ref="B6:AH12" totalsRowCount="1" headerRowDxfId="808" dataDxfId="807" totalsRowDxfId="806">
  <tableColumns count="33">
    <tableColumn id="1" xr3:uid="{00000000-0010-0000-0100-000001000000}" name="Ime zaposlenega" totalsRowFunction="custom" dataDxfId="805" totalsRowDxfId="804" dataCellStyle="Zaposleni">
      <totalsRowFormula>"Skupaj za "&amp;ImeMeseca</totalsRowFormula>
    </tableColumn>
    <tableColumn id="2" xr3:uid="{00000000-0010-0000-0100-000002000000}" name="1" totalsRowFunction="count" dataDxfId="803" totalsRowDxfId="802"/>
    <tableColumn id="3" xr3:uid="{00000000-0010-0000-0100-000003000000}" name="2" totalsRowFunction="count" dataDxfId="801" totalsRowDxfId="800"/>
    <tableColumn id="4" xr3:uid="{00000000-0010-0000-0100-000004000000}" name="3" totalsRowFunction="count" dataDxfId="799" totalsRowDxfId="798"/>
    <tableColumn id="5" xr3:uid="{00000000-0010-0000-0100-000005000000}" name="4" totalsRowFunction="count" dataDxfId="797" totalsRowDxfId="796"/>
    <tableColumn id="6" xr3:uid="{00000000-0010-0000-0100-000006000000}" name="5" totalsRowFunction="count" dataDxfId="795" totalsRowDxfId="794"/>
    <tableColumn id="7" xr3:uid="{00000000-0010-0000-0100-000007000000}" name="6" totalsRowFunction="count" dataDxfId="793" totalsRowDxfId="792"/>
    <tableColumn id="8" xr3:uid="{00000000-0010-0000-0100-000008000000}" name="7" totalsRowFunction="count" dataDxfId="791" totalsRowDxfId="790"/>
    <tableColumn id="9" xr3:uid="{00000000-0010-0000-0100-000009000000}" name="8" totalsRowFunction="count" dataDxfId="789" totalsRowDxfId="788"/>
    <tableColumn id="10" xr3:uid="{00000000-0010-0000-0100-00000A000000}" name="9" totalsRowFunction="count" dataDxfId="787" totalsRowDxfId="786"/>
    <tableColumn id="11" xr3:uid="{00000000-0010-0000-0100-00000B000000}" name="10" totalsRowFunction="count" dataDxfId="785" totalsRowDxfId="784"/>
    <tableColumn id="12" xr3:uid="{00000000-0010-0000-0100-00000C000000}" name="11" totalsRowFunction="count" dataDxfId="783" totalsRowDxfId="782"/>
    <tableColumn id="13" xr3:uid="{00000000-0010-0000-0100-00000D000000}" name="12" totalsRowFunction="count" dataDxfId="781" totalsRowDxfId="780"/>
    <tableColumn id="14" xr3:uid="{00000000-0010-0000-0100-00000E000000}" name="13" totalsRowFunction="count" dataDxfId="779" totalsRowDxfId="778"/>
    <tableColumn id="15" xr3:uid="{00000000-0010-0000-0100-00000F000000}" name="14" totalsRowFunction="count" dataDxfId="777" totalsRowDxfId="776"/>
    <tableColumn id="16" xr3:uid="{00000000-0010-0000-0100-000010000000}" name="15" totalsRowFunction="count" dataDxfId="775" totalsRowDxfId="774"/>
    <tableColumn id="17" xr3:uid="{00000000-0010-0000-0100-000011000000}" name="16" totalsRowFunction="count" dataDxfId="773" totalsRowDxfId="772"/>
    <tableColumn id="18" xr3:uid="{00000000-0010-0000-0100-000012000000}" name="17" totalsRowFunction="count" dataDxfId="771" totalsRowDxfId="770"/>
    <tableColumn id="19" xr3:uid="{00000000-0010-0000-0100-000013000000}" name="18" totalsRowFunction="count" dataDxfId="769" totalsRowDxfId="768"/>
    <tableColumn id="20" xr3:uid="{00000000-0010-0000-0100-000014000000}" name="19" totalsRowFunction="count" dataDxfId="767" totalsRowDxfId="766"/>
    <tableColumn id="21" xr3:uid="{00000000-0010-0000-0100-000015000000}" name="20" totalsRowFunction="count" dataDxfId="765" totalsRowDxfId="764"/>
    <tableColumn id="22" xr3:uid="{00000000-0010-0000-0100-000016000000}" name="21" totalsRowFunction="count" dataDxfId="763" totalsRowDxfId="762"/>
    <tableColumn id="23" xr3:uid="{00000000-0010-0000-0100-000017000000}" name="22" totalsRowFunction="count" dataDxfId="761" totalsRowDxfId="760"/>
    <tableColumn id="24" xr3:uid="{00000000-0010-0000-0100-000018000000}" name="23" totalsRowFunction="count" dataDxfId="759" totalsRowDxfId="758"/>
    <tableColumn id="25" xr3:uid="{00000000-0010-0000-0100-000019000000}" name="24" totalsRowFunction="count" dataDxfId="757" totalsRowDxfId="756"/>
    <tableColumn id="26" xr3:uid="{00000000-0010-0000-0100-00001A000000}" name="25" totalsRowFunction="count" dataDxfId="755" totalsRowDxfId="754"/>
    <tableColumn id="27" xr3:uid="{00000000-0010-0000-0100-00001B000000}" name="26" totalsRowFunction="count" dataDxfId="753" totalsRowDxfId="752"/>
    <tableColumn id="28" xr3:uid="{00000000-0010-0000-0100-00001C000000}" name="27" totalsRowFunction="count" dataDxfId="751" totalsRowDxfId="750"/>
    <tableColumn id="29" xr3:uid="{00000000-0010-0000-0100-00001D000000}" name="28" totalsRowFunction="count" dataDxfId="749" totalsRowDxfId="748"/>
    <tableColumn id="30" xr3:uid="{00000000-0010-0000-0100-00001E000000}" name="29" totalsRowFunction="count" dataDxfId="747" totalsRowDxfId="746"/>
    <tableColumn id="31" xr3:uid="{00000000-0010-0000-0100-00001F000000}" name=" " dataDxfId="745" totalsRowDxfId="744"/>
    <tableColumn id="32" xr3:uid="{00000000-0010-0000-0100-000020000000}" name="  " dataDxfId="743" totalsRowDxfId="742"/>
    <tableColumn id="33" xr3:uid="{00000000-0010-0000-0100-000021000000}" name="Dni skupaj" totalsRowFunction="sum" dataDxfId="741" totalsRowDxfId="740">
      <calculatedColumnFormula>COUNTA(Februar[[#This Row],[1]:[29]])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Marec" displayName="Marec" ref="B6:AH12" totalsRowCount="1" headerRowDxfId="734" dataDxfId="733" totalsRowDxfId="732">
  <tableColumns count="33">
    <tableColumn id="1" xr3:uid="{00000000-0010-0000-0200-000001000000}" name="Ime zaposlenega" totalsRowFunction="custom" dataDxfId="731" totalsRowDxfId="730" dataCellStyle="Zaposleni">
      <totalsRowFormula>"Skupaj za "&amp;ImeMeseca</totalsRowFormula>
    </tableColumn>
    <tableColumn id="2" xr3:uid="{00000000-0010-0000-0200-000002000000}" name="1" totalsRowFunction="count" dataDxfId="729" totalsRowDxfId="728"/>
    <tableColumn id="3" xr3:uid="{00000000-0010-0000-0200-000003000000}" name="2" totalsRowFunction="count" dataDxfId="727" totalsRowDxfId="726"/>
    <tableColumn id="4" xr3:uid="{00000000-0010-0000-0200-000004000000}" name="3" totalsRowFunction="count" dataDxfId="725" totalsRowDxfId="724"/>
    <tableColumn id="5" xr3:uid="{00000000-0010-0000-0200-000005000000}" name="4" totalsRowFunction="count" dataDxfId="723" totalsRowDxfId="722"/>
    <tableColumn id="6" xr3:uid="{00000000-0010-0000-0200-000006000000}" name="5" totalsRowFunction="count" dataDxfId="721" totalsRowDxfId="720"/>
    <tableColumn id="7" xr3:uid="{00000000-0010-0000-0200-000007000000}" name="6" totalsRowFunction="count" dataDxfId="719" totalsRowDxfId="718"/>
    <tableColumn id="8" xr3:uid="{00000000-0010-0000-0200-000008000000}" name="7" totalsRowFunction="count" dataDxfId="717" totalsRowDxfId="716"/>
    <tableColumn id="9" xr3:uid="{00000000-0010-0000-0200-000009000000}" name="8" totalsRowFunction="count" dataDxfId="715" totalsRowDxfId="714"/>
    <tableColumn id="10" xr3:uid="{00000000-0010-0000-0200-00000A000000}" name="9" totalsRowFunction="count" dataDxfId="713" totalsRowDxfId="712"/>
    <tableColumn id="11" xr3:uid="{00000000-0010-0000-0200-00000B000000}" name="10" totalsRowFunction="count" dataDxfId="711" totalsRowDxfId="710"/>
    <tableColumn id="12" xr3:uid="{00000000-0010-0000-0200-00000C000000}" name="11" totalsRowFunction="count" dataDxfId="709" totalsRowDxfId="708"/>
    <tableColumn id="13" xr3:uid="{00000000-0010-0000-0200-00000D000000}" name="12" totalsRowFunction="count" dataDxfId="707" totalsRowDxfId="706"/>
    <tableColumn id="14" xr3:uid="{00000000-0010-0000-0200-00000E000000}" name="13" totalsRowFunction="count" dataDxfId="705" totalsRowDxfId="704"/>
    <tableColumn id="15" xr3:uid="{00000000-0010-0000-0200-00000F000000}" name="14" totalsRowFunction="count" dataDxfId="703" totalsRowDxfId="702"/>
    <tableColumn id="16" xr3:uid="{00000000-0010-0000-0200-000010000000}" name="15" totalsRowFunction="count" dataDxfId="701" totalsRowDxfId="700"/>
    <tableColumn id="17" xr3:uid="{00000000-0010-0000-0200-000011000000}" name="16" totalsRowFunction="count" dataDxfId="699" totalsRowDxfId="698"/>
    <tableColumn id="18" xr3:uid="{00000000-0010-0000-0200-000012000000}" name="17" totalsRowFunction="count" dataDxfId="697" totalsRowDxfId="696"/>
    <tableColumn id="19" xr3:uid="{00000000-0010-0000-0200-000013000000}" name="18" totalsRowFunction="count" dataDxfId="695" totalsRowDxfId="694"/>
    <tableColumn id="20" xr3:uid="{00000000-0010-0000-0200-000014000000}" name="19" totalsRowFunction="count" dataDxfId="693" totalsRowDxfId="692"/>
    <tableColumn id="21" xr3:uid="{00000000-0010-0000-0200-000015000000}" name="20" totalsRowFunction="count" dataDxfId="691" totalsRowDxfId="690"/>
    <tableColumn id="22" xr3:uid="{00000000-0010-0000-0200-000016000000}" name="21" totalsRowFunction="count" dataDxfId="689" totalsRowDxfId="688"/>
    <tableColumn id="23" xr3:uid="{00000000-0010-0000-0200-000017000000}" name="22" totalsRowFunction="count" dataDxfId="687" totalsRowDxfId="686"/>
    <tableColumn id="24" xr3:uid="{00000000-0010-0000-0200-000018000000}" name="23" totalsRowFunction="count" dataDxfId="685" totalsRowDxfId="684"/>
    <tableColumn id="25" xr3:uid="{00000000-0010-0000-0200-000019000000}" name="24" totalsRowFunction="count" dataDxfId="683" totalsRowDxfId="682"/>
    <tableColumn id="26" xr3:uid="{00000000-0010-0000-0200-00001A000000}" name="25" totalsRowFunction="count" dataDxfId="681" totalsRowDxfId="680"/>
    <tableColumn id="27" xr3:uid="{00000000-0010-0000-0200-00001B000000}" name="26" totalsRowFunction="count" dataDxfId="679" totalsRowDxfId="678"/>
    <tableColumn id="28" xr3:uid="{00000000-0010-0000-0200-00001C000000}" name="27" totalsRowFunction="count" dataDxfId="677" totalsRowDxfId="676"/>
    <tableColumn id="29" xr3:uid="{00000000-0010-0000-0200-00001D000000}" name="28" totalsRowFunction="count" dataDxfId="675" totalsRowDxfId="674"/>
    <tableColumn id="30" xr3:uid="{00000000-0010-0000-0200-00001E000000}" name="29" totalsRowFunction="count" dataDxfId="673" totalsRowDxfId="672"/>
    <tableColumn id="31" xr3:uid="{00000000-0010-0000-0200-00001F000000}" name="30" totalsRowFunction="count" dataDxfId="671" totalsRowDxfId="670"/>
    <tableColumn id="32" xr3:uid="{00000000-0010-0000-0200-000020000000}" name="31" totalsRowFunction="count" dataDxfId="669" totalsRowDxfId="668"/>
    <tableColumn id="33" xr3:uid="{00000000-0010-0000-0200-000021000000}" name="Dni skupaj" totalsRowFunction="sum" dataDxfId="667" totalsRowDxfId="666">
      <calculatedColumnFormula>COUNTA(Marec[[#This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April" displayName="April" ref="B6:AH12" totalsRowCount="1" headerRowDxfId="660" dataDxfId="659" totalsRowDxfId="658">
  <tableColumns count="33">
    <tableColumn id="1" xr3:uid="{00000000-0010-0000-0300-000001000000}" name="Ime zaposlenega" totalsRowFunction="custom" dataDxfId="657" totalsRowDxfId="656" dataCellStyle="Zaposleni">
      <totalsRowFormula>"Skupaj za "&amp;ImeMeseca</totalsRowFormula>
    </tableColumn>
    <tableColumn id="2" xr3:uid="{00000000-0010-0000-0300-000002000000}" name="1" totalsRowFunction="count" dataDxfId="655" totalsRowDxfId="654"/>
    <tableColumn id="3" xr3:uid="{00000000-0010-0000-0300-000003000000}" name="2" totalsRowFunction="count" dataDxfId="653" totalsRowDxfId="652"/>
    <tableColumn id="4" xr3:uid="{00000000-0010-0000-0300-000004000000}" name="3" totalsRowFunction="count" dataDxfId="651" totalsRowDxfId="650"/>
    <tableColumn id="5" xr3:uid="{00000000-0010-0000-0300-000005000000}" name="4" totalsRowFunction="count" dataDxfId="649" totalsRowDxfId="648"/>
    <tableColumn id="6" xr3:uid="{00000000-0010-0000-0300-000006000000}" name="5" totalsRowFunction="count" dataDxfId="647" totalsRowDxfId="646"/>
    <tableColumn id="7" xr3:uid="{00000000-0010-0000-0300-000007000000}" name="6" totalsRowFunction="count" dataDxfId="645" totalsRowDxfId="644"/>
    <tableColumn id="8" xr3:uid="{00000000-0010-0000-0300-000008000000}" name="7" totalsRowFunction="count" dataDxfId="643" totalsRowDxfId="642"/>
    <tableColumn id="9" xr3:uid="{00000000-0010-0000-0300-000009000000}" name="8" totalsRowFunction="count" dataDxfId="641" totalsRowDxfId="640"/>
    <tableColumn id="10" xr3:uid="{00000000-0010-0000-0300-00000A000000}" name="9" totalsRowFunction="count" dataDxfId="639" totalsRowDxfId="638"/>
    <tableColumn id="11" xr3:uid="{00000000-0010-0000-0300-00000B000000}" name="10" totalsRowFunction="count" dataDxfId="637" totalsRowDxfId="636"/>
    <tableColumn id="12" xr3:uid="{00000000-0010-0000-0300-00000C000000}" name="11" totalsRowFunction="count" dataDxfId="635" totalsRowDxfId="634"/>
    <tableColumn id="13" xr3:uid="{00000000-0010-0000-0300-00000D000000}" name="12" totalsRowFunction="count" dataDxfId="633" totalsRowDxfId="632"/>
    <tableColumn id="14" xr3:uid="{00000000-0010-0000-0300-00000E000000}" name="13" totalsRowFunction="count" dataDxfId="631" totalsRowDxfId="630"/>
    <tableColumn id="15" xr3:uid="{00000000-0010-0000-0300-00000F000000}" name="14" totalsRowFunction="count" dataDxfId="629" totalsRowDxfId="628"/>
    <tableColumn id="16" xr3:uid="{00000000-0010-0000-0300-000010000000}" name="15" totalsRowFunction="count" dataDxfId="627" totalsRowDxfId="626"/>
    <tableColumn id="17" xr3:uid="{00000000-0010-0000-0300-000011000000}" name="16" totalsRowFunction="count" dataDxfId="625" totalsRowDxfId="624"/>
    <tableColumn id="18" xr3:uid="{00000000-0010-0000-0300-000012000000}" name="17" totalsRowFunction="count" dataDxfId="623" totalsRowDxfId="622"/>
    <tableColumn id="19" xr3:uid="{00000000-0010-0000-0300-000013000000}" name="18" totalsRowFunction="count" dataDxfId="621" totalsRowDxfId="620"/>
    <tableColumn id="20" xr3:uid="{00000000-0010-0000-0300-000014000000}" name="19" totalsRowFunction="count" dataDxfId="619" totalsRowDxfId="618"/>
    <tableColumn id="21" xr3:uid="{00000000-0010-0000-0300-000015000000}" name="20" totalsRowFunction="count" dataDxfId="617" totalsRowDxfId="616"/>
    <tableColumn id="22" xr3:uid="{00000000-0010-0000-0300-000016000000}" name="21" totalsRowFunction="count" dataDxfId="615" totalsRowDxfId="614"/>
    <tableColumn id="23" xr3:uid="{00000000-0010-0000-0300-000017000000}" name="22" totalsRowFunction="count" dataDxfId="613" totalsRowDxfId="612"/>
    <tableColumn id="24" xr3:uid="{00000000-0010-0000-0300-000018000000}" name="23" totalsRowFunction="count" dataDxfId="611" totalsRowDxfId="610"/>
    <tableColumn id="25" xr3:uid="{00000000-0010-0000-0300-000019000000}" name="24" totalsRowFunction="count" dataDxfId="609" totalsRowDxfId="608"/>
    <tableColumn id="26" xr3:uid="{00000000-0010-0000-0300-00001A000000}" name="25" totalsRowFunction="count" dataDxfId="607" totalsRowDxfId="606"/>
    <tableColumn id="27" xr3:uid="{00000000-0010-0000-0300-00001B000000}" name="26" totalsRowFunction="count" dataDxfId="605" totalsRowDxfId="604"/>
    <tableColumn id="28" xr3:uid="{00000000-0010-0000-0300-00001C000000}" name="27" totalsRowFunction="count" dataDxfId="603" totalsRowDxfId="602"/>
    <tableColumn id="29" xr3:uid="{00000000-0010-0000-0300-00001D000000}" name="28" totalsRowFunction="count" dataDxfId="601" totalsRowDxfId="600"/>
    <tableColumn id="30" xr3:uid="{00000000-0010-0000-0300-00001E000000}" name="29" totalsRowFunction="count" dataDxfId="599" totalsRowDxfId="598"/>
    <tableColumn id="31" xr3:uid="{00000000-0010-0000-0300-00001F000000}" name="30" totalsRowFunction="count" dataDxfId="597" totalsRowDxfId="596"/>
    <tableColumn id="32" xr3:uid="{00000000-0010-0000-0300-000020000000}" name=" " totalsRowFunction="custom" dataDxfId="595" totalsRowDxfId="594">
      <totalsRowFormula>SUBTOTAL(103,April[30])</totalsRowFormula>
    </tableColumn>
    <tableColumn id="33" xr3:uid="{00000000-0010-0000-0300-000021000000}" name="Dni skupaj" totalsRowFunction="sum" dataDxfId="593" totalsRowDxfId="592">
      <calculatedColumnFormula>COUNTA(April[[#This Row],[1]:[30]])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Maj" displayName="Maj" ref="B6:AH12" totalsRowCount="1" headerRowDxfId="586" dataDxfId="585" totalsRowDxfId="584">
  <tableColumns count="33">
    <tableColumn id="1" xr3:uid="{00000000-0010-0000-0400-000001000000}" name="Ime zaposlenega" totalsRowFunction="custom" dataDxfId="583" totalsRowDxfId="582" dataCellStyle="Zaposleni">
      <totalsRowFormula>"Skupaj za "&amp;ImeMeseca</totalsRowFormula>
    </tableColumn>
    <tableColumn id="2" xr3:uid="{00000000-0010-0000-0400-000002000000}" name="1" totalsRowFunction="count" dataDxfId="581" totalsRowDxfId="580"/>
    <tableColumn id="3" xr3:uid="{00000000-0010-0000-0400-000003000000}" name="2" totalsRowFunction="count" dataDxfId="579" totalsRowDxfId="578"/>
    <tableColumn id="4" xr3:uid="{00000000-0010-0000-0400-000004000000}" name="3" totalsRowFunction="count" dataDxfId="577" totalsRowDxfId="576"/>
    <tableColumn id="5" xr3:uid="{00000000-0010-0000-0400-000005000000}" name="4" totalsRowFunction="count" dataDxfId="575" totalsRowDxfId="574"/>
    <tableColumn id="6" xr3:uid="{00000000-0010-0000-0400-000006000000}" name="5" totalsRowFunction="count" dataDxfId="573" totalsRowDxfId="572"/>
    <tableColumn id="7" xr3:uid="{00000000-0010-0000-0400-000007000000}" name="6" totalsRowFunction="count" dataDxfId="571" totalsRowDxfId="570"/>
    <tableColumn id="8" xr3:uid="{00000000-0010-0000-0400-000008000000}" name="7" totalsRowFunction="count" dataDxfId="569" totalsRowDxfId="568"/>
    <tableColumn id="9" xr3:uid="{00000000-0010-0000-0400-000009000000}" name="8" totalsRowFunction="count" dataDxfId="567" totalsRowDxfId="566"/>
    <tableColumn id="10" xr3:uid="{00000000-0010-0000-0400-00000A000000}" name="9" totalsRowFunction="count" dataDxfId="565" totalsRowDxfId="564"/>
    <tableColumn id="11" xr3:uid="{00000000-0010-0000-0400-00000B000000}" name="10" totalsRowFunction="count" dataDxfId="563" totalsRowDxfId="562"/>
    <tableColumn id="12" xr3:uid="{00000000-0010-0000-0400-00000C000000}" name="11" totalsRowFunction="count" dataDxfId="561" totalsRowDxfId="560"/>
    <tableColumn id="13" xr3:uid="{00000000-0010-0000-0400-00000D000000}" name="12" totalsRowFunction="count" dataDxfId="559" totalsRowDxfId="558"/>
    <tableColumn id="14" xr3:uid="{00000000-0010-0000-0400-00000E000000}" name="13" totalsRowFunction="count" dataDxfId="557" totalsRowDxfId="556"/>
    <tableColumn id="15" xr3:uid="{00000000-0010-0000-0400-00000F000000}" name="14" totalsRowFunction="count" dataDxfId="555" totalsRowDxfId="554"/>
    <tableColumn id="16" xr3:uid="{00000000-0010-0000-0400-000010000000}" name="15" totalsRowFunction="count" dataDxfId="553" totalsRowDxfId="552"/>
    <tableColumn id="17" xr3:uid="{00000000-0010-0000-0400-000011000000}" name="16" totalsRowFunction="count" dataDxfId="551" totalsRowDxfId="550"/>
    <tableColumn id="18" xr3:uid="{00000000-0010-0000-0400-000012000000}" name="17" totalsRowFunction="count" dataDxfId="549" totalsRowDxfId="548"/>
    <tableColumn id="19" xr3:uid="{00000000-0010-0000-0400-000013000000}" name="18" totalsRowFunction="count" dataDxfId="547" totalsRowDxfId="546"/>
    <tableColumn id="20" xr3:uid="{00000000-0010-0000-0400-000014000000}" name="19" totalsRowFunction="count" dataDxfId="545" totalsRowDxfId="544"/>
    <tableColumn id="21" xr3:uid="{00000000-0010-0000-0400-000015000000}" name="20" totalsRowFunction="count" dataDxfId="543" totalsRowDxfId="542"/>
    <tableColumn id="22" xr3:uid="{00000000-0010-0000-0400-000016000000}" name="21" totalsRowFunction="count" dataDxfId="541" totalsRowDxfId="540"/>
    <tableColumn id="23" xr3:uid="{00000000-0010-0000-0400-000017000000}" name="22" totalsRowFunction="count" dataDxfId="539" totalsRowDxfId="538"/>
    <tableColumn id="24" xr3:uid="{00000000-0010-0000-0400-000018000000}" name="23" totalsRowFunction="count" dataDxfId="537" totalsRowDxfId="536"/>
    <tableColumn id="25" xr3:uid="{00000000-0010-0000-0400-000019000000}" name="24" totalsRowFunction="count" dataDxfId="535" totalsRowDxfId="534"/>
    <tableColumn id="26" xr3:uid="{00000000-0010-0000-0400-00001A000000}" name="25" totalsRowFunction="count" dataDxfId="533" totalsRowDxfId="532"/>
    <tableColumn id="27" xr3:uid="{00000000-0010-0000-0400-00001B000000}" name="26" totalsRowFunction="count" dataDxfId="531" totalsRowDxfId="530"/>
    <tableColumn id="28" xr3:uid="{00000000-0010-0000-0400-00001C000000}" name="27" totalsRowFunction="count" dataDxfId="529" totalsRowDxfId="528"/>
    <tableColumn id="29" xr3:uid="{00000000-0010-0000-0400-00001D000000}" name="28" totalsRowFunction="count" dataDxfId="527" totalsRowDxfId="526"/>
    <tableColumn id="30" xr3:uid="{00000000-0010-0000-0400-00001E000000}" name="29" totalsRowFunction="count" dataDxfId="525" totalsRowDxfId="524"/>
    <tableColumn id="31" xr3:uid="{00000000-0010-0000-0400-00001F000000}" name="30" totalsRowFunction="count" dataDxfId="523" totalsRowDxfId="522"/>
    <tableColumn id="32" xr3:uid="{00000000-0010-0000-0400-000020000000}" name="31" totalsRowFunction="count" dataDxfId="521" totalsRowDxfId="520"/>
    <tableColumn id="33" xr3:uid="{00000000-0010-0000-0400-000021000000}" name="Dni skupaj" totalsRowFunction="sum" dataDxfId="519" totalsRowDxfId="518">
      <calculatedColumnFormula>COUNTA(Maj[[#This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Junij" displayName="Junij" ref="B6:AH12" totalsRowCount="1" headerRowDxfId="512" dataDxfId="511" totalsRowDxfId="510">
  <tableColumns count="33">
    <tableColumn id="1" xr3:uid="{00000000-0010-0000-0500-000001000000}" name="Ime zaposlenega" totalsRowFunction="custom" dataDxfId="509" totalsRowDxfId="508" dataCellStyle="Zaposleni">
      <totalsRowFormula>"Skupaj za "&amp;ImeMeseca</totalsRowFormula>
    </tableColumn>
    <tableColumn id="2" xr3:uid="{00000000-0010-0000-0500-000002000000}" name="1" totalsRowFunction="count" dataDxfId="507" totalsRowDxfId="506"/>
    <tableColumn id="3" xr3:uid="{00000000-0010-0000-0500-000003000000}" name="2" totalsRowFunction="count" dataDxfId="505" totalsRowDxfId="504"/>
    <tableColumn id="4" xr3:uid="{00000000-0010-0000-0500-000004000000}" name="3" totalsRowFunction="count" dataDxfId="503" totalsRowDxfId="502"/>
    <tableColumn id="5" xr3:uid="{00000000-0010-0000-0500-000005000000}" name="4" totalsRowFunction="count" dataDxfId="501" totalsRowDxfId="500"/>
    <tableColumn id="6" xr3:uid="{00000000-0010-0000-0500-000006000000}" name="5" totalsRowFunction="count" dataDxfId="499" totalsRowDxfId="498"/>
    <tableColumn id="7" xr3:uid="{00000000-0010-0000-0500-000007000000}" name="6" totalsRowFunction="count" dataDxfId="497" totalsRowDxfId="496"/>
    <tableColumn id="8" xr3:uid="{00000000-0010-0000-0500-000008000000}" name="7" totalsRowFunction="count" dataDxfId="495" totalsRowDxfId="494"/>
    <tableColumn id="9" xr3:uid="{00000000-0010-0000-0500-000009000000}" name="8" totalsRowFunction="count" dataDxfId="493" totalsRowDxfId="492"/>
    <tableColumn id="10" xr3:uid="{00000000-0010-0000-0500-00000A000000}" name="9" totalsRowFunction="count" dataDxfId="491" totalsRowDxfId="490"/>
    <tableColumn id="11" xr3:uid="{00000000-0010-0000-0500-00000B000000}" name="10" totalsRowFunction="count" dataDxfId="489" totalsRowDxfId="488"/>
    <tableColumn id="12" xr3:uid="{00000000-0010-0000-0500-00000C000000}" name="11" totalsRowFunction="count" dataDxfId="487" totalsRowDxfId="486"/>
    <tableColumn id="13" xr3:uid="{00000000-0010-0000-0500-00000D000000}" name="12" totalsRowFunction="count" dataDxfId="485" totalsRowDxfId="484"/>
    <tableColumn id="14" xr3:uid="{00000000-0010-0000-0500-00000E000000}" name="13" totalsRowFunction="count" dataDxfId="483" totalsRowDxfId="482"/>
    <tableColumn id="15" xr3:uid="{00000000-0010-0000-0500-00000F000000}" name="14" totalsRowFunction="count" dataDxfId="481" totalsRowDxfId="480"/>
    <tableColumn id="16" xr3:uid="{00000000-0010-0000-0500-000010000000}" name="15" totalsRowFunction="count" dataDxfId="479" totalsRowDxfId="478"/>
    <tableColumn id="17" xr3:uid="{00000000-0010-0000-0500-000011000000}" name="16" totalsRowFunction="count" dataDxfId="477" totalsRowDxfId="476"/>
    <tableColumn id="18" xr3:uid="{00000000-0010-0000-0500-000012000000}" name="17" totalsRowFunction="count" dataDxfId="475" totalsRowDxfId="474"/>
    <tableColumn id="19" xr3:uid="{00000000-0010-0000-0500-000013000000}" name="18" totalsRowFunction="count" dataDxfId="473" totalsRowDxfId="472"/>
    <tableColumn id="20" xr3:uid="{00000000-0010-0000-0500-000014000000}" name="19" totalsRowFunction="count" dataDxfId="471" totalsRowDxfId="470"/>
    <tableColumn id="21" xr3:uid="{00000000-0010-0000-0500-000015000000}" name="20" totalsRowFunction="count" dataDxfId="469" totalsRowDxfId="468"/>
    <tableColumn id="22" xr3:uid="{00000000-0010-0000-0500-000016000000}" name="21" totalsRowFunction="count" dataDxfId="467" totalsRowDxfId="466"/>
    <tableColumn id="23" xr3:uid="{00000000-0010-0000-0500-000017000000}" name="22" totalsRowFunction="count" dataDxfId="465" totalsRowDxfId="464"/>
    <tableColumn id="24" xr3:uid="{00000000-0010-0000-0500-000018000000}" name="23" totalsRowFunction="count" dataDxfId="463" totalsRowDxfId="462"/>
    <tableColumn id="25" xr3:uid="{00000000-0010-0000-0500-000019000000}" name="24" totalsRowFunction="count" dataDxfId="461" totalsRowDxfId="460"/>
    <tableColumn id="26" xr3:uid="{00000000-0010-0000-0500-00001A000000}" name="25" totalsRowFunction="count" dataDxfId="459" totalsRowDxfId="458"/>
    <tableColumn id="27" xr3:uid="{00000000-0010-0000-0500-00001B000000}" name="26" totalsRowFunction="count" dataDxfId="457" totalsRowDxfId="456"/>
    <tableColumn id="28" xr3:uid="{00000000-0010-0000-0500-00001C000000}" name="27" totalsRowFunction="count" dataDxfId="455" totalsRowDxfId="454"/>
    <tableColumn id="29" xr3:uid="{00000000-0010-0000-0500-00001D000000}" name="28" totalsRowFunction="count" dataDxfId="453" totalsRowDxfId="452"/>
    <tableColumn id="30" xr3:uid="{00000000-0010-0000-0500-00001E000000}" name="29" totalsRowFunction="count" dataDxfId="451" totalsRowDxfId="450"/>
    <tableColumn id="31" xr3:uid="{00000000-0010-0000-0500-00001F000000}" name="30" totalsRowFunction="count" dataDxfId="449" totalsRowDxfId="448"/>
    <tableColumn id="32" xr3:uid="{00000000-0010-0000-0500-000020000000}" name=" " totalsRowFunction="count" dataDxfId="447" totalsRowDxfId="446"/>
    <tableColumn id="33" xr3:uid="{00000000-0010-0000-0500-000021000000}" name="Dni skupaj" totalsRowFunction="sum" dataDxfId="445" totalsRowDxfId="444">
      <calculatedColumnFormula>COUNTA(Junij[[#This Row],[1]:[30]])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Julij" displayName="Julij" ref="B6:AH12" totalsRowCount="1" headerRowDxfId="438" dataDxfId="437" totalsRowDxfId="436">
  <tableColumns count="33">
    <tableColumn id="1" xr3:uid="{00000000-0010-0000-0600-000001000000}" name="Ime zaposlenega" totalsRowFunction="custom" dataDxfId="435" totalsRowDxfId="434" dataCellStyle="Zaposleni">
      <totalsRowFormula>"Skupaj za "&amp;ImeMeseca</totalsRowFormula>
    </tableColumn>
    <tableColumn id="2" xr3:uid="{00000000-0010-0000-0600-000002000000}" name="1" totalsRowFunction="count" dataDxfId="433" totalsRowDxfId="432"/>
    <tableColumn id="3" xr3:uid="{00000000-0010-0000-0600-000003000000}" name="2" totalsRowFunction="count" dataDxfId="431" totalsRowDxfId="430"/>
    <tableColumn id="4" xr3:uid="{00000000-0010-0000-0600-000004000000}" name="3" totalsRowFunction="count" dataDxfId="429" totalsRowDxfId="428"/>
    <tableColumn id="5" xr3:uid="{00000000-0010-0000-0600-000005000000}" name="4" totalsRowFunction="count" dataDxfId="427" totalsRowDxfId="426"/>
    <tableColumn id="6" xr3:uid="{00000000-0010-0000-0600-000006000000}" name="5" totalsRowFunction="count" dataDxfId="425" totalsRowDxfId="424"/>
    <tableColumn id="7" xr3:uid="{00000000-0010-0000-0600-000007000000}" name="6" totalsRowFunction="count" dataDxfId="423" totalsRowDxfId="422"/>
    <tableColumn id="8" xr3:uid="{00000000-0010-0000-0600-000008000000}" name="7" totalsRowFunction="count" dataDxfId="421" totalsRowDxfId="420"/>
    <tableColumn id="9" xr3:uid="{00000000-0010-0000-0600-000009000000}" name="8" totalsRowFunction="count" dataDxfId="419" totalsRowDxfId="418"/>
    <tableColumn id="10" xr3:uid="{00000000-0010-0000-0600-00000A000000}" name="9" totalsRowFunction="count" dataDxfId="417" totalsRowDxfId="416"/>
    <tableColumn id="11" xr3:uid="{00000000-0010-0000-0600-00000B000000}" name="10" totalsRowFunction="count" dataDxfId="415" totalsRowDxfId="414"/>
    <tableColumn id="12" xr3:uid="{00000000-0010-0000-0600-00000C000000}" name="11" totalsRowFunction="count" dataDxfId="413" totalsRowDxfId="412"/>
    <tableColumn id="13" xr3:uid="{00000000-0010-0000-0600-00000D000000}" name="12" totalsRowFunction="count" dataDxfId="411" totalsRowDxfId="410"/>
    <tableColumn id="14" xr3:uid="{00000000-0010-0000-0600-00000E000000}" name="13" totalsRowFunction="count" dataDxfId="409" totalsRowDxfId="408"/>
    <tableColumn id="15" xr3:uid="{00000000-0010-0000-0600-00000F000000}" name="14" totalsRowFunction="count" dataDxfId="407" totalsRowDxfId="406"/>
    <tableColumn id="16" xr3:uid="{00000000-0010-0000-0600-000010000000}" name="15" totalsRowFunction="count" dataDxfId="405" totalsRowDxfId="404"/>
    <tableColumn id="17" xr3:uid="{00000000-0010-0000-0600-000011000000}" name="16" totalsRowFunction="count" dataDxfId="403" totalsRowDxfId="402"/>
    <tableColumn id="18" xr3:uid="{00000000-0010-0000-0600-000012000000}" name="17" totalsRowFunction="count" dataDxfId="401" totalsRowDxfId="400"/>
    <tableColumn id="19" xr3:uid="{00000000-0010-0000-0600-000013000000}" name="18" totalsRowFunction="count" dataDxfId="399" totalsRowDxfId="398"/>
    <tableColumn id="20" xr3:uid="{00000000-0010-0000-0600-000014000000}" name="19" totalsRowFunction="count" dataDxfId="397" totalsRowDxfId="396"/>
    <tableColumn id="21" xr3:uid="{00000000-0010-0000-0600-000015000000}" name="20" totalsRowFunction="count" dataDxfId="395" totalsRowDxfId="394"/>
    <tableColumn id="22" xr3:uid="{00000000-0010-0000-0600-000016000000}" name="21" totalsRowFunction="count" dataDxfId="393" totalsRowDxfId="392"/>
    <tableColumn id="23" xr3:uid="{00000000-0010-0000-0600-000017000000}" name="22" totalsRowFunction="count" dataDxfId="391" totalsRowDxfId="390"/>
    <tableColumn id="24" xr3:uid="{00000000-0010-0000-0600-000018000000}" name="23" totalsRowFunction="count" dataDxfId="389" totalsRowDxfId="388"/>
    <tableColumn id="25" xr3:uid="{00000000-0010-0000-0600-000019000000}" name="24" totalsRowFunction="count" dataDxfId="387" totalsRowDxfId="386"/>
    <tableColumn id="26" xr3:uid="{00000000-0010-0000-0600-00001A000000}" name="25" totalsRowFunction="count" dataDxfId="385" totalsRowDxfId="384"/>
    <tableColumn id="27" xr3:uid="{00000000-0010-0000-0600-00001B000000}" name="26" totalsRowFunction="count" dataDxfId="383" totalsRowDxfId="382"/>
    <tableColumn id="28" xr3:uid="{00000000-0010-0000-0600-00001C000000}" name="27" totalsRowFunction="count" dataDxfId="381" totalsRowDxfId="380"/>
    <tableColumn id="29" xr3:uid="{00000000-0010-0000-0600-00001D000000}" name="28" totalsRowFunction="count" dataDxfId="379" totalsRowDxfId="378"/>
    <tableColumn id="30" xr3:uid="{00000000-0010-0000-0600-00001E000000}" name="29" totalsRowFunction="count" dataDxfId="377" totalsRowDxfId="376"/>
    <tableColumn id="31" xr3:uid="{00000000-0010-0000-0600-00001F000000}" name="30" totalsRowFunction="count" dataDxfId="375" totalsRowDxfId="374"/>
    <tableColumn id="32" xr3:uid="{00000000-0010-0000-0600-000020000000}" name="31" totalsRowFunction="count" dataDxfId="373" totalsRowDxfId="372"/>
    <tableColumn id="33" xr3:uid="{00000000-0010-0000-0600-000021000000}" name="Dni skupaj" totalsRowFunction="sum" dataDxfId="371" totalsRowDxfId="370">
      <calculatedColumnFormula>COUNTA(Julij[[#This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Avgust" displayName="Avgust" ref="B6:AH12" totalsRowCount="1" headerRowDxfId="364" dataDxfId="363" totalsRowDxfId="362">
  <tableColumns count="33">
    <tableColumn id="1" xr3:uid="{00000000-0010-0000-0700-000001000000}" name="Ime zaposlenega" totalsRowFunction="custom" dataDxfId="361" totalsRowDxfId="360" dataCellStyle="Zaposleni">
      <totalsRowFormula>"Skupaj za "&amp;ImeMeseca</totalsRowFormula>
    </tableColumn>
    <tableColumn id="2" xr3:uid="{00000000-0010-0000-0700-000002000000}" name="1" totalsRowFunction="count" dataDxfId="359" totalsRowDxfId="358"/>
    <tableColumn id="3" xr3:uid="{00000000-0010-0000-0700-000003000000}" name="2" totalsRowFunction="count" dataDxfId="357" totalsRowDxfId="356"/>
    <tableColumn id="4" xr3:uid="{00000000-0010-0000-0700-000004000000}" name="3" totalsRowFunction="count" dataDxfId="355" totalsRowDxfId="354"/>
    <tableColumn id="5" xr3:uid="{00000000-0010-0000-0700-000005000000}" name="4" totalsRowFunction="count" dataDxfId="353" totalsRowDxfId="352"/>
    <tableColumn id="6" xr3:uid="{00000000-0010-0000-0700-000006000000}" name="5" totalsRowFunction="count" dataDxfId="351" totalsRowDxfId="350"/>
    <tableColumn id="7" xr3:uid="{00000000-0010-0000-0700-000007000000}" name="6" totalsRowFunction="count" dataDxfId="349" totalsRowDxfId="348"/>
    <tableColumn id="8" xr3:uid="{00000000-0010-0000-0700-000008000000}" name="7" totalsRowFunction="count" dataDxfId="347" totalsRowDxfId="346"/>
    <tableColumn id="9" xr3:uid="{00000000-0010-0000-0700-000009000000}" name="8" totalsRowFunction="count" dataDxfId="345" totalsRowDxfId="344"/>
    <tableColumn id="10" xr3:uid="{00000000-0010-0000-0700-00000A000000}" name="9" totalsRowFunction="count" dataDxfId="343" totalsRowDxfId="342"/>
    <tableColumn id="11" xr3:uid="{00000000-0010-0000-0700-00000B000000}" name="10" totalsRowFunction="count" dataDxfId="341" totalsRowDxfId="340"/>
    <tableColumn id="12" xr3:uid="{00000000-0010-0000-0700-00000C000000}" name="11" totalsRowFunction="count" dataDxfId="339" totalsRowDxfId="338"/>
    <tableColumn id="13" xr3:uid="{00000000-0010-0000-0700-00000D000000}" name="12" totalsRowFunction="count" dataDxfId="337" totalsRowDxfId="336"/>
    <tableColumn id="14" xr3:uid="{00000000-0010-0000-0700-00000E000000}" name="13" totalsRowFunction="count" dataDxfId="335" totalsRowDxfId="334"/>
    <tableColumn id="15" xr3:uid="{00000000-0010-0000-0700-00000F000000}" name="14" totalsRowFunction="count" dataDxfId="333" totalsRowDxfId="332"/>
    <tableColumn id="16" xr3:uid="{00000000-0010-0000-0700-000010000000}" name="15" totalsRowFunction="count" dataDxfId="331" totalsRowDxfId="330"/>
    <tableColumn id="17" xr3:uid="{00000000-0010-0000-0700-000011000000}" name="16" totalsRowFunction="count" dataDxfId="329" totalsRowDxfId="328"/>
    <tableColumn id="18" xr3:uid="{00000000-0010-0000-0700-000012000000}" name="17" totalsRowFunction="count" dataDxfId="327" totalsRowDxfId="326"/>
    <tableColumn id="19" xr3:uid="{00000000-0010-0000-0700-000013000000}" name="18" totalsRowFunction="count" dataDxfId="325" totalsRowDxfId="324"/>
    <tableColumn id="20" xr3:uid="{00000000-0010-0000-0700-000014000000}" name="19" totalsRowFunction="count" dataDxfId="323" totalsRowDxfId="322"/>
    <tableColumn id="21" xr3:uid="{00000000-0010-0000-0700-000015000000}" name="20" totalsRowFunction="count" dataDxfId="321" totalsRowDxfId="320"/>
    <tableColumn id="22" xr3:uid="{00000000-0010-0000-0700-000016000000}" name="21" totalsRowFunction="count" dataDxfId="319" totalsRowDxfId="318"/>
    <tableColumn id="23" xr3:uid="{00000000-0010-0000-0700-000017000000}" name="22" totalsRowFunction="count" dataDxfId="317" totalsRowDxfId="316"/>
    <tableColumn id="24" xr3:uid="{00000000-0010-0000-0700-000018000000}" name="23" totalsRowFunction="count" dataDxfId="315" totalsRowDxfId="314"/>
    <tableColumn id="25" xr3:uid="{00000000-0010-0000-0700-000019000000}" name="24" totalsRowFunction="count" dataDxfId="313" totalsRowDxfId="312"/>
    <tableColumn id="26" xr3:uid="{00000000-0010-0000-0700-00001A000000}" name="25" totalsRowFunction="count" dataDxfId="311" totalsRowDxfId="310"/>
    <tableColumn id="27" xr3:uid="{00000000-0010-0000-0700-00001B000000}" name="26" totalsRowFunction="count" dataDxfId="309" totalsRowDxfId="308"/>
    <tableColumn id="28" xr3:uid="{00000000-0010-0000-0700-00001C000000}" name="27" totalsRowFunction="count" dataDxfId="307" totalsRowDxfId="306"/>
    <tableColumn id="29" xr3:uid="{00000000-0010-0000-0700-00001D000000}" name="28" totalsRowFunction="count" dataDxfId="305" totalsRowDxfId="304"/>
    <tableColumn id="30" xr3:uid="{00000000-0010-0000-0700-00001E000000}" name="29" totalsRowFunction="count" dataDxfId="303" totalsRowDxfId="302"/>
    <tableColumn id="31" xr3:uid="{00000000-0010-0000-0700-00001F000000}" name="30" totalsRowFunction="count" dataDxfId="301" totalsRowDxfId="300"/>
    <tableColumn id="32" xr3:uid="{00000000-0010-0000-0700-000020000000}" name="31" totalsRowFunction="count" dataDxfId="299" totalsRowDxfId="298"/>
    <tableColumn id="33" xr3:uid="{00000000-0010-0000-0700-000021000000}" name="Dni skupaj" totalsRowFunction="sum" dataDxfId="297" totalsRowDxfId="296">
      <calculatedColumnFormula>COUNTA(Avgust[[#This Row],[1]:[31]])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September" displayName="September" ref="B6:AH12" totalsRowCount="1" headerRowDxfId="290" dataDxfId="289" totalsRowDxfId="288">
  <tableColumns count="33">
    <tableColumn id="1" xr3:uid="{00000000-0010-0000-0800-000001000000}" name="Ime zaposlenega" totalsRowFunction="custom" dataDxfId="287" totalsRowDxfId="286" dataCellStyle="Zaposleni">
      <totalsRowFormula>"Skupaj za "&amp;ImeMeseca</totalsRowFormula>
    </tableColumn>
    <tableColumn id="2" xr3:uid="{00000000-0010-0000-0800-000002000000}" name="1" totalsRowFunction="count" dataDxfId="285" totalsRowDxfId="284"/>
    <tableColumn id="3" xr3:uid="{00000000-0010-0000-0800-000003000000}" name="2" totalsRowFunction="count" dataDxfId="283" totalsRowDxfId="282"/>
    <tableColumn id="4" xr3:uid="{00000000-0010-0000-0800-000004000000}" name="3" totalsRowFunction="count" dataDxfId="281" totalsRowDxfId="280"/>
    <tableColumn id="5" xr3:uid="{00000000-0010-0000-0800-000005000000}" name="4" totalsRowFunction="count" dataDxfId="279" totalsRowDxfId="278"/>
    <tableColumn id="6" xr3:uid="{00000000-0010-0000-0800-000006000000}" name="5" totalsRowFunction="count" dataDxfId="277" totalsRowDxfId="276"/>
    <tableColumn id="7" xr3:uid="{00000000-0010-0000-0800-000007000000}" name="6" totalsRowFunction="count" dataDxfId="275" totalsRowDxfId="274"/>
    <tableColumn id="8" xr3:uid="{00000000-0010-0000-0800-000008000000}" name="7" totalsRowFunction="count" dataDxfId="273" totalsRowDxfId="272"/>
    <tableColumn id="9" xr3:uid="{00000000-0010-0000-0800-000009000000}" name="8" totalsRowFunction="count" dataDxfId="271" totalsRowDxfId="270"/>
    <tableColumn id="10" xr3:uid="{00000000-0010-0000-0800-00000A000000}" name="9" totalsRowFunction="count" dataDxfId="269" totalsRowDxfId="268"/>
    <tableColumn id="11" xr3:uid="{00000000-0010-0000-0800-00000B000000}" name="10" totalsRowFunction="count" dataDxfId="267" totalsRowDxfId="266"/>
    <tableColumn id="12" xr3:uid="{00000000-0010-0000-0800-00000C000000}" name="11" totalsRowFunction="count" dataDxfId="265" totalsRowDxfId="264"/>
    <tableColumn id="13" xr3:uid="{00000000-0010-0000-0800-00000D000000}" name="12" totalsRowFunction="count" dataDxfId="263" totalsRowDxfId="262"/>
    <tableColumn id="14" xr3:uid="{00000000-0010-0000-0800-00000E000000}" name="13" totalsRowFunction="count" dataDxfId="261" totalsRowDxfId="260"/>
    <tableColumn id="15" xr3:uid="{00000000-0010-0000-0800-00000F000000}" name="14" totalsRowFunction="count" dataDxfId="259" totalsRowDxfId="258"/>
    <tableColumn id="16" xr3:uid="{00000000-0010-0000-0800-000010000000}" name="15" totalsRowFunction="count" dataDxfId="257" totalsRowDxfId="256"/>
    <tableColumn id="17" xr3:uid="{00000000-0010-0000-0800-000011000000}" name="16" totalsRowFunction="count" dataDxfId="255" totalsRowDxfId="254"/>
    <tableColumn id="18" xr3:uid="{00000000-0010-0000-0800-000012000000}" name="17" totalsRowFunction="count" dataDxfId="253" totalsRowDxfId="252"/>
    <tableColumn id="19" xr3:uid="{00000000-0010-0000-0800-000013000000}" name="18" totalsRowFunction="count" dataDxfId="251" totalsRowDxfId="250"/>
    <tableColumn id="20" xr3:uid="{00000000-0010-0000-0800-000014000000}" name="19" totalsRowFunction="count" dataDxfId="249" totalsRowDxfId="248"/>
    <tableColumn id="21" xr3:uid="{00000000-0010-0000-0800-000015000000}" name="20" totalsRowFunction="count" dataDxfId="247" totalsRowDxfId="246"/>
    <tableColumn id="22" xr3:uid="{00000000-0010-0000-0800-000016000000}" name="21" totalsRowFunction="count" dataDxfId="245" totalsRowDxfId="244"/>
    <tableColumn id="23" xr3:uid="{00000000-0010-0000-0800-000017000000}" name="22" totalsRowFunction="count" dataDxfId="243" totalsRowDxfId="242"/>
    <tableColumn id="24" xr3:uid="{00000000-0010-0000-0800-000018000000}" name="23" totalsRowFunction="count" dataDxfId="241" totalsRowDxfId="240"/>
    <tableColumn id="25" xr3:uid="{00000000-0010-0000-0800-000019000000}" name="24" totalsRowFunction="count" dataDxfId="239" totalsRowDxfId="238"/>
    <tableColumn id="26" xr3:uid="{00000000-0010-0000-0800-00001A000000}" name="25" totalsRowFunction="count" dataDxfId="237" totalsRowDxfId="236"/>
    <tableColumn id="27" xr3:uid="{00000000-0010-0000-0800-00001B000000}" name="26" totalsRowFunction="count" dataDxfId="235" totalsRowDxfId="234"/>
    <tableColumn id="28" xr3:uid="{00000000-0010-0000-0800-00001C000000}" name="27" totalsRowFunction="count" dataDxfId="233" totalsRowDxfId="232"/>
    <tableColumn id="29" xr3:uid="{00000000-0010-0000-0800-00001D000000}" name="28" totalsRowFunction="count" dataDxfId="231" totalsRowDxfId="230"/>
    <tableColumn id="30" xr3:uid="{00000000-0010-0000-0800-00001E000000}" name="29" totalsRowFunction="count" dataDxfId="229" totalsRowDxfId="228"/>
    <tableColumn id="31" xr3:uid="{00000000-0010-0000-0800-00001F000000}" name="30" totalsRowFunction="count" dataDxfId="227" totalsRowDxfId="226"/>
    <tableColumn id="32" xr3:uid="{00000000-0010-0000-0800-000020000000}" name=" " totalsRowFunction="count" dataDxfId="225" totalsRowDxfId="224"/>
    <tableColumn id="33" xr3:uid="{00000000-0010-0000-0800-000021000000}" name="Dni skupaj" totalsRowFunction="sum" dataDxfId="223" totalsRowDxfId="222">
      <calculatedColumnFormula>COUNTA(September[[#This Row],[1]:[30]])</calculatedColumnFormula>
    </tableColumn>
  </tableColumns>
  <tableStyleInfo name="Tabela odsotnosti zaposlenih" showFirstColumn="1" showLastColumn="1" showRowStripes="1" showColumnStripes="0"/>
  <extLst>
    <ext xmlns:x14="http://schemas.microsoft.com/office/spreadsheetml/2009/9/main" uri="{504A1905-F514-4f6f-8877-14C23A59335A}">
      <x14:table altTextSummary="Navedite imena zaposlenih in datume odsotnosti. Zabeležite vrsto odsotnosti na ključ v vrstici 12: V = dopust, S = bolezen, P = osebno in dve označbi mest za vnose po meri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1:34" ht="15" customHeight="1" x14ac:dyDescent="0.25">
      <c r="AH3" s="20" t="s">
        <v>46</v>
      </c>
    </row>
    <row r="4" spans="1:34" ht="30" customHeight="1" x14ac:dyDescent="0.25">
      <c r="B4" s="12" t="s">
        <v>2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TEXT(WEEKDAY(DATE(KoledarskoLeto,1,1),1),"aaa")</f>
        <v>tor</v>
      </c>
      <c r="D5" s="2" t="str">
        <f>TEXT(WEEKDAY(DATE(KoledarskoLeto,1,2),1),"aaa")</f>
        <v>sre</v>
      </c>
      <c r="E5" s="2" t="str">
        <f>TEXT(WEEKDAY(DATE(KoledarskoLeto,1,3),1),"aaa")</f>
        <v>čet</v>
      </c>
      <c r="F5" s="2" t="str">
        <f>TEXT(WEEKDAY(DATE(KoledarskoLeto,1,4),1),"aaa")</f>
        <v>pet</v>
      </c>
      <c r="G5" s="2" t="str">
        <f>TEXT(WEEKDAY(DATE(KoledarskoLeto,1,5),1),"aaa")</f>
        <v>sob</v>
      </c>
      <c r="H5" s="2" t="str">
        <f>TEXT(WEEKDAY(DATE(KoledarskoLeto,1,6),1),"aaa")</f>
        <v>ned</v>
      </c>
      <c r="I5" s="2" t="str">
        <f>TEXT(WEEKDAY(DATE(KoledarskoLeto,1,7),1),"aaa")</f>
        <v>pon</v>
      </c>
      <c r="J5" s="2" t="str">
        <f>TEXT(WEEKDAY(DATE(KoledarskoLeto,1,8),1),"aaa")</f>
        <v>tor</v>
      </c>
      <c r="K5" s="2" t="str">
        <f>TEXT(WEEKDAY(DATE(KoledarskoLeto,1,9),1),"aaa")</f>
        <v>sre</v>
      </c>
      <c r="L5" s="2" t="str">
        <f>TEXT(WEEKDAY(DATE(KoledarskoLeto,1,10),1),"aaa")</f>
        <v>čet</v>
      </c>
      <c r="M5" s="2" t="str">
        <f>TEXT(WEEKDAY(DATE(KoledarskoLeto,1,11),1),"aaa")</f>
        <v>pet</v>
      </c>
      <c r="N5" s="2" t="str">
        <f>TEXT(WEEKDAY(DATE(KoledarskoLeto,1,12),1),"aaa")</f>
        <v>sob</v>
      </c>
      <c r="O5" s="2" t="str">
        <f>TEXT(WEEKDAY(DATE(KoledarskoLeto,1,13),1),"aaa")</f>
        <v>ned</v>
      </c>
      <c r="P5" s="2" t="str">
        <f>TEXT(WEEKDAY(DATE(KoledarskoLeto,1,14),1),"aaa")</f>
        <v>pon</v>
      </c>
      <c r="Q5" s="2" t="str">
        <f>TEXT(WEEKDAY(DATE(KoledarskoLeto,1,15),1),"aaa")</f>
        <v>tor</v>
      </c>
      <c r="R5" s="2" t="str">
        <f>TEXT(WEEKDAY(DATE(KoledarskoLeto,1,16),1),"aaa")</f>
        <v>sre</v>
      </c>
      <c r="S5" s="2" t="str">
        <f>TEXT(WEEKDAY(DATE(KoledarskoLeto,1,17),1),"aaa")</f>
        <v>čet</v>
      </c>
      <c r="T5" s="2" t="str">
        <f>TEXT(WEEKDAY(DATE(KoledarskoLeto,1,18),1),"aaa")</f>
        <v>pet</v>
      </c>
      <c r="U5" s="2" t="str">
        <f>TEXT(WEEKDAY(DATE(KoledarskoLeto,1,19),1),"aaa")</f>
        <v>sob</v>
      </c>
      <c r="V5" s="2" t="str">
        <f>TEXT(WEEKDAY(DATE(KoledarskoLeto,1,20),1),"aaa")</f>
        <v>ned</v>
      </c>
      <c r="W5" s="2" t="str">
        <f>TEXT(WEEKDAY(DATE(KoledarskoLeto,1,21),1),"aaa")</f>
        <v>pon</v>
      </c>
      <c r="X5" s="2" t="str">
        <f>TEXT(WEEKDAY(DATE(KoledarskoLeto,1,22),1),"aaa")</f>
        <v>tor</v>
      </c>
      <c r="Y5" s="2" t="str">
        <f>TEXT(WEEKDAY(DATE(KoledarskoLeto,1,23),1),"aaa")</f>
        <v>sre</v>
      </c>
      <c r="Z5" s="2" t="str">
        <f>TEXT(WEEKDAY(DATE(KoledarskoLeto,1,24),1),"aaa")</f>
        <v>čet</v>
      </c>
      <c r="AA5" s="2" t="str">
        <f>TEXT(WEEKDAY(DATE(KoledarskoLeto,1,25),1),"aaa")</f>
        <v>pet</v>
      </c>
      <c r="AB5" s="2" t="str">
        <f>TEXT(WEEKDAY(DATE(KoledarskoLeto,1,26),1),"aaa")</f>
        <v>sob</v>
      </c>
      <c r="AC5" s="2" t="str">
        <f>TEXT(WEEKDAY(DATE(KoledarskoLeto,1,27),1),"aaa")</f>
        <v>ned</v>
      </c>
      <c r="AD5" s="2" t="str">
        <f>TEXT(WEEKDAY(DATE(KoledarskoLeto,1,28),1),"aaa")</f>
        <v>pon</v>
      </c>
      <c r="AE5" s="2" t="str">
        <f>TEXT(WEEKDAY(DATE(KoledarskoLeto,1,29),1),"aaa")</f>
        <v>tor</v>
      </c>
      <c r="AF5" s="2" t="str">
        <f>TEXT(WEEKDAY(DATE(KoledarskoLeto,1,30),1),"aaa")</f>
        <v>sre</v>
      </c>
      <c r="AG5" s="2" t="str">
        <f>TEXT(WEEKDAY(DATE(KoledarskoLeto,1,31),1),"aaa")</f>
        <v>čet</v>
      </c>
      <c r="AH5" s="12"/>
    </row>
    <row r="6" spans="1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1:34" ht="30" customHeight="1" x14ac:dyDescent="0.25">
      <c r="B7" s="9" t="s">
        <v>4</v>
      </c>
      <c r="C7" s="3"/>
      <c r="D7" s="3"/>
      <c r="E7" s="3" t="s">
        <v>62</v>
      </c>
      <c r="F7" s="3" t="s">
        <v>62</v>
      </c>
      <c r="G7" s="3" t="s">
        <v>62</v>
      </c>
      <c r="H7" s="3" t="s">
        <v>62</v>
      </c>
      <c r="I7" s="3"/>
      <c r="J7" s="3"/>
      <c r="K7" s="3"/>
      <c r="L7" s="3"/>
      <c r="M7" s="3"/>
      <c r="N7" s="3"/>
      <c r="O7" s="3" t="s">
        <v>62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COUNTA(Januar!$C7:$AG7)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64</v>
      </c>
      <c r="H8" s="3" t="s">
        <v>64</v>
      </c>
      <c r="I8" s="3"/>
      <c r="J8" s="3"/>
      <c r="K8" s="3"/>
      <c r="L8" s="3"/>
      <c r="M8" s="3" t="s">
        <v>63</v>
      </c>
      <c r="N8" s="3"/>
      <c r="O8" s="3"/>
      <c r="P8" s="3"/>
      <c r="Q8" s="3"/>
      <c r="R8" s="3"/>
      <c r="S8" s="3"/>
      <c r="T8" s="3"/>
      <c r="U8" s="3"/>
      <c r="V8" s="3" t="s">
        <v>64</v>
      </c>
      <c r="W8" s="3"/>
      <c r="X8" s="3"/>
      <c r="Y8" s="3"/>
      <c r="Z8" s="3"/>
      <c r="AA8" s="3" t="s">
        <v>62</v>
      </c>
      <c r="AB8" s="3" t="s">
        <v>62</v>
      </c>
      <c r="AC8" s="3" t="s">
        <v>62</v>
      </c>
      <c r="AD8" s="3"/>
      <c r="AE8" s="3"/>
      <c r="AF8" s="3"/>
      <c r="AG8" s="3"/>
      <c r="AH8" s="10">
        <f>COUNTA(Januar!$C8:$AG8)</f>
        <v>7</v>
      </c>
    </row>
    <row r="9" spans="1:34" ht="30" customHeight="1" x14ac:dyDescent="0.25">
      <c r="B9" s="9" t="s">
        <v>6</v>
      </c>
      <c r="C9" s="3"/>
      <c r="D9" s="3"/>
      <c r="E9" s="3" t="s">
        <v>63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64</v>
      </c>
      <c r="AF9" s="3"/>
      <c r="AG9" s="3"/>
      <c r="AH9" s="10">
        <f>COUNTA(Januar!$C9:$AG9)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62</v>
      </c>
      <c r="V10" s="3" t="s">
        <v>62</v>
      </c>
      <c r="W10" s="3" t="s">
        <v>62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COUNTA(Januar!$C10:$AG10)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64</v>
      </c>
      <c r="G11" s="3" t="s">
        <v>62</v>
      </c>
      <c r="H11" s="3" t="s">
        <v>62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64</v>
      </c>
      <c r="T11" s="3"/>
      <c r="U11" s="3"/>
      <c r="V11" s="3"/>
      <c r="W11" s="3"/>
      <c r="X11" s="3"/>
      <c r="Y11" s="3"/>
      <c r="Z11" s="3" t="s">
        <v>64</v>
      </c>
      <c r="AA11" s="3"/>
      <c r="AB11" s="3"/>
      <c r="AC11" s="3"/>
      <c r="AD11" s="3"/>
      <c r="AE11" s="3"/>
      <c r="AF11" s="3"/>
      <c r="AG11" s="3" t="s">
        <v>62</v>
      </c>
      <c r="AH11" s="10">
        <f>COUNTA(Januar!$C11:$AG11)</f>
        <v>6</v>
      </c>
    </row>
    <row r="12" spans="1:34" ht="30" customHeight="1" x14ac:dyDescent="0.25">
      <c r="B12" s="21" t="str">
        <f>"Skupaj za "&amp;ImeMeseca</f>
        <v>Skupaj za Januar</v>
      </c>
      <c r="C12" s="13">
        <f>SUBTOTAL(103,Januar!$C$7:$C$11)</f>
        <v>0</v>
      </c>
      <c r="D12" s="13">
        <f>SUBTOTAL(103,Januar!$D$7:$D$11)</f>
        <v>0</v>
      </c>
      <c r="E12" s="13">
        <f>SUBTOTAL(103,Januar!$E$7:$E$11)</f>
        <v>2</v>
      </c>
      <c r="F12" s="13">
        <f>SUBTOTAL(103,Januar!$F$7:$F$11)</f>
        <v>2</v>
      </c>
      <c r="G12" s="13">
        <f>SUBTOTAL(103,Januar!$G$7:$G$11)</f>
        <v>3</v>
      </c>
      <c r="H12" s="13">
        <f>SUBTOTAL(103,Januar!$H$7:$H$11)</f>
        <v>3</v>
      </c>
      <c r="I12" s="13">
        <f>SUBTOTAL(103,Januar!$I$7:$I$11)</f>
        <v>1</v>
      </c>
      <c r="J12" s="13">
        <f>SUBTOTAL(103,Januar!$J$7:$J$11)</f>
        <v>0</v>
      </c>
      <c r="K12" s="13">
        <f>SUBTOTAL(103,Januar!$K$7:$K$11)</f>
        <v>0</v>
      </c>
      <c r="L12" s="13">
        <f>SUBTOTAL(103,Januar!$L$7:$L$11)</f>
        <v>0</v>
      </c>
      <c r="M12" s="13">
        <f>SUBTOTAL(103,Januar!$M$7:$M$11)</f>
        <v>1</v>
      </c>
      <c r="N12" s="13">
        <f>SUBTOTAL(103,Januar!$N$7:$N$11)</f>
        <v>0</v>
      </c>
      <c r="O12" s="13">
        <f>SUBTOTAL(103,Januar!$O$7:$O$11)</f>
        <v>1</v>
      </c>
      <c r="P12" s="13">
        <f>SUBTOTAL(103,Januar!$P$7:$P$11)</f>
        <v>1</v>
      </c>
      <c r="Q12" s="13">
        <f>SUBTOTAL(103,Januar!$Q$7:$Q$11)</f>
        <v>0</v>
      </c>
      <c r="R12" s="13">
        <f>SUBTOTAL(103,Januar!$R$7:$R$11)</f>
        <v>0</v>
      </c>
      <c r="S12" s="13">
        <f>SUBTOTAL(103,Januar!$S$7:$S$11)</f>
        <v>1</v>
      </c>
      <c r="T12" s="13">
        <f>SUBTOTAL(103,Januar!$T$7:$T$11)</f>
        <v>0</v>
      </c>
      <c r="U12" s="13">
        <f>SUBTOTAL(103,Januar!$U$7:$U$11)</f>
        <v>1</v>
      </c>
      <c r="V12" s="13">
        <f>SUBTOTAL(103,Januar!$V$7:$V$11)</f>
        <v>2</v>
      </c>
      <c r="W12" s="13">
        <f>SUBTOTAL(103,Januar!$W$7:$W$11)</f>
        <v>1</v>
      </c>
      <c r="X12" s="13">
        <f>SUBTOTAL(103,Januar!$X$7:$X$11)</f>
        <v>0</v>
      </c>
      <c r="Y12" s="13">
        <f>SUBTOTAL(103,Januar!$Y$7:$Y$11)</f>
        <v>0</v>
      </c>
      <c r="Z12" s="13">
        <f>SUBTOTAL(103,Januar!$Z$7:$Z$11)</f>
        <v>1</v>
      </c>
      <c r="AA12" s="13">
        <f>SUBTOTAL(103,Januar!$AA$7:$AA$11)</f>
        <v>1</v>
      </c>
      <c r="AB12" s="13">
        <f>SUBTOTAL(103,Januar!$AB$7:$AB$11)</f>
        <v>1</v>
      </c>
      <c r="AC12" s="13">
        <f>SUBTOTAL(103,Januar!$AC$7:$AC$11)</f>
        <v>1</v>
      </c>
      <c r="AD12" s="13">
        <f>SUBTOTAL(103,Januar!$AD$7:$AD$11)</f>
        <v>0</v>
      </c>
      <c r="AE12" s="13">
        <f>SUBTOTAL(103,Januar!$AE$7:$AE$11)</f>
        <v>1</v>
      </c>
      <c r="AF12" s="13">
        <f>SUBTOTAL(103,Januar!$AF$7:$AF$11)</f>
        <v>0</v>
      </c>
      <c r="AG12" s="13">
        <f>SUBTOTAL(103,Januar!$AG$7:$AG$11)</f>
        <v>1</v>
      </c>
      <c r="AH12" s="13">
        <f>SUBTOTAL(109,Januar[Dni skupaj])</f>
        <v>25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  <cfRule type="expression" dxfId="888" priority="6" stopIfTrue="1">
      <formula>C7=TipkaPoMeri2</formula>
    </cfRule>
    <cfRule type="expression" dxfId="887" priority="7" stopIfTrue="1">
      <formula>C7=TipkaPoMeri1</formula>
    </cfRule>
    <cfRule type="expression" dxfId="886" priority="8" stopIfTrue="1">
      <formula>C7=TipkaBolniška</formula>
    </cfRule>
    <cfRule type="expression" dxfId="885" priority="9" stopIfTrue="1">
      <formula>C7=TipkaOsebno</formula>
    </cfRule>
    <cfRule type="expression" dxfId="884" priority="10" stopIfTrue="1">
      <formula>C7=TipkaDopust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V to celico vnesite leto" sqref="AH4" xr:uid="{00000000-0002-0000-0000-000000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000-000001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000-000002000000}"/>
    <dataValidation allowBlank="1" showInputMessage="1" showErrorMessage="1" prompt="Tedni v tej vrstici se samodejno posodobijo za mesec glede na leto, ki ste ga vnesli v AH4. Vsak dan v mesecu je stolpec, ki zabeleži, da je zaposlena vrsta odsotnosti in odsotnosti" sqref="C5" xr:uid="{00000000-0002-0000-0000-000003000000}"/>
    <dataValidation allowBlank="1" showInputMessage="1" showErrorMessage="1" prompt="Skupno število dni, ko je bil zaposleni odsoten v tem mesecu, se izračuna samodejno" sqref="AH6" xr:uid="{00000000-0002-0000-0000-000004000000}"/>
    <dataValidation allowBlank="1" showInputMessage="1" showErrorMessage="1" prompt="Naslov delovnega lista je v tej celici. Posodobitev naslova in vsakega delovnega lista bosta samodejno podedovala spremembo" sqref="B1" xr:uid="{00000000-0002-0000-0000-000005000000}"/>
    <dataValidation allowBlank="1" showInputMessage="1" showErrorMessage="1" prompt="Mesec tega urnika odsotnosti. Posodobite leto v celici AH4. Spremljajte vsote po mesecih v zadnji celici tabele. Vnos imen zaposlenih v stolpec Tabela B" sqref="B4" xr:uid="{00000000-0002-0000-0000-000006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000-000007000000}"/>
    <dataValidation allowBlank="1" showInputMessage="1" showErrorMessage="1" prompt="Črka »D« označuje odsotnosti zaradi dopusta." sqref="C2" xr:uid="{00000000-0002-0000-0000-000008000000}"/>
    <dataValidation allowBlank="1" showInputMessage="1" showErrorMessage="1" prompt="Črka »O« označuje odsotnosti zaradi osebnih razlogov." sqref="G2" xr:uid="{00000000-0002-0000-0000-000009000000}"/>
    <dataValidation allowBlank="1" showInputMessage="1" showErrorMessage="1" prompt="Črka »B« označuje odsotnosti zaradi bolezni." sqref="K2" xr:uid="{00000000-0002-0000-0000-00000A000000}"/>
    <dataValidation allowBlank="1" showInputMessage="1" showErrorMessage="1" prompt="Vnesite črko in prilagodite oznako na desni strani, če želite dodati še en ključni element." sqref="P2 T2" xr:uid="{00000000-0002-0000-0000-00000B000000}"/>
    <dataValidation allowBlank="1" showInputMessage="1" showErrorMessage="1" prompt="Vnesite oznako za opis tipke po meri na levi strani." sqref="Q2 U2" xr:uid="{00000000-0002-0000-0000-00000C000000}"/>
    <dataValidation allowBlank="1" showInputMessage="1" showErrorMessage="1" prompt="V programu odsotnost zaposlitve sledi odsotnost zaposlenih po dnevih za vsak mesec. Na voljo je 13 delovnih listov, 12 mesečnih &amp; zadnji za imena zaposlenih. Spremljanje odsotnosti z januarjem na tem delovnem listu" sqref="A1" xr:uid="{00000000-0002-0000-0000-00000D000000}"/>
    <dataValidation allowBlank="1" showInputMessage="1" showErrorMessage="1" prompt="V spodnjo celico vnesite leto" sqref="AH3" xr:uid="{00000000-0002-0000-0000-00000E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TEXT(WEEKDAY(DATE(KoledarskoLeto,10,1),1),"aaa")</f>
        <v>tor</v>
      </c>
      <c r="D5" s="2" t="str">
        <f>TEXT(WEEKDAY(DATE(KoledarskoLeto,10,2),1),"aaa")</f>
        <v>sre</v>
      </c>
      <c r="E5" s="2" t="str">
        <f>TEXT(WEEKDAY(DATE(KoledarskoLeto,10,3),1),"aaa")</f>
        <v>čet</v>
      </c>
      <c r="F5" s="2" t="str">
        <f>TEXT(WEEKDAY(DATE(KoledarskoLeto,10,4),1),"aaa")</f>
        <v>pet</v>
      </c>
      <c r="G5" s="2" t="str">
        <f>TEXT(WEEKDAY(DATE(KoledarskoLeto,10,5),1),"aaa")</f>
        <v>sob</v>
      </c>
      <c r="H5" s="2" t="str">
        <f>TEXT(WEEKDAY(DATE(KoledarskoLeto,10,6),1),"aaa")</f>
        <v>ned</v>
      </c>
      <c r="I5" s="2" t="str">
        <f>TEXT(WEEKDAY(DATE(KoledarskoLeto,10,7),1),"aaa")</f>
        <v>pon</v>
      </c>
      <c r="J5" s="2" t="str">
        <f>TEXT(WEEKDAY(DATE(KoledarskoLeto,10,8),1),"aaa")</f>
        <v>tor</v>
      </c>
      <c r="K5" s="2" t="str">
        <f>TEXT(WEEKDAY(DATE(KoledarskoLeto,10,9),1),"aaa")</f>
        <v>sre</v>
      </c>
      <c r="L5" s="2" t="str">
        <f>TEXT(WEEKDAY(DATE(KoledarskoLeto,10,10),1),"aaa")</f>
        <v>čet</v>
      </c>
      <c r="M5" s="2" t="str">
        <f>TEXT(WEEKDAY(DATE(KoledarskoLeto,10,11),1),"aaa")</f>
        <v>pet</v>
      </c>
      <c r="N5" s="2" t="str">
        <f>TEXT(WEEKDAY(DATE(KoledarskoLeto,10,12),1),"aaa")</f>
        <v>sob</v>
      </c>
      <c r="O5" s="2" t="str">
        <f>TEXT(WEEKDAY(DATE(KoledarskoLeto,10,13),1),"aaa")</f>
        <v>ned</v>
      </c>
      <c r="P5" s="2" t="str">
        <f>TEXT(WEEKDAY(DATE(KoledarskoLeto,10,14),1),"aaa")</f>
        <v>pon</v>
      </c>
      <c r="Q5" s="2" t="str">
        <f>TEXT(WEEKDAY(DATE(KoledarskoLeto,10,15),1),"aaa")</f>
        <v>tor</v>
      </c>
      <c r="R5" s="2" t="str">
        <f>TEXT(WEEKDAY(DATE(KoledarskoLeto,10,16),1),"aaa")</f>
        <v>sre</v>
      </c>
      <c r="S5" s="2" t="str">
        <f>TEXT(WEEKDAY(DATE(KoledarskoLeto,10,17),1),"aaa")</f>
        <v>čet</v>
      </c>
      <c r="T5" s="2" t="str">
        <f>TEXT(WEEKDAY(DATE(KoledarskoLeto,10,18),1),"aaa")</f>
        <v>pet</v>
      </c>
      <c r="U5" s="2" t="str">
        <f>TEXT(WEEKDAY(DATE(KoledarskoLeto,10,19),1),"aaa")</f>
        <v>sob</v>
      </c>
      <c r="V5" s="2" t="str">
        <f>TEXT(WEEKDAY(DATE(KoledarskoLeto,10,20),1),"aaa")</f>
        <v>ned</v>
      </c>
      <c r="W5" s="2" t="str">
        <f>TEXT(WEEKDAY(DATE(KoledarskoLeto,10,21),1),"aaa")</f>
        <v>pon</v>
      </c>
      <c r="X5" s="2" t="str">
        <f>TEXT(WEEKDAY(DATE(KoledarskoLeto,10,22),1),"aaa")</f>
        <v>tor</v>
      </c>
      <c r="Y5" s="2" t="str">
        <f>TEXT(WEEKDAY(DATE(KoledarskoLeto,10,23),1),"aaa")</f>
        <v>sre</v>
      </c>
      <c r="Z5" s="2" t="str">
        <f>TEXT(WEEKDAY(DATE(KoledarskoLeto,10,24),1),"aaa")</f>
        <v>čet</v>
      </c>
      <c r="AA5" s="2" t="str">
        <f>TEXT(WEEKDAY(DATE(KoledarskoLeto,10,25),1),"aaa")</f>
        <v>pet</v>
      </c>
      <c r="AB5" s="2" t="str">
        <f>TEXT(WEEKDAY(DATE(KoledarskoLeto,10,26),1),"aaa")</f>
        <v>sob</v>
      </c>
      <c r="AC5" s="2" t="str">
        <f>TEXT(WEEKDAY(DATE(KoledarskoLeto,10,27),1),"aaa")</f>
        <v>ned</v>
      </c>
      <c r="AD5" s="2" t="str">
        <f>TEXT(WEEKDAY(DATE(KoledarskoLeto,10,28),1),"aaa")</f>
        <v>pon</v>
      </c>
      <c r="AE5" s="2" t="str">
        <f>TEXT(WEEKDAY(DATE(KoledarskoLeto,10,29),1),"aaa")</f>
        <v>tor</v>
      </c>
      <c r="AF5" s="2" t="str">
        <f>TEXT(WEEKDAY(DATE(KoledarskoLeto,10,30),1),"aaa")</f>
        <v>sre</v>
      </c>
      <c r="AG5" s="2" t="str">
        <f>TEXT(WEEKDAY(DATE(KoledarskoLeto,10,31),1),"aaa")</f>
        <v>čet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COUNTA(Oktober[[#This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COUNTA(Oktober[[#This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COUNTA(Oktober[[#This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COUNTA(Oktober[[#This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COUNTA(Oktober[[#This Row],[1]:[31]])</f>
        <v>0</v>
      </c>
    </row>
    <row r="12" spans="2:34" ht="30" customHeight="1" x14ac:dyDescent="0.25">
      <c r="B12" s="21" t="str">
        <f>"Skupaj za "&amp;ImeMeseca</f>
        <v>Skupaj za Oktober</v>
      </c>
      <c r="C12" s="13">
        <f>SUBTOTAL(103,Oktober[1])</f>
        <v>0</v>
      </c>
      <c r="D12" s="13">
        <f>SUBTOTAL(103,Oktober[2])</f>
        <v>0</v>
      </c>
      <c r="E12" s="13">
        <f>SUBTOTAL(103,Oktober[3])</f>
        <v>0</v>
      </c>
      <c r="F12" s="13">
        <f>SUBTOTAL(103,Oktober[4])</f>
        <v>0</v>
      </c>
      <c r="G12" s="13">
        <f>SUBTOTAL(103,Oktober[5])</f>
        <v>0</v>
      </c>
      <c r="H12" s="13">
        <f>SUBTOTAL(103,Oktober[6])</f>
        <v>0</v>
      </c>
      <c r="I12" s="13">
        <f>SUBTOTAL(103,Oktober[7])</f>
        <v>0</v>
      </c>
      <c r="J12" s="13">
        <f>SUBTOTAL(103,Oktober[8])</f>
        <v>0</v>
      </c>
      <c r="K12" s="13">
        <f>SUBTOTAL(103,Oktober[9])</f>
        <v>0</v>
      </c>
      <c r="L12" s="13">
        <f>SUBTOTAL(103,Oktober[10])</f>
        <v>0</v>
      </c>
      <c r="M12" s="13">
        <f>SUBTOTAL(103,Oktober[11])</f>
        <v>0</v>
      </c>
      <c r="N12" s="13">
        <f>SUBTOTAL(103,Oktober[12])</f>
        <v>0</v>
      </c>
      <c r="O12" s="13">
        <f>SUBTOTAL(103,Oktober[13])</f>
        <v>0</v>
      </c>
      <c r="P12" s="13">
        <f>SUBTOTAL(103,Oktober[14])</f>
        <v>0</v>
      </c>
      <c r="Q12" s="13">
        <f>SUBTOTAL(103,Oktober[15])</f>
        <v>0</v>
      </c>
      <c r="R12" s="13">
        <f>SUBTOTAL(103,Oktober[16])</f>
        <v>0</v>
      </c>
      <c r="S12" s="13">
        <f>SUBTOTAL(103,Oktober[17])</f>
        <v>0</v>
      </c>
      <c r="T12" s="13">
        <f>SUBTOTAL(103,Oktober[18])</f>
        <v>0</v>
      </c>
      <c r="U12" s="13">
        <f>SUBTOTAL(103,Oktober[19])</f>
        <v>0</v>
      </c>
      <c r="V12" s="13">
        <f>SUBTOTAL(103,Oktober[20])</f>
        <v>0</v>
      </c>
      <c r="W12" s="13">
        <f>SUBTOTAL(103,Oktober[21])</f>
        <v>0</v>
      </c>
      <c r="X12" s="13">
        <f>SUBTOTAL(103,Oktober[22])</f>
        <v>0</v>
      </c>
      <c r="Y12" s="13">
        <f>SUBTOTAL(103,Oktober[23])</f>
        <v>0</v>
      </c>
      <c r="Z12" s="13">
        <f>SUBTOTAL(103,Oktober[24])</f>
        <v>0</v>
      </c>
      <c r="AA12" s="13">
        <f>SUBTOTAL(103,Oktober[25])</f>
        <v>0</v>
      </c>
      <c r="AB12" s="13">
        <f>SUBTOTAL(103,Oktober[26])</f>
        <v>0</v>
      </c>
      <c r="AC12" s="13">
        <f>SUBTOTAL(103,Oktober[27])</f>
        <v>0</v>
      </c>
      <c r="AD12" s="13">
        <f>SUBTOTAL(103,Oktober[28])</f>
        <v>0</v>
      </c>
      <c r="AE12" s="13">
        <f>SUBTOTAL(103,Oktober[29])</f>
        <v>0</v>
      </c>
      <c r="AF12" s="13">
        <f>SUBTOTAL(103,Oktober[30])</f>
        <v>0</v>
      </c>
      <c r="AG12" s="13">
        <f>SUBTOTAL(103,Oktober[31])</f>
        <v>0</v>
      </c>
      <c r="AH12" s="13">
        <f>SUBTOTAL(109,Oktober[Dni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221" priority="2" stopIfTrue="1">
      <formula>C7=TipkaPoMeri2</formula>
    </cfRule>
    <cfRule type="expression" dxfId="220" priority="3" stopIfTrue="1">
      <formula>C7=TipkaPoMeri1</formula>
    </cfRule>
    <cfRule type="expression" dxfId="219" priority="4" stopIfTrue="1">
      <formula>C7=TipkaBolniška</formula>
    </cfRule>
    <cfRule type="expression" dxfId="218" priority="5" stopIfTrue="1">
      <formula>C7=TipkaOsebno</formula>
    </cfRule>
    <cfRule type="expression" dxfId="217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900-000000000000}"/>
    <dataValidation allowBlank="1" showInputMessage="1" showErrorMessage="1" prompt="Samodejno posodobljeno leto na podlagi leta, vnesenega v delovni list Januar" sqref="AH4" xr:uid="{00000000-0002-0000-0900-000001000000}"/>
    <dataValidation allowBlank="1" showInputMessage="1" showErrorMessage="1" prompt="Skupno število dni, ko je bil zaposleni odsoten v tem mesecu, se samodejno izračuna v tem stolpcu." sqref="AH6" xr:uid="{00000000-0002-0000-0900-000002000000}"/>
    <dataValidation allowBlank="1" showInputMessage="1" showErrorMessage="1" prompt="Spremljanje odsotnosti v mesecu oktobru v tem delovnem listu" sqref="A1" xr:uid="{00000000-0002-0000-0900-000003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900-000004000000}"/>
    <dataValidation allowBlank="1" showInputMessage="1" showErrorMessage="1" prompt="Samodejno posodobljen naslov je v tej celici. Če želite spremeniti naslov, posodobite B1 na januarskem delovnem listu." sqref="B1" xr:uid="{00000000-0002-0000-0900-000005000000}"/>
    <dataValidation allowBlank="1" showInputMessage="1" showErrorMessage="1" prompt="Črka »D« označuje odsotnosti zaradi dopusta." sqref="C2" xr:uid="{00000000-0002-0000-0900-000006000000}"/>
    <dataValidation allowBlank="1" showInputMessage="1" showErrorMessage="1" prompt="Črka »O« označuje odsotnosti zaradi osebnih razlogov." sqref="G2" xr:uid="{00000000-0002-0000-0900-000007000000}"/>
    <dataValidation allowBlank="1" showInputMessage="1" showErrorMessage="1" prompt="Črka »B« označuje odsotnosti zaradi bolezni." sqref="K2" xr:uid="{00000000-0002-0000-0900-000008000000}"/>
    <dataValidation allowBlank="1" showInputMessage="1" showErrorMessage="1" prompt="Vnesite črko in prilagodite oznako na desni strani, če želite dodati še en ključni element." sqref="P2 T2" xr:uid="{00000000-0002-0000-0900-000009000000}"/>
    <dataValidation allowBlank="1" showInputMessage="1" showErrorMessage="1" prompt="Vnesite oznako za opis tipke po meri na levi strani." sqref="Q2 U2" xr:uid="{00000000-0002-0000-0900-00000A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900-00000B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900-00000C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9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TEXT(WEEKDAY(DATE(KoledarskoLeto,11,1),1),"aaa")</f>
        <v>pet</v>
      </c>
      <c r="D5" s="2" t="str">
        <f>TEXT(WEEKDAY(DATE(KoledarskoLeto,11,2),1),"aaa")</f>
        <v>sob</v>
      </c>
      <c r="E5" s="2" t="str">
        <f>TEXT(WEEKDAY(DATE(KoledarskoLeto,11,3),1),"aaa")</f>
        <v>ned</v>
      </c>
      <c r="F5" s="2" t="str">
        <f>TEXT(WEEKDAY(DATE(KoledarskoLeto,11,4),1),"aaa")</f>
        <v>pon</v>
      </c>
      <c r="G5" s="2" t="str">
        <f>TEXT(WEEKDAY(DATE(KoledarskoLeto,11,5),1),"aaa")</f>
        <v>tor</v>
      </c>
      <c r="H5" s="2" t="str">
        <f>TEXT(WEEKDAY(DATE(KoledarskoLeto,11,6),1),"aaa")</f>
        <v>sre</v>
      </c>
      <c r="I5" s="2" t="str">
        <f>TEXT(WEEKDAY(DATE(KoledarskoLeto,11,7),1),"aaa")</f>
        <v>čet</v>
      </c>
      <c r="J5" s="2" t="str">
        <f>TEXT(WEEKDAY(DATE(KoledarskoLeto,11,8),1),"aaa")</f>
        <v>pet</v>
      </c>
      <c r="K5" s="2" t="str">
        <f>TEXT(WEEKDAY(DATE(KoledarskoLeto,11,9),1),"aaa")</f>
        <v>sob</v>
      </c>
      <c r="L5" s="2" t="str">
        <f>TEXT(WEEKDAY(DATE(KoledarskoLeto,11,10),1),"aaa")</f>
        <v>ned</v>
      </c>
      <c r="M5" s="2" t="str">
        <f>TEXT(WEEKDAY(DATE(KoledarskoLeto,11,11),1),"aaa")</f>
        <v>pon</v>
      </c>
      <c r="N5" s="2" t="str">
        <f>TEXT(WEEKDAY(DATE(KoledarskoLeto,11,12),1),"aaa")</f>
        <v>tor</v>
      </c>
      <c r="O5" s="2" t="str">
        <f>TEXT(WEEKDAY(DATE(KoledarskoLeto,11,13),1),"aaa")</f>
        <v>sre</v>
      </c>
      <c r="P5" s="2" t="str">
        <f>TEXT(WEEKDAY(DATE(KoledarskoLeto,11,14),1),"aaa")</f>
        <v>čet</v>
      </c>
      <c r="Q5" s="2" t="str">
        <f>TEXT(WEEKDAY(DATE(KoledarskoLeto,11,15),1),"aaa")</f>
        <v>pet</v>
      </c>
      <c r="R5" s="2" t="str">
        <f>TEXT(WEEKDAY(DATE(KoledarskoLeto,11,16),1),"aaa")</f>
        <v>sob</v>
      </c>
      <c r="S5" s="2" t="str">
        <f>TEXT(WEEKDAY(DATE(KoledarskoLeto,11,17),1),"aaa")</f>
        <v>ned</v>
      </c>
      <c r="T5" s="2" t="str">
        <f>TEXT(WEEKDAY(DATE(KoledarskoLeto,11,18),1),"aaa")</f>
        <v>pon</v>
      </c>
      <c r="U5" s="2" t="str">
        <f>TEXT(WEEKDAY(DATE(KoledarskoLeto,11,19),1),"aaa")</f>
        <v>tor</v>
      </c>
      <c r="V5" s="2" t="str">
        <f>TEXT(WEEKDAY(DATE(KoledarskoLeto,11,20),1),"aaa")</f>
        <v>sre</v>
      </c>
      <c r="W5" s="2" t="str">
        <f>TEXT(WEEKDAY(DATE(KoledarskoLeto,11,21),1),"aaa")</f>
        <v>čet</v>
      </c>
      <c r="X5" s="2" t="str">
        <f>TEXT(WEEKDAY(DATE(KoledarskoLeto,11,22),1),"aaa")</f>
        <v>pet</v>
      </c>
      <c r="Y5" s="2" t="str">
        <f>TEXT(WEEKDAY(DATE(KoledarskoLeto,11,23),1),"aaa")</f>
        <v>sob</v>
      </c>
      <c r="Z5" s="2" t="str">
        <f>TEXT(WEEKDAY(DATE(KoledarskoLeto,11,24),1),"aaa")</f>
        <v>ned</v>
      </c>
      <c r="AA5" s="2" t="str">
        <f>TEXT(WEEKDAY(DATE(KoledarskoLeto,11,25),1),"aaa")</f>
        <v>pon</v>
      </c>
      <c r="AB5" s="2" t="str">
        <f>TEXT(WEEKDAY(DATE(KoledarskoLeto,11,26),1),"aaa")</f>
        <v>tor</v>
      </c>
      <c r="AC5" s="2" t="str">
        <f>TEXT(WEEKDAY(DATE(KoledarskoLeto,11,27),1),"aaa")</f>
        <v>sre</v>
      </c>
      <c r="AD5" s="2" t="str">
        <f>TEXT(WEEKDAY(DATE(KoledarskoLeto,11,28),1),"aaa")</f>
        <v>čet</v>
      </c>
      <c r="AE5" s="2" t="str">
        <f>TEXT(WEEKDAY(DATE(KoledarskoLeto,11,29),1),"aaa")</f>
        <v>pet</v>
      </c>
      <c r="AF5" s="2" t="str">
        <f>TEXT(WEEKDAY(DATE(KoledarskoLeto,11,30),1),"aaa")</f>
        <v>sob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COUNTA(November[[#This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COUNTA(November[[#This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COUNTA(November[[#This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COUNTA(November[[#This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COUNTA(November[[#This Row],[1]:[30]])</f>
        <v>0</v>
      </c>
    </row>
    <row r="12" spans="2:34" ht="30" customHeight="1" x14ac:dyDescent="0.25">
      <c r="B12" s="21" t="str">
        <f>"Skupaj za "&amp;ImeMeseca</f>
        <v>Skupaj za November</v>
      </c>
      <c r="C12" s="13">
        <f>SUBTOTAL(103,November[1])</f>
        <v>0</v>
      </c>
      <c r="D12" s="13">
        <f>SUBTOTAL(103,November[2])</f>
        <v>0</v>
      </c>
      <c r="E12" s="13">
        <f>SUBTOTAL(103,November[3])</f>
        <v>0</v>
      </c>
      <c r="F12" s="13">
        <f>SUBTOTAL(103,November[4])</f>
        <v>0</v>
      </c>
      <c r="G12" s="13">
        <f>SUBTOTAL(103,November[5])</f>
        <v>0</v>
      </c>
      <c r="H12" s="13">
        <f>SUBTOTAL(103,November[6])</f>
        <v>0</v>
      </c>
      <c r="I12" s="13">
        <f>SUBTOTAL(103,November[7])</f>
        <v>0</v>
      </c>
      <c r="J12" s="13">
        <f>SUBTOTAL(103,November[8])</f>
        <v>0</v>
      </c>
      <c r="K12" s="13">
        <f>SUBTOTAL(103,November[9])</f>
        <v>0</v>
      </c>
      <c r="L12" s="13">
        <f>SUBTOTAL(103,November[10])</f>
        <v>0</v>
      </c>
      <c r="M12" s="13">
        <f>SUBTOTAL(103,November[11])</f>
        <v>0</v>
      </c>
      <c r="N12" s="13">
        <f>SUBTOTAL(103,November[12])</f>
        <v>0</v>
      </c>
      <c r="O12" s="13">
        <f>SUBTOTAL(103,November[13])</f>
        <v>0</v>
      </c>
      <c r="P12" s="13">
        <f>SUBTOTAL(103,November[14])</f>
        <v>0</v>
      </c>
      <c r="Q12" s="13">
        <f>SUBTOTAL(103,November[15])</f>
        <v>0</v>
      </c>
      <c r="R12" s="13">
        <f>SUBTOTAL(103,November[16])</f>
        <v>0</v>
      </c>
      <c r="S12" s="13">
        <f>SUBTOTAL(103,November[17])</f>
        <v>0</v>
      </c>
      <c r="T12" s="13">
        <f>SUBTOTAL(103,November[18])</f>
        <v>0</v>
      </c>
      <c r="U12" s="13">
        <f>SUBTOTAL(103,November[19])</f>
        <v>0</v>
      </c>
      <c r="V12" s="13">
        <f>SUBTOTAL(103,November[20])</f>
        <v>0</v>
      </c>
      <c r="W12" s="13">
        <f>SUBTOTAL(103,November[21])</f>
        <v>0</v>
      </c>
      <c r="X12" s="13">
        <f>SUBTOTAL(103,November[22])</f>
        <v>0</v>
      </c>
      <c r="Y12" s="13">
        <f>SUBTOTAL(103,November[23])</f>
        <v>0</v>
      </c>
      <c r="Z12" s="13">
        <f>SUBTOTAL(103,November[24])</f>
        <v>0</v>
      </c>
      <c r="AA12" s="13">
        <f>SUBTOTAL(103,November[25])</f>
        <v>0</v>
      </c>
      <c r="AB12" s="13">
        <f>SUBTOTAL(103,November[26])</f>
        <v>0</v>
      </c>
      <c r="AC12" s="13">
        <f>SUBTOTAL(103,November[27])</f>
        <v>0</v>
      </c>
      <c r="AD12" s="13">
        <f>SUBTOTAL(103,November[28])</f>
        <v>0</v>
      </c>
      <c r="AE12" s="13">
        <f>SUBTOTAL(103,November[29])</f>
        <v>0</v>
      </c>
      <c r="AF12" s="13">
        <f>SUBTOTAL(103,November[30])</f>
        <v>0</v>
      </c>
      <c r="AG12" s="13">
        <f>SUBTOTAL(103,November[[ ]])</f>
        <v>0</v>
      </c>
      <c r="AH12" s="13">
        <f>SUBTOTAL(109,November[Dni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147" priority="2" stopIfTrue="1">
      <formula>C7=TipkaPoMeri2</formula>
    </cfRule>
    <cfRule type="expression" dxfId="146" priority="3" stopIfTrue="1">
      <formula>C7=TipkaPoMeri1</formula>
    </cfRule>
    <cfRule type="expression" dxfId="145" priority="4" stopIfTrue="1">
      <formula>C7=TipkaBolniška</formula>
    </cfRule>
    <cfRule type="expression" dxfId="144" priority="5" stopIfTrue="1">
      <formula>C7=TipkaOsebno</formula>
    </cfRule>
    <cfRule type="expression" dxfId="143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A00-000000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A00-000001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A00-000002000000}"/>
    <dataValidation allowBlank="1" showInputMessage="1" showErrorMessage="1" prompt="Vnesite oznako za opis tipke po meri na levi strani." sqref="Q2 U2" xr:uid="{00000000-0002-0000-0A00-000003000000}"/>
    <dataValidation allowBlank="1" showInputMessage="1" showErrorMessage="1" prompt="Vnesite črko in prilagodite oznako na desni strani, če želite dodati še en ključni element." sqref="P2 T2" xr:uid="{00000000-0002-0000-0A00-000004000000}"/>
    <dataValidation allowBlank="1" showInputMessage="1" showErrorMessage="1" prompt="Črka »B« označuje odsotnosti zaradi bolezni." sqref="K2" xr:uid="{00000000-0002-0000-0A00-000005000000}"/>
    <dataValidation allowBlank="1" showInputMessage="1" showErrorMessage="1" prompt="Črka »O« označuje odsotnosti zaradi osebnih razlogov." sqref="G2" xr:uid="{00000000-0002-0000-0A00-000006000000}"/>
    <dataValidation allowBlank="1" showInputMessage="1" showErrorMessage="1" prompt="Črka »D« označuje odsotnosti zaradi dopusta." sqref="C2" xr:uid="{00000000-0002-0000-0A00-000007000000}"/>
    <dataValidation allowBlank="1" showInputMessage="1" showErrorMessage="1" prompt="Samodejno posodobljen naslov je v tej celici. Če želite spremeniti naslov, posodobite B1 na januarskem delovnem listu." sqref="B1" xr:uid="{00000000-0002-0000-0A00-000008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A00-000009000000}"/>
    <dataValidation allowBlank="1" showInputMessage="1" showErrorMessage="1" prompt="Spremljanje odsotnosti v mesecu novembru v tem delovnem listu" sqref="A1" xr:uid="{00000000-0002-0000-0A00-00000A000000}"/>
    <dataValidation allowBlank="1" showInputMessage="1" showErrorMessage="1" prompt="Skupno število dni, ko je bil zaposleni odsoten v tem mesecu, se samodejno izračuna v tem stolpcu." sqref="AH6" xr:uid="{00000000-0002-0000-0A00-00000B000000}"/>
    <dataValidation allowBlank="1" showInputMessage="1" showErrorMessage="1" prompt="Samodejno posodobljeno leto na podlagi leta, vnesenega v delovni list Januar" sqref="AH4" xr:uid="{00000000-0002-0000-0A00-00000C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A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TEXT(WEEKDAY(DATE(KoledarskoLeto,12,1),1),"aaa")</f>
        <v>ned</v>
      </c>
      <c r="D5" s="2" t="str">
        <f>TEXT(WEEKDAY(DATE(KoledarskoLeto,12,2),1),"aaa")</f>
        <v>pon</v>
      </c>
      <c r="E5" s="2" t="str">
        <f>TEXT(WEEKDAY(DATE(KoledarskoLeto,12,3),1),"aaa")</f>
        <v>tor</v>
      </c>
      <c r="F5" s="2" t="str">
        <f>TEXT(WEEKDAY(DATE(KoledarskoLeto,12,4),1),"aaa")</f>
        <v>sre</v>
      </c>
      <c r="G5" s="2" t="str">
        <f>TEXT(WEEKDAY(DATE(KoledarskoLeto,12,5),1),"aaa")</f>
        <v>čet</v>
      </c>
      <c r="H5" s="2" t="str">
        <f>TEXT(WEEKDAY(DATE(KoledarskoLeto,12,6),1),"aaa")</f>
        <v>pet</v>
      </c>
      <c r="I5" s="2" t="str">
        <f>TEXT(WEEKDAY(DATE(KoledarskoLeto,12,7),1),"aaa")</f>
        <v>sob</v>
      </c>
      <c r="J5" s="2" t="str">
        <f>TEXT(WEEKDAY(DATE(KoledarskoLeto,12,8),1),"aaa")</f>
        <v>ned</v>
      </c>
      <c r="K5" s="2" t="str">
        <f>TEXT(WEEKDAY(DATE(KoledarskoLeto,12,9),1),"aaa")</f>
        <v>pon</v>
      </c>
      <c r="L5" s="2" t="str">
        <f>TEXT(WEEKDAY(DATE(KoledarskoLeto,12,10),1),"aaa")</f>
        <v>tor</v>
      </c>
      <c r="M5" s="2" t="str">
        <f>TEXT(WEEKDAY(DATE(KoledarskoLeto,12,11),1),"aaa")</f>
        <v>sre</v>
      </c>
      <c r="N5" s="2" t="str">
        <f>TEXT(WEEKDAY(DATE(KoledarskoLeto,12,12),1),"aaa")</f>
        <v>čet</v>
      </c>
      <c r="O5" s="2" t="str">
        <f>TEXT(WEEKDAY(DATE(KoledarskoLeto,12,13),1),"aaa")</f>
        <v>pet</v>
      </c>
      <c r="P5" s="2" t="str">
        <f>TEXT(WEEKDAY(DATE(KoledarskoLeto,12,14),1),"aaa")</f>
        <v>sob</v>
      </c>
      <c r="Q5" s="2" t="str">
        <f>TEXT(WEEKDAY(DATE(KoledarskoLeto,12,15),1),"aaa")</f>
        <v>ned</v>
      </c>
      <c r="R5" s="2" t="str">
        <f>TEXT(WEEKDAY(DATE(KoledarskoLeto,12,16),1),"aaa")</f>
        <v>pon</v>
      </c>
      <c r="S5" s="2" t="str">
        <f>TEXT(WEEKDAY(DATE(KoledarskoLeto,12,17),1),"aaa")</f>
        <v>tor</v>
      </c>
      <c r="T5" s="2" t="str">
        <f>TEXT(WEEKDAY(DATE(KoledarskoLeto,12,18),1),"aaa")</f>
        <v>sre</v>
      </c>
      <c r="U5" s="2" t="str">
        <f>TEXT(WEEKDAY(DATE(KoledarskoLeto,12,19),1),"aaa")</f>
        <v>čet</v>
      </c>
      <c r="V5" s="2" t="str">
        <f>TEXT(WEEKDAY(DATE(KoledarskoLeto,12,20),1),"aaa")</f>
        <v>pet</v>
      </c>
      <c r="W5" s="2" t="str">
        <f>TEXT(WEEKDAY(DATE(KoledarskoLeto,12,21),1),"aaa")</f>
        <v>sob</v>
      </c>
      <c r="X5" s="2" t="str">
        <f>TEXT(WEEKDAY(DATE(KoledarskoLeto,12,22),1),"aaa")</f>
        <v>ned</v>
      </c>
      <c r="Y5" s="2" t="str">
        <f>TEXT(WEEKDAY(DATE(KoledarskoLeto,12,23),1),"aaa")</f>
        <v>pon</v>
      </c>
      <c r="Z5" s="2" t="str">
        <f>TEXT(WEEKDAY(DATE(KoledarskoLeto,12,24),1),"aaa")</f>
        <v>tor</v>
      </c>
      <c r="AA5" s="2" t="str">
        <f>TEXT(WEEKDAY(DATE(KoledarskoLeto,12,25),1),"aaa")</f>
        <v>sre</v>
      </c>
      <c r="AB5" s="2" t="str">
        <f>TEXT(WEEKDAY(DATE(KoledarskoLeto,12,26),1),"aaa")</f>
        <v>čet</v>
      </c>
      <c r="AC5" s="2" t="str">
        <f>TEXT(WEEKDAY(DATE(KoledarskoLeto,12,27),1),"aaa")</f>
        <v>pet</v>
      </c>
      <c r="AD5" s="2" t="str">
        <f>TEXT(WEEKDAY(DATE(KoledarskoLeto,12,28),1),"aaa")</f>
        <v>sob</v>
      </c>
      <c r="AE5" s="2" t="str">
        <f>TEXT(WEEKDAY(DATE(KoledarskoLeto,12,29),1),"aaa")</f>
        <v>ned</v>
      </c>
      <c r="AF5" s="2" t="str">
        <f>TEXT(WEEKDAY(DATE(KoledarskoLeto,12,30),1),"aaa")</f>
        <v>pon</v>
      </c>
      <c r="AG5" s="2" t="str">
        <f>TEXT(WEEKDAY(DATE(KoledarskoLeto,12,31),1),"aaa")</f>
        <v>tor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COUNTA(December[[#This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COUNTA(December[[#This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COUNTA(December[[#This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COUNTA(December[[#This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COUNTA(December[[#This Row],[1]:[31]])</f>
        <v>0</v>
      </c>
    </row>
    <row r="12" spans="2:34" ht="30" customHeight="1" x14ac:dyDescent="0.25">
      <c r="B12" s="21" t="str">
        <f>"Skupaj za "&amp;ImeMeseca</f>
        <v>Skupaj za December</v>
      </c>
      <c r="C12" s="13">
        <f>SUBTOTAL(103,December[1])</f>
        <v>0</v>
      </c>
      <c r="D12" s="13">
        <f>SUBTOTAL(103,December[2])</f>
        <v>0</v>
      </c>
      <c r="E12" s="13">
        <f>SUBTOTAL(103,December[3])</f>
        <v>0</v>
      </c>
      <c r="F12" s="13">
        <f>SUBTOTAL(103,December[4])</f>
        <v>0</v>
      </c>
      <c r="G12" s="13">
        <f>SUBTOTAL(103,December[5])</f>
        <v>0</v>
      </c>
      <c r="H12" s="13">
        <f>SUBTOTAL(103,December[6])</f>
        <v>0</v>
      </c>
      <c r="I12" s="13">
        <f>SUBTOTAL(103,December[7])</f>
        <v>0</v>
      </c>
      <c r="J12" s="13">
        <f>SUBTOTAL(103,December[8])</f>
        <v>0</v>
      </c>
      <c r="K12" s="13">
        <f>SUBTOTAL(103,December[9])</f>
        <v>0</v>
      </c>
      <c r="L12" s="13">
        <f>SUBTOTAL(103,December[10])</f>
        <v>0</v>
      </c>
      <c r="M12" s="13">
        <f>SUBTOTAL(103,December[11])</f>
        <v>0</v>
      </c>
      <c r="N12" s="13">
        <f>SUBTOTAL(103,December[12])</f>
        <v>0</v>
      </c>
      <c r="O12" s="13">
        <f>SUBTOTAL(103,December[13])</f>
        <v>0</v>
      </c>
      <c r="P12" s="13">
        <f>SUBTOTAL(103,December[14])</f>
        <v>0</v>
      </c>
      <c r="Q12" s="13">
        <f>SUBTOTAL(103,December[15])</f>
        <v>0</v>
      </c>
      <c r="R12" s="13">
        <f>SUBTOTAL(103,December[16])</f>
        <v>0</v>
      </c>
      <c r="S12" s="13">
        <f>SUBTOTAL(103,December[17])</f>
        <v>0</v>
      </c>
      <c r="T12" s="13">
        <f>SUBTOTAL(103,December[18])</f>
        <v>0</v>
      </c>
      <c r="U12" s="13">
        <f>SUBTOTAL(103,December[19])</f>
        <v>0</v>
      </c>
      <c r="V12" s="13">
        <f>SUBTOTAL(103,December[20])</f>
        <v>0</v>
      </c>
      <c r="W12" s="13">
        <f>SUBTOTAL(103,December[21])</f>
        <v>0</v>
      </c>
      <c r="X12" s="13">
        <f>SUBTOTAL(103,December[22])</f>
        <v>0</v>
      </c>
      <c r="Y12" s="13">
        <f>SUBTOTAL(103,December[23])</f>
        <v>0</v>
      </c>
      <c r="Z12" s="13">
        <f>SUBTOTAL(103,December[24])</f>
        <v>0</v>
      </c>
      <c r="AA12" s="13">
        <f>SUBTOTAL(103,December[25])</f>
        <v>0</v>
      </c>
      <c r="AB12" s="13">
        <f>SUBTOTAL(103,December[26])</f>
        <v>0</v>
      </c>
      <c r="AC12" s="13">
        <f>SUBTOTAL(103,December[27])</f>
        <v>0</v>
      </c>
      <c r="AD12" s="13">
        <f>SUBTOTAL(103,December[28])</f>
        <v>0</v>
      </c>
      <c r="AE12" s="13">
        <f>SUBTOTAL(103,December[29])</f>
        <v>0</v>
      </c>
      <c r="AF12" s="13">
        <f>SUBTOTAL(103,December[30])</f>
        <v>0</v>
      </c>
      <c r="AG12" s="13">
        <f>SUBTOTAL(103,December[31])</f>
        <v>0</v>
      </c>
      <c r="AH12" s="13">
        <f>SUBTOTAL(109,December[Dni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73" priority="2" stopIfTrue="1">
      <formula>C7=TipkaPoMeri2</formula>
    </cfRule>
    <cfRule type="expression" dxfId="72" priority="3" stopIfTrue="1">
      <formula>C7=TipkaPoMeri1</formula>
    </cfRule>
    <cfRule type="expression" dxfId="71" priority="4" stopIfTrue="1">
      <formula>C7=TipkaBolniška</formula>
    </cfRule>
    <cfRule type="expression" dxfId="70" priority="5" stopIfTrue="1">
      <formula>C7=TipkaOsebno</formula>
    </cfRule>
    <cfRule type="expression" dxfId="69" priority="6" stopIfTrue="1">
      <formula>C7=TipkaDopust</formula>
    </cfRule>
  </conditionalFormatting>
  <conditionalFormatting sqref="AH7:AH11">
    <cfRule type="dataBar" priority="30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Samodejno posodobljeno leto na podlagi leta, vnesenega v delovni list Januar" sqref="AH4" xr:uid="{00000000-0002-0000-0B00-000000000000}"/>
    <dataValidation allowBlank="1" showInputMessage="1" showErrorMessage="1" prompt="Skupno število dni, ko je bil zaposleni odsoten v tem mesecu, se samodejno izračuna v tem stolpcu." sqref="AH6" xr:uid="{00000000-0002-0000-0B00-000001000000}"/>
    <dataValidation allowBlank="1" showInputMessage="1" showErrorMessage="1" prompt="Spremljanje odsotnosti v mesecu decembru v tem delovnem listu" sqref="A1" xr:uid="{00000000-0002-0000-0B00-000002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B00-000003000000}"/>
    <dataValidation allowBlank="1" showInputMessage="1" showErrorMessage="1" prompt="Samodejno posodobljen naslov je v tej celici. Če želite spremeniti naslov, posodobite B1 na januarskem delovnem listu." sqref="B1" xr:uid="{00000000-0002-0000-0B00-000004000000}"/>
    <dataValidation allowBlank="1" showInputMessage="1" showErrorMessage="1" prompt="Črka »D« označuje odsotnosti zaradi dopusta." sqref="C2" xr:uid="{00000000-0002-0000-0B00-000005000000}"/>
    <dataValidation allowBlank="1" showInputMessage="1" showErrorMessage="1" prompt="Črka »O« označuje odsotnosti zaradi osebnih razlogov." sqref="G2" xr:uid="{00000000-0002-0000-0B00-000006000000}"/>
    <dataValidation allowBlank="1" showInputMessage="1" showErrorMessage="1" prompt="Črka »B« označuje odsotnosti zaradi bolezni." sqref="K2" xr:uid="{00000000-0002-0000-0B00-000007000000}"/>
    <dataValidation allowBlank="1" showInputMessage="1" showErrorMessage="1" prompt="Vnesite črko in prilagodite oznako na desni strani, če želite dodati še en ključni element." sqref="P2 T2" xr:uid="{00000000-0002-0000-0B00-000008000000}"/>
    <dataValidation allowBlank="1" showInputMessage="1" showErrorMessage="1" prompt="Vnesite oznako za opis tipke po meri na levi strani." sqref="Q2 U2" xr:uid="{00000000-0002-0000-0B00-000009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B00-00000A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B00-00000B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B00-00000C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B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W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3" ht="50.1" customHeight="1" x14ac:dyDescent="0.25">
      <c r="B1" s="22" t="s">
        <v>61</v>
      </c>
    </row>
    <row r="2" spans="2:23" ht="15" customHeight="1" x14ac:dyDescent="0.25">
      <c r="L2" s="26"/>
      <c r="M2" s="26"/>
      <c r="N2" s="26"/>
      <c r="O2" s="26"/>
      <c r="Q2" s="26"/>
      <c r="R2" s="26"/>
      <c r="S2" s="26"/>
      <c r="U2" s="26"/>
      <c r="V2" s="26"/>
      <c r="W2" s="26"/>
    </row>
    <row r="3" spans="2:23" ht="30" customHeight="1" x14ac:dyDescent="0.25">
      <c r="B3" t="s">
        <v>61</v>
      </c>
    </row>
    <row r="4" spans="2:23" ht="30" customHeight="1" x14ac:dyDescent="0.25">
      <c r="B4" s="1" t="s">
        <v>4</v>
      </c>
    </row>
    <row r="5" spans="2:23" ht="30" customHeight="1" x14ac:dyDescent="0.25">
      <c r="B5" s="1" t="s">
        <v>5</v>
      </c>
    </row>
    <row r="6" spans="2:23" ht="30" customHeight="1" x14ac:dyDescent="0.25">
      <c r="B6" s="1" t="s">
        <v>6</v>
      </c>
    </row>
    <row r="7" spans="2:23" ht="30" customHeight="1" x14ac:dyDescent="0.25">
      <c r="B7" s="1" t="s">
        <v>7</v>
      </c>
    </row>
    <row r="8" spans="2:23" ht="30" customHeight="1" x14ac:dyDescent="0.25">
      <c r="B8" s="1" t="s">
        <v>8</v>
      </c>
    </row>
  </sheetData>
  <mergeCells count="3">
    <mergeCell ref="L2:O2"/>
    <mergeCell ref="Q2:S2"/>
    <mergeCell ref="U2:W2"/>
  </mergeCells>
  <dataValidations count="3">
    <dataValidation allowBlank="1" showInputMessage="1" showErrorMessage="1" prompt="Naslov imen zaposlenih" sqref="B1" xr:uid="{00000000-0002-0000-0C00-000000000000}"/>
    <dataValidation allowBlank="1" showInputMessage="1" showErrorMessage="1" prompt="Vnesite imena zaposlenih v tabelo ime zaposlenega na tem delovnem listu. Ta imena so uporabljena kot možnosti v stolpcu B tabele odsotnost vsakega meseca." sqref="A1" xr:uid="{00000000-0002-0000-0C00-000001000000}"/>
    <dataValidation allowBlank="1" showInputMessage="1" showErrorMessage="1" prompt="Vnesite imena zaposlenih v ta stolpec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/>
    </row>
    <row r="4" spans="2:34" ht="30" customHeight="1" x14ac:dyDescent="0.25">
      <c r="B4" s="12" t="s">
        <v>48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TEXT(WEEKDAY(DATE(KoledarskoLeto,2,1),1),"aaa")</f>
        <v>pet</v>
      </c>
      <c r="D5" s="2" t="str">
        <f>TEXT(WEEKDAY(DATE(KoledarskoLeto,2,2),1),"aaa")</f>
        <v>sob</v>
      </c>
      <c r="E5" s="2" t="str">
        <f>TEXT(WEEKDAY(DATE(KoledarskoLeto,2,3),1),"aaa")</f>
        <v>ned</v>
      </c>
      <c r="F5" s="2" t="str">
        <f>TEXT(WEEKDAY(DATE(KoledarskoLeto,2,4),1),"aaa")</f>
        <v>pon</v>
      </c>
      <c r="G5" s="2" t="str">
        <f>TEXT(WEEKDAY(DATE(KoledarskoLeto,2,5),1),"aaa")</f>
        <v>tor</v>
      </c>
      <c r="H5" s="2" t="str">
        <f>TEXT(WEEKDAY(DATE(KoledarskoLeto,2,6),1),"aaa")</f>
        <v>sre</v>
      </c>
      <c r="I5" s="2" t="str">
        <f>TEXT(WEEKDAY(DATE(KoledarskoLeto,2,7),1),"aaa")</f>
        <v>čet</v>
      </c>
      <c r="J5" s="2" t="str">
        <f>TEXT(WEEKDAY(DATE(KoledarskoLeto,2,8),1),"aaa")</f>
        <v>pet</v>
      </c>
      <c r="K5" s="2" t="str">
        <f>TEXT(WEEKDAY(DATE(KoledarskoLeto,2,9),1),"aaa")</f>
        <v>sob</v>
      </c>
      <c r="L5" s="2" t="str">
        <f>TEXT(WEEKDAY(DATE(KoledarskoLeto,2,10),1),"aaa")</f>
        <v>ned</v>
      </c>
      <c r="M5" s="2" t="str">
        <f>TEXT(WEEKDAY(DATE(KoledarskoLeto,2,11),1),"aaa")</f>
        <v>pon</v>
      </c>
      <c r="N5" s="2" t="str">
        <f>TEXT(WEEKDAY(DATE(KoledarskoLeto,2,12),1),"aaa")</f>
        <v>tor</v>
      </c>
      <c r="O5" s="2" t="str">
        <f>TEXT(WEEKDAY(DATE(KoledarskoLeto,2,13),1),"aaa")</f>
        <v>sre</v>
      </c>
      <c r="P5" s="2" t="str">
        <f>TEXT(WEEKDAY(DATE(KoledarskoLeto,2,14),1),"aaa")</f>
        <v>čet</v>
      </c>
      <c r="Q5" s="2" t="str">
        <f>TEXT(WEEKDAY(DATE(KoledarskoLeto,2,15),1),"aaa")</f>
        <v>pet</v>
      </c>
      <c r="R5" s="2" t="str">
        <f>TEXT(WEEKDAY(DATE(KoledarskoLeto,2,16),1),"aaa")</f>
        <v>sob</v>
      </c>
      <c r="S5" s="2" t="str">
        <f>TEXT(WEEKDAY(DATE(KoledarskoLeto,2,17),1),"aaa")</f>
        <v>ned</v>
      </c>
      <c r="T5" s="2" t="str">
        <f>TEXT(WEEKDAY(DATE(KoledarskoLeto,2,18),1),"aaa")</f>
        <v>pon</v>
      </c>
      <c r="U5" s="2" t="str">
        <f>TEXT(WEEKDAY(DATE(KoledarskoLeto,2,19),1),"aaa")</f>
        <v>tor</v>
      </c>
      <c r="V5" s="2" t="str">
        <f>TEXT(WEEKDAY(DATE(KoledarskoLeto,2,20),1),"aaa")</f>
        <v>sre</v>
      </c>
      <c r="W5" s="2" t="str">
        <f>TEXT(WEEKDAY(DATE(KoledarskoLeto,2,21),1),"aaa")</f>
        <v>čet</v>
      </c>
      <c r="X5" s="2" t="str">
        <f>TEXT(WEEKDAY(DATE(KoledarskoLeto,2,22),1),"aaa")</f>
        <v>pet</v>
      </c>
      <c r="Y5" s="2" t="str">
        <f>TEXT(WEEKDAY(DATE(KoledarskoLeto,2,23),1),"aaa")</f>
        <v>sob</v>
      </c>
      <c r="Z5" s="2" t="str">
        <f>TEXT(WEEKDAY(DATE(KoledarskoLeto,2,24),1),"aaa")</f>
        <v>ned</v>
      </c>
      <c r="AA5" s="2" t="str">
        <f>TEXT(WEEKDAY(DATE(KoledarskoLeto,2,25),1),"aaa")</f>
        <v>pon</v>
      </c>
      <c r="AB5" s="2" t="str">
        <f>TEXT(WEEKDAY(DATE(KoledarskoLeto,2,26),1),"aaa")</f>
        <v>tor</v>
      </c>
      <c r="AC5" s="2" t="str">
        <f>TEXT(WEEKDAY(DATE(KoledarskoLeto,2,27),1),"aaa")</f>
        <v>sre</v>
      </c>
      <c r="AD5" s="2" t="str">
        <f>TEXT(WEEKDAY(DATE(KoledarskoLeto,2,28),1),"aaa")</f>
        <v>čet</v>
      </c>
      <c r="AE5" s="2" t="str">
        <f>TEXT(WEEKDAY(DATE(KoledarskoLeto,2,29),1),"aaa")</f>
        <v>pet</v>
      </c>
      <c r="AF5" s="2"/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49</v>
      </c>
      <c r="AG6" s="3" t="s">
        <v>50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 t="s">
        <v>62</v>
      </c>
      <c r="F7" s="3" t="s">
        <v>62</v>
      </c>
      <c r="G7" s="3" t="s">
        <v>62</v>
      </c>
      <c r="H7" s="3" t="s">
        <v>62</v>
      </c>
      <c r="I7" s="3"/>
      <c r="J7" s="3"/>
      <c r="K7" s="3"/>
      <c r="L7" s="3"/>
      <c r="M7" s="3"/>
      <c r="N7" s="3"/>
      <c r="O7" s="3" t="s">
        <v>62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COUNTA(Februar[[#This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64</v>
      </c>
      <c r="H8" s="3" t="s">
        <v>64</v>
      </c>
      <c r="I8" s="3"/>
      <c r="J8" s="3"/>
      <c r="K8" s="3"/>
      <c r="L8" s="3"/>
      <c r="M8" s="3" t="s">
        <v>63</v>
      </c>
      <c r="N8" s="3"/>
      <c r="O8" s="3"/>
      <c r="P8" s="3"/>
      <c r="Q8" s="3"/>
      <c r="R8" s="3"/>
      <c r="S8" s="3"/>
      <c r="T8" s="3"/>
      <c r="U8" s="3"/>
      <c r="V8" s="3" t="s">
        <v>64</v>
      </c>
      <c r="W8" s="3"/>
      <c r="X8" s="3"/>
      <c r="Y8" s="3"/>
      <c r="Z8" s="3"/>
      <c r="AA8" s="3" t="s">
        <v>62</v>
      </c>
      <c r="AB8" s="3" t="s">
        <v>62</v>
      </c>
      <c r="AC8" s="3" t="s">
        <v>62</v>
      </c>
      <c r="AD8" s="3"/>
      <c r="AE8" s="3"/>
      <c r="AF8" s="3"/>
      <c r="AG8" s="3"/>
      <c r="AH8" s="10">
        <f>COUNTA(Februar[[#This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COUNTA(Februar[[#This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64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64</v>
      </c>
      <c r="Q10" s="3"/>
      <c r="R10" s="3"/>
      <c r="S10" s="3"/>
      <c r="T10" s="3" t="s">
        <v>63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64</v>
      </c>
      <c r="AE10" s="3"/>
      <c r="AF10" s="3"/>
      <c r="AG10" s="3"/>
      <c r="AH10" s="10">
        <f>COUNTA(Februar[[#This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62</v>
      </c>
      <c r="K11" s="3" t="s">
        <v>62</v>
      </c>
      <c r="L11" s="3" t="s">
        <v>62</v>
      </c>
      <c r="M11" s="3" t="s">
        <v>62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64</v>
      </c>
      <c r="AA11" s="3"/>
      <c r="AB11" s="3"/>
      <c r="AC11" s="3"/>
      <c r="AD11" s="3"/>
      <c r="AE11" s="3"/>
      <c r="AF11" s="3"/>
      <c r="AG11" s="3"/>
      <c r="AH11" s="10">
        <f>COUNTA(Februar[[#This Row],[1]:[29]])</f>
        <v>5</v>
      </c>
    </row>
    <row r="12" spans="2:34" ht="30" customHeight="1" x14ac:dyDescent="0.25">
      <c r="B12" s="21" t="str">
        <f>"Skupaj za "&amp;ImeMeseca</f>
        <v>Skupaj za Februar</v>
      </c>
      <c r="C12" s="13">
        <f>SUBTOTAL(103,Februar[1])</f>
        <v>0</v>
      </c>
      <c r="D12" s="13">
        <f>SUBTOTAL(103,Februar[2])</f>
        <v>0</v>
      </c>
      <c r="E12" s="13">
        <f>SUBTOTAL(103,Februar[3])</f>
        <v>2</v>
      </c>
      <c r="F12" s="13">
        <f>SUBTOTAL(103,Februar[4])</f>
        <v>1</v>
      </c>
      <c r="G12" s="13">
        <f>SUBTOTAL(103,Februar[5])</f>
        <v>2</v>
      </c>
      <c r="H12" s="13">
        <f>SUBTOTAL(103,Februar[6])</f>
        <v>2</v>
      </c>
      <c r="I12" s="13">
        <f>SUBTOTAL(103,Februar[7])</f>
        <v>0</v>
      </c>
      <c r="J12" s="13">
        <f>SUBTOTAL(103,Februar[8])</f>
        <v>1</v>
      </c>
      <c r="K12" s="13">
        <f>SUBTOTAL(103,Februar[9])</f>
        <v>1</v>
      </c>
      <c r="L12" s="13">
        <f>SUBTOTAL(103,Februar[10])</f>
        <v>1</v>
      </c>
      <c r="M12" s="13">
        <f>SUBTOTAL(103,Februar[11])</f>
        <v>2</v>
      </c>
      <c r="N12" s="13">
        <f>SUBTOTAL(103,Februar[12])</f>
        <v>0</v>
      </c>
      <c r="O12" s="13">
        <f>SUBTOTAL(103,Februar[13])</f>
        <v>1</v>
      </c>
      <c r="P12" s="13">
        <f>SUBTOTAL(103,Februar[14])</f>
        <v>1</v>
      </c>
      <c r="Q12" s="13">
        <f>SUBTOTAL(103,Februar[15])</f>
        <v>0</v>
      </c>
      <c r="R12" s="13">
        <f>SUBTOTAL(103,Februar[16])</f>
        <v>0</v>
      </c>
      <c r="S12" s="13">
        <f>SUBTOTAL(103,Februar[17])</f>
        <v>0</v>
      </c>
      <c r="T12" s="13">
        <f>SUBTOTAL(103,Februar[18])</f>
        <v>1</v>
      </c>
      <c r="U12" s="13">
        <f>SUBTOTAL(103,Februar[19])</f>
        <v>0</v>
      </c>
      <c r="V12" s="13">
        <f>SUBTOTAL(103,Februar[20])</f>
        <v>1</v>
      </c>
      <c r="W12" s="13">
        <f>SUBTOTAL(103,Februar[21])</f>
        <v>0</v>
      </c>
      <c r="X12" s="13">
        <f>SUBTOTAL(103,Februar[22])</f>
        <v>0</v>
      </c>
      <c r="Y12" s="13">
        <f>SUBTOTAL(103,Februar[23])</f>
        <v>0</v>
      </c>
      <c r="Z12" s="13">
        <f>SUBTOTAL(103,Februar[24])</f>
        <v>1</v>
      </c>
      <c r="AA12" s="13">
        <f>SUBTOTAL(103,Februar[25])</f>
        <v>1</v>
      </c>
      <c r="AB12" s="13">
        <f>SUBTOTAL(103,Februar[26])</f>
        <v>1</v>
      </c>
      <c r="AC12" s="13">
        <f>SUBTOTAL(103,Februar[27])</f>
        <v>1</v>
      </c>
      <c r="AD12" s="13">
        <f>SUBTOTAL(103,Februar[28])</f>
        <v>1</v>
      </c>
      <c r="AE12" s="13">
        <f>SUBTOTAL(103,Februar[29])</f>
        <v>0</v>
      </c>
      <c r="AF12" s="13"/>
      <c r="AG12" s="13"/>
      <c r="AH12" s="13">
        <f>SUBTOTAL(109,Februar[Dni skupaj])</f>
        <v>21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AE6">
    <cfRule type="expression" dxfId="815" priority="16">
      <formula>MONTH(DATE(KoledarskoLeto,2,29))&lt;&gt;2</formula>
    </cfRule>
  </conditionalFormatting>
  <conditionalFormatting sqref="AE5">
    <cfRule type="expression" dxfId="814" priority="15">
      <formula>MONTH(DATE(KoledarskoLeto,2,29))&lt;&gt;2</formula>
    </cfRule>
  </conditionalFormatting>
  <conditionalFormatting sqref="C7:AG11">
    <cfRule type="expression" priority="2" stopIfTrue="1">
      <formula>C7=""</formula>
    </cfRule>
    <cfRule type="expression" dxfId="813" priority="3" stopIfTrue="1">
      <formula>C7=TipkaPoMeri2</formula>
    </cfRule>
  </conditionalFormatting>
  <conditionalFormatting sqref="C7:AG11">
    <cfRule type="expression" dxfId="812" priority="5" stopIfTrue="1">
      <formula>C7=TipkaPoMeri1</formula>
    </cfRule>
    <cfRule type="expression" dxfId="811" priority="6" stopIfTrue="1">
      <formula>C7=TipkaBolniška</formula>
    </cfRule>
    <cfRule type="expression" dxfId="810" priority="7" stopIfTrue="1">
      <formula>C7=TipkaOsebno</formula>
    </cfRule>
    <cfRule type="expression" dxfId="809" priority="8" stopIfTrue="1">
      <formula>C7=TipkaDopust</formula>
    </cfRule>
  </conditionalFormatting>
  <conditionalFormatting sqref="AH7:AH11">
    <cfRule type="dataBar" priority="153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Samodejno posodobljeno leto na podlagi leta, vnesenega v delovni list Januar" sqref="AH4" xr:uid="{00000000-0002-0000-0100-000000000000}"/>
    <dataValidation allowBlank="1" showInputMessage="1" showErrorMessage="1" prompt="Spremljanje odsotnosti v mesecu februarju v tem delovnem listu" sqref="A1" xr:uid="{00000000-0002-0000-0100-000001000000}"/>
    <dataValidation allowBlank="1" showInputMessage="1" showErrorMessage="1" prompt="Skupno število dni, ko je bil zaposleni odsoten v tem mesecu, se samodejno izračuna v tem stolpcu." sqref="AH6" xr:uid="{00000000-0002-0000-0100-000002000000}"/>
    <dataValidation allowBlank="1" showInputMessage="1" showErrorMessage="1" prompt="Samodejno posodobljen naslov je v tej celici. Če želite spremeniti naslov, posodobite B1 na januarskem delovnem listu." sqref="B1" xr:uid="{00000000-0002-0000-0100-000003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100-000004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100-000005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100-000006000000}"/>
    <dataValidation allowBlank="1" showInputMessage="1" showErrorMessage="1" prompt="Vnesite oznako za opis tipke po meri na levi strani." sqref="Q2 U2" xr:uid="{00000000-0002-0000-0100-000007000000}"/>
    <dataValidation allowBlank="1" showInputMessage="1" showErrorMessage="1" prompt="Vnesite črko in prilagodite oznako na desni strani, če želite dodati še en ključni element." sqref="P2 T2" xr:uid="{00000000-0002-0000-0100-000008000000}"/>
    <dataValidation allowBlank="1" showInputMessage="1" showErrorMessage="1" prompt="Črka »B« označuje odsotnosti zaradi bolezni." sqref="K2" xr:uid="{00000000-0002-0000-0100-000009000000}"/>
    <dataValidation allowBlank="1" showInputMessage="1" showErrorMessage="1" prompt="Črka »O« označuje odsotnosti zaradi osebnih razlogov." sqref="G2" xr:uid="{00000000-0002-0000-0100-00000A000000}"/>
    <dataValidation allowBlank="1" showInputMessage="1" showErrorMessage="1" prompt="Črka »D« označuje odsotnosti zaradi dopusta." sqref="C2" xr:uid="{00000000-0002-0000-0100-00000B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100-00000C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1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51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TEXT(WEEKDAY(DATE(KoledarskoLeto,3,1),1),"aaa")</f>
        <v>pet</v>
      </c>
      <c r="D5" s="2" t="str">
        <f>TEXT(WEEKDAY(DATE(KoledarskoLeto,3,2),1),"aaa")</f>
        <v>sob</v>
      </c>
      <c r="E5" s="2" t="str">
        <f>TEXT(WEEKDAY(DATE(KoledarskoLeto,3,3),1),"aaa")</f>
        <v>ned</v>
      </c>
      <c r="F5" s="2" t="str">
        <f>TEXT(WEEKDAY(DATE(KoledarskoLeto,3,4),1),"aaa")</f>
        <v>pon</v>
      </c>
      <c r="G5" s="2" t="str">
        <f>TEXT(WEEKDAY(DATE(KoledarskoLeto,3,5),1),"aaa")</f>
        <v>tor</v>
      </c>
      <c r="H5" s="2" t="str">
        <f>TEXT(WEEKDAY(DATE(KoledarskoLeto,3,6),1),"aaa")</f>
        <v>sre</v>
      </c>
      <c r="I5" s="2" t="str">
        <f>TEXT(WEEKDAY(DATE(KoledarskoLeto,3,7),1),"aaa")</f>
        <v>čet</v>
      </c>
      <c r="J5" s="2" t="str">
        <f>TEXT(WEEKDAY(DATE(KoledarskoLeto,3,8),1),"aaa")</f>
        <v>pet</v>
      </c>
      <c r="K5" s="2" t="str">
        <f>TEXT(WEEKDAY(DATE(KoledarskoLeto,3,9),1),"aaa")</f>
        <v>sob</v>
      </c>
      <c r="L5" s="2" t="str">
        <f>TEXT(WEEKDAY(DATE(KoledarskoLeto,3,10),1),"aaa")</f>
        <v>ned</v>
      </c>
      <c r="M5" s="2" t="str">
        <f>TEXT(WEEKDAY(DATE(KoledarskoLeto,3,11),1),"aaa")</f>
        <v>pon</v>
      </c>
      <c r="N5" s="2" t="str">
        <f>TEXT(WEEKDAY(DATE(KoledarskoLeto,3,12),1),"aaa")</f>
        <v>tor</v>
      </c>
      <c r="O5" s="2" t="str">
        <f>TEXT(WEEKDAY(DATE(KoledarskoLeto,3,13),1),"aaa")</f>
        <v>sre</v>
      </c>
      <c r="P5" s="2" t="str">
        <f>TEXT(WEEKDAY(DATE(KoledarskoLeto,3,14),1),"aaa")</f>
        <v>čet</v>
      </c>
      <c r="Q5" s="2" t="str">
        <f>TEXT(WEEKDAY(DATE(KoledarskoLeto,3,15),1),"aaa")</f>
        <v>pet</v>
      </c>
      <c r="R5" s="2" t="str">
        <f>TEXT(WEEKDAY(DATE(KoledarskoLeto,3,16),1),"aaa")</f>
        <v>sob</v>
      </c>
      <c r="S5" s="2" t="str">
        <f>TEXT(WEEKDAY(DATE(KoledarskoLeto,3,17),1),"aaa")</f>
        <v>ned</v>
      </c>
      <c r="T5" s="2" t="str">
        <f>TEXT(WEEKDAY(DATE(KoledarskoLeto,3,18),1),"aaa")</f>
        <v>pon</v>
      </c>
      <c r="U5" s="2" t="str">
        <f>TEXT(WEEKDAY(DATE(KoledarskoLeto,3,19),1),"aaa")</f>
        <v>tor</v>
      </c>
      <c r="V5" s="2" t="str">
        <f>TEXT(WEEKDAY(DATE(KoledarskoLeto,3,20),1),"aaa")</f>
        <v>sre</v>
      </c>
      <c r="W5" s="2" t="str">
        <f>TEXT(WEEKDAY(DATE(KoledarskoLeto,3,21),1),"aaa")</f>
        <v>čet</v>
      </c>
      <c r="X5" s="2" t="str">
        <f>TEXT(WEEKDAY(DATE(KoledarskoLeto,3,22),1),"aaa")</f>
        <v>pet</v>
      </c>
      <c r="Y5" s="2" t="str">
        <f>TEXT(WEEKDAY(DATE(KoledarskoLeto,3,23),1),"aaa")</f>
        <v>sob</v>
      </c>
      <c r="Z5" s="2" t="str">
        <f>TEXT(WEEKDAY(DATE(KoledarskoLeto,3,24),1),"aaa")</f>
        <v>ned</v>
      </c>
      <c r="AA5" s="2" t="str">
        <f>TEXT(WEEKDAY(DATE(KoledarskoLeto,3,25),1),"aaa")</f>
        <v>pon</v>
      </c>
      <c r="AB5" s="2" t="str">
        <f>TEXT(WEEKDAY(DATE(KoledarskoLeto,3,26),1),"aaa")</f>
        <v>tor</v>
      </c>
      <c r="AC5" s="2" t="str">
        <f>TEXT(WEEKDAY(DATE(KoledarskoLeto,3,27),1),"aaa")</f>
        <v>sre</v>
      </c>
      <c r="AD5" s="2" t="str">
        <f>TEXT(WEEKDAY(DATE(KoledarskoLeto,3,28),1),"aaa")</f>
        <v>čet</v>
      </c>
      <c r="AE5" s="2" t="str">
        <f>TEXT(WEEKDAY(DATE(KoledarskoLeto,3,29),1),"aaa")</f>
        <v>pet</v>
      </c>
      <c r="AF5" s="2" t="str">
        <f>TEXT(WEEKDAY(DATE(KoledarskoLeto,3,30),1),"aaa")</f>
        <v>sob</v>
      </c>
      <c r="AG5" s="2" t="str">
        <f>TEXT(WEEKDAY(DATE(KoledarskoLeto,3,31),1),"aaa")</f>
        <v>ned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COUNTA(Marec[[#This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COUNTA(Marec[[#This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COUNTA(Marec[[#This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COUNTA(Marec[[#This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COUNTA(Marec[[#This Row],[1]:[31]])</f>
        <v>0</v>
      </c>
    </row>
    <row r="12" spans="2:34" ht="30" customHeight="1" x14ac:dyDescent="0.25">
      <c r="B12" s="21" t="str">
        <f>"Skupaj za "&amp;ImeMeseca</f>
        <v>Skupaj za Marec</v>
      </c>
      <c r="C12" s="13">
        <f>SUBTOTAL(103,Marec[1])</f>
        <v>0</v>
      </c>
      <c r="D12" s="13">
        <f>SUBTOTAL(103,Marec[2])</f>
        <v>0</v>
      </c>
      <c r="E12" s="13">
        <f>SUBTOTAL(103,Marec[3])</f>
        <v>0</v>
      </c>
      <c r="F12" s="13">
        <f>SUBTOTAL(103,Marec[4])</f>
        <v>0</v>
      </c>
      <c r="G12" s="13">
        <f>SUBTOTAL(103,Marec[5])</f>
        <v>0</v>
      </c>
      <c r="H12" s="13">
        <f>SUBTOTAL(103,Marec[6])</f>
        <v>0</v>
      </c>
      <c r="I12" s="13">
        <f>SUBTOTAL(103,Marec[7])</f>
        <v>0</v>
      </c>
      <c r="J12" s="13">
        <f>SUBTOTAL(103,Marec[8])</f>
        <v>0</v>
      </c>
      <c r="K12" s="13">
        <f>SUBTOTAL(103,Marec[9])</f>
        <v>0</v>
      </c>
      <c r="L12" s="13">
        <f>SUBTOTAL(103,Marec[10])</f>
        <v>0</v>
      </c>
      <c r="M12" s="13">
        <f>SUBTOTAL(103,Marec[11])</f>
        <v>0</v>
      </c>
      <c r="N12" s="13">
        <f>SUBTOTAL(103,Marec[12])</f>
        <v>0</v>
      </c>
      <c r="O12" s="13">
        <f>SUBTOTAL(103,Marec[13])</f>
        <v>0</v>
      </c>
      <c r="P12" s="13">
        <f>SUBTOTAL(103,Marec[14])</f>
        <v>0</v>
      </c>
      <c r="Q12" s="13">
        <f>SUBTOTAL(103,Marec[15])</f>
        <v>0</v>
      </c>
      <c r="R12" s="13">
        <f>SUBTOTAL(103,Marec[16])</f>
        <v>0</v>
      </c>
      <c r="S12" s="13">
        <f>SUBTOTAL(103,Marec[17])</f>
        <v>0</v>
      </c>
      <c r="T12" s="13">
        <f>SUBTOTAL(103,Marec[18])</f>
        <v>0</v>
      </c>
      <c r="U12" s="13">
        <f>SUBTOTAL(103,Marec[19])</f>
        <v>0</v>
      </c>
      <c r="V12" s="13">
        <f>SUBTOTAL(103,Marec[20])</f>
        <v>0</v>
      </c>
      <c r="W12" s="13">
        <f>SUBTOTAL(103,Marec[21])</f>
        <v>0</v>
      </c>
      <c r="X12" s="13">
        <f>SUBTOTAL(103,Marec[22])</f>
        <v>0</v>
      </c>
      <c r="Y12" s="13">
        <f>SUBTOTAL(103,Marec[23])</f>
        <v>0</v>
      </c>
      <c r="Z12" s="13">
        <f>SUBTOTAL(103,Marec[24])</f>
        <v>0</v>
      </c>
      <c r="AA12" s="13">
        <f>SUBTOTAL(103,Marec[25])</f>
        <v>0</v>
      </c>
      <c r="AB12" s="13">
        <f>SUBTOTAL(103,Marec[26])</f>
        <v>0</v>
      </c>
      <c r="AC12" s="13">
        <f>SUBTOTAL(103,Marec[27])</f>
        <v>0</v>
      </c>
      <c r="AD12" s="13">
        <f>SUBTOTAL(103,Marec[28])</f>
        <v>0</v>
      </c>
      <c r="AE12" s="13">
        <f>SUBTOTAL(103,Marec[29])</f>
        <v>0</v>
      </c>
      <c r="AF12" s="13">
        <f>SUBTOTAL(103,Marec[30])</f>
        <v>0</v>
      </c>
      <c r="AG12" s="13">
        <f>SUBTOTAL(103,Marec[31])</f>
        <v>0</v>
      </c>
      <c r="AH12" s="13">
        <f>SUBTOTAL(109,Marec[Dni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739" priority="2" stopIfTrue="1">
      <formula>C7=TipkaPoMeri2</formula>
    </cfRule>
    <cfRule type="expression" dxfId="738" priority="3" stopIfTrue="1">
      <formula>C7=TipkaPoMeri1</formula>
    </cfRule>
    <cfRule type="expression" dxfId="737" priority="4" stopIfTrue="1">
      <formula>C7=TipkaBolniška</formula>
    </cfRule>
    <cfRule type="expression" dxfId="736" priority="5" stopIfTrue="1">
      <formula>C7=TipkaOsebno</formula>
    </cfRule>
    <cfRule type="expression" dxfId="735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200-000000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200-000001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200-000002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200-000003000000}"/>
    <dataValidation allowBlank="1" showInputMessage="1" showErrorMessage="1" prompt="Vnesite oznako za opis tipke po meri na levi strani." sqref="Q2 U2" xr:uid="{00000000-0002-0000-0200-000004000000}"/>
    <dataValidation allowBlank="1" showInputMessage="1" showErrorMessage="1" prompt="Vnesite črko in prilagodite oznako na desni strani, če želite dodati še en ključni element." sqref="P2 T2" xr:uid="{00000000-0002-0000-0200-000005000000}"/>
    <dataValidation allowBlank="1" showInputMessage="1" showErrorMessage="1" prompt="Črka »B« označuje odsotnosti zaradi bolezni." sqref="K2" xr:uid="{00000000-0002-0000-0200-000006000000}"/>
    <dataValidation allowBlank="1" showInputMessage="1" showErrorMessage="1" prompt="Črka »O« označuje odsotnosti zaradi osebnih razlogov." sqref="G2" xr:uid="{00000000-0002-0000-0200-000007000000}"/>
    <dataValidation allowBlank="1" showInputMessage="1" showErrorMessage="1" prompt="Črka »D« označuje odsotnosti zaradi dopusta." sqref="C2" xr:uid="{00000000-0002-0000-0200-000008000000}"/>
    <dataValidation allowBlank="1" showInputMessage="1" showErrorMessage="1" prompt="Samodejno posodobljen naslov je v tej celici. Če želite spremeniti naslov, posodobite B1 na januarskem delovnem listu." sqref="B1" xr:uid="{00000000-0002-0000-0200-000009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200-00000A000000}"/>
    <dataValidation allowBlank="1" showInputMessage="1" showErrorMessage="1" prompt="Spremljanje odsotnosti v mesecu marcu tem delovnem listu" sqref="A1" xr:uid="{00000000-0002-0000-0200-00000B000000}"/>
    <dataValidation allowBlank="1" showInputMessage="1" showErrorMessage="1" prompt="Skupno število dni, ko je bil zaposleni odsoten v tem mesecu, se samodejno izračuna v tem stolpcu." sqref="AH6" xr:uid="{00000000-0002-0000-0200-00000C000000}"/>
    <dataValidation allowBlank="1" showInputMessage="1" showErrorMessage="1" prompt="Samodejno posodobljeno leto na podlagi leta, vnesenega v delovni list Januar" sqref="AH4" xr:uid="{00000000-0002-0000-02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52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TEXT(WEEKDAY(DATE(KoledarskoLeto,4,1),1),"aaa")</f>
        <v>pon</v>
      </c>
      <c r="D5" s="2" t="str">
        <f>TEXT(WEEKDAY(DATE(KoledarskoLeto,4,2),1),"aaa")</f>
        <v>tor</v>
      </c>
      <c r="E5" s="2" t="str">
        <f>TEXT(WEEKDAY(DATE(KoledarskoLeto,4,3),1),"aaa")</f>
        <v>sre</v>
      </c>
      <c r="F5" s="2" t="str">
        <f>TEXT(WEEKDAY(DATE(KoledarskoLeto,4,4),1),"aaa")</f>
        <v>čet</v>
      </c>
      <c r="G5" s="2" t="str">
        <f>TEXT(WEEKDAY(DATE(KoledarskoLeto,4,5),1),"aaa")</f>
        <v>pet</v>
      </c>
      <c r="H5" s="2" t="str">
        <f>TEXT(WEEKDAY(DATE(KoledarskoLeto,4,6),1),"aaa")</f>
        <v>sob</v>
      </c>
      <c r="I5" s="2" t="str">
        <f>TEXT(WEEKDAY(DATE(KoledarskoLeto,4,7),1),"aaa")</f>
        <v>ned</v>
      </c>
      <c r="J5" s="2" t="str">
        <f>TEXT(WEEKDAY(DATE(KoledarskoLeto,4,8),1),"aaa")</f>
        <v>pon</v>
      </c>
      <c r="K5" s="2" t="str">
        <f>TEXT(WEEKDAY(DATE(KoledarskoLeto,4,9),1),"aaa")</f>
        <v>tor</v>
      </c>
      <c r="L5" s="2" t="str">
        <f>TEXT(WEEKDAY(DATE(KoledarskoLeto,4,10),1),"aaa")</f>
        <v>sre</v>
      </c>
      <c r="M5" s="2" t="str">
        <f>TEXT(WEEKDAY(DATE(KoledarskoLeto,4,11),1),"aaa")</f>
        <v>čet</v>
      </c>
      <c r="N5" s="2" t="str">
        <f>TEXT(WEEKDAY(DATE(KoledarskoLeto,4,12),1),"aaa")</f>
        <v>pet</v>
      </c>
      <c r="O5" s="2" t="str">
        <f>TEXT(WEEKDAY(DATE(KoledarskoLeto,4,13),1),"aaa")</f>
        <v>sob</v>
      </c>
      <c r="P5" s="2" t="str">
        <f>TEXT(WEEKDAY(DATE(KoledarskoLeto,4,14),1),"aaa")</f>
        <v>ned</v>
      </c>
      <c r="Q5" s="2" t="str">
        <f>TEXT(WEEKDAY(DATE(KoledarskoLeto,4,15),1),"aaa")</f>
        <v>pon</v>
      </c>
      <c r="R5" s="2" t="str">
        <f>TEXT(WEEKDAY(DATE(KoledarskoLeto,4,16),1),"aaa")</f>
        <v>tor</v>
      </c>
      <c r="S5" s="2" t="str">
        <f>TEXT(WEEKDAY(DATE(KoledarskoLeto,4,17),1),"aaa")</f>
        <v>sre</v>
      </c>
      <c r="T5" s="2" t="str">
        <f>TEXT(WEEKDAY(DATE(KoledarskoLeto,4,18),1),"aaa")</f>
        <v>čet</v>
      </c>
      <c r="U5" s="2" t="str">
        <f>TEXT(WEEKDAY(DATE(KoledarskoLeto,4,19),1),"aaa")</f>
        <v>pet</v>
      </c>
      <c r="V5" s="2" t="str">
        <f>TEXT(WEEKDAY(DATE(KoledarskoLeto,4,20),1),"aaa")</f>
        <v>sob</v>
      </c>
      <c r="W5" s="2" t="str">
        <f>TEXT(WEEKDAY(DATE(KoledarskoLeto,4,21),1),"aaa")</f>
        <v>ned</v>
      </c>
      <c r="X5" s="2" t="str">
        <f>TEXT(WEEKDAY(DATE(KoledarskoLeto,4,22),1),"aaa")</f>
        <v>pon</v>
      </c>
      <c r="Y5" s="2" t="str">
        <f>TEXT(WEEKDAY(DATE(KoledarskoLeto,4,23),1),"aaa")</f>
        <v>tor</v>
      </c>
      <c r="Z5" s="2" t="str">
        <f>TEXT(WEEKDAY(DATE(KoledarskoLeto,4,24),1),"aaa")</f>
        <v>sre</v>
      </c>
      <c r="AA5" s="2" t="str">
        <f>TEXT(WEEKDAY(DATE(KoledarskoLeto,4,25),1),"aaa")</f>
        <v>čet</v>
      </c>
      <c r="AB5" s="2" t="str">
        <f>TEXT(WEEKDAY(DATE(KoledarskoLeto,4,26),1),"aaa")</f>
        <v>pet</v>
      </c>
      <c r="AC5" s="2" t="str">
        <f>TEXT(WEEKDAY(DATE(KoledarskoLeto,4,27),1),"aaa")</f>
        <v>sob</v>
      </c>
      <c r="AD5" s="2" t="str">
        <f>TEXT(WEEKDAY(DATE(KoledarskoLeto,4,28),1),"aaa")</f>
        <v>ned</v>
      </c>
      <c r="AE5" s="2" t="str">
        <f>TEXT(WEEKDAY(DATE(KoledarskoLeto,4,29),1),"aaa")</f>
        <v>pon</v>
      </c>
      <c r="AF5" s="2" t="str">
        <f>TEXT(WEEKDAY(DATE(KoledarskoLeto,4,30),1),"aaa")</f>
        <v>tor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2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COUNTA(April[[#This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COUNTA(April[[#This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COUNTA(April[[#This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COUNTA(April[[#This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COUNTA(April[[#This Row],[1]:[30]])</f>
        <v>0</v>
      </c>
    </row>
    <row r="12" spans="2:34" ht="30" customHeight="1" x14ac:dyDescent="0.25">
      <c r="B12" s="21" t="str">
        <f>"Skupaj za "&amp;ImeMeseca</f>
        <v>Skupaj za April</v>
      </c>
      <c r="C12" s="13">
        <f>SUBTOTAL(103,April[1])</f>
        <v>0</v>
      </c>
      <c r="D12" s="13">
        <f>SUBTOTAL(103,April[2])</f>
        <v>0</v>
      </c>
      <c r="E12" s="13">
        <f>SUBTOTAL(103,April[3])</f>
        <v>0</v>
      </c>
      <c r="F12" s="13">
        <f>SUBTOTAL(103,April[4])</f>
        <v>0</v>
      </c>
      <c r="G12" s="13">
        <f>SUBTOTAL(103,April[5])</f>
        <v>0</v>
      </c>
      <c r="H12" s="13">
        <f>SUBTOTAL(103,April[6])</f>
        <v>0</v>
      </c>
      <c r="I12" s="13">
        <f>SUBTOTAL(103,April[7])</f>
        <v>0</v>
      </c>
      <c r="J12" s="13">
        <f>SUBTOTAL(103,April[8])</f>
        <v>0</v>
      </c>
      <c r="K12" s="13">
        <f>SUBTOTAL(103,April[9])</f>
        <v>0</v>
      </c>
      <c r="L12" s="13">
        <f>SUBTOTAL(103,April[10])</f>
        <v>0</v>
      </c>
      <c r="M12" s="13">
        <f>SUBTOTAL(103,April[11])</f>
        <v>0</v>
      </c>
      <c r="N12" s="13">
        <f>SUBTOTAL(103,April[12])</f>
        <v>0</v>
      </c>
      <c r="O12" s="13">
        <f>SUBTOTAL(103,April[13])</f>
        <v>0</v>
      </c>
      <c r="P12" s="13">
        <f>SUBTOTAL(103,April[14])</f>
        <v>0</v>
      </c>
      <c r="Q12" s="13">
        <f>SUBTOTAL(103,April[15])</f>
        <v>0</v>
      </c>
      <c r="R12" s="13">
        <f>SUBTOTAL(103,April[16])</f>
        <v>0</v>
      </c>
      <c r="S12" s="13">
        <f>SUBTOTAL(103,April[17])</f>
        <v>0</v>
      </c>
      <c r="T12" s="13">
        <f>SUBTOTAL(103,April[18])</f>
        <v>0</v>
      </c>
      <c r="U12" s="13">
        <f>SUBTOTAL(103,April[19])</f>
        <v>0</v>
      </c>
      <c r="V12" s="13">
        <f>SUBTOTAL(103,April[20])</f>
        <v>0</v>
      </c>
      <c r="W12" s="13">
        <f>SUBTOTAL(103,April[21])</f>
        <v>0</v>
      </c>
      <c r="X12" s="13">
        <f>SUBTOTAL(103,April[22])</f>
        <v>0</v>
      </c>
      <c r="Y12" s="13">
        <f>SUBTOTAL(103,April[23])</f>
        <v>0</v>
      </c>
      <c r="Z12" s="13">
        <f>SUBTOTAL(103,April[24])</f>
        <v>0</v>
      </c>
      <c r="AA12" s="13">
        <f>SUBTOTAL(103,April[25])</f>
        <v>0</v>
      </c>
      <c r="AB12" s="13">
        <f>SUBTOTAL(103,April[26])</f>
        <v>0</v>
      </c>
      <c r="AC12" s="13">
        <f>SUBTOTAL(103,April[27])</f>
        <v>0</v>
      </c>
      <c r="AD12" s="13">
        <f>SUBTOTAL(103,April[28])</f>
        <v>0</v>
      </c>
      <c r="AE12" s="13">
        <f>SUBTOTAL(103,April[29])</f>
        <v>0</v>
      </c>
      <c r="AF12" s="13">
        <f>SUBTOTAL(103,April[30])</f>
        <v>0</v>
      </c>
      <c r="AG12" s="13">
        <f>SUBTOTAL(103,April[30])</f>
        <v>0</v>
      </c>
      <c r="AH12" s="13">
        <f>SUBTOTAL(109,April[Dni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665" priority="2" stopIfTrue="1">
      <formula>C7=TipkaPoMeri2</formula>
    </cfRule>
    <cfRule type="expression" dxfId="664" priority="3" stopIfTrue="1">
      <formula>C7=TipkaPoMeri1</formula>
    </cfRule>
    <cfRule type="expression" dxfId="663" priority="4" stopIfTrue="1">
      <formula>C7=TipkaBolniška</formula>
    </cfRule>
    <cfRule type="expression" dxfId="662" priority="5" stopIfTrue="1">
      <formula>C7=TipkaOsebno</formula>
    </cfRule>
    <cfRule type="expression" dxfId="661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Samodejno posodobljeno leto na podlagi leta, vnesenega v delovni list Januar" sqref="AH4" xr:uid="{00000000-0002-0000-0300-000000000000}"/>
    <dataValidation allowBlank="1" showInputMessage="1" showErrorMessage="1" prompt="Skupno število dni, ko je bil zaposleni odsoten v tem mesecu, se samodejno izračuna v tem stolpcu." sqref="AH6" xr:uid="{00000000-0002-0000-0300-000001000000}"/>
    <dataValidation allowBlank="1" showInputMessage="1" showErrorMessage="1" prompt="Spremljanje odsotnosti v mesecu aprilu v tem delovnem listu" sqref="A1" xr:uid="{00000000-0002-0000-0300-000002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300-000003000000}"/>
    <dataValidation allowBlank="1" showInputMessage="1" showErrorMessage="1" prompt="Samodejno posodobljen naslov je v tej celici. Če želite spremeniti naslov, posodobite B1 na januarskem delovnem listu." sqref="B1" xr:uid="{00000000-0002-0000-0300-000004000000}"/>
    <dataValidation allowBlank="1" showInputMessage="1" showErrorMessage="1" prompt="Črka »D« označuje odsotnosti zaradi dopusta." sqref="C2" xr:uid="{00000000-0002-0000-0300-000005000000}"/>
    <dataValidation allowBlank="1" showInputMessage="1" showErrorMessage="1" prompt="Črka »O« označuje odsotnosti zaradi osebnih razlogov." sqref="G2" xr:uid="{00000000-0002-0000-0300-000006000000}"/>
    <dataValidation allowBlank="1" showInputMessage="1" showErrorMessage="1" prompt="Črka »B« označuje odsotnosti zaradi bolezni." sqref="K2" xr:uid="{00000000-0002-0000-0300-000007000000}"/>
    <dataValidation allowBlank="1" showInputMessage="1" showErrorMessage="1" prompt="Vnesite črko in prilagodite oznako na desni strani, če želite dodati še en ključni element." sqref="P2 T2" xr:uid="{00000000-0002-0000-0300-000008000000}"/>
    <dataValidation allowBlank="1" showInputMessage="1" showErrorMessage="1" prompt="Vnesite oznako za opis tipke po meri na levi strani." sqref="Q2 U2" xr:uid="{00000000-0002-0000-0300-000009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300-00000A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300-00000B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300-00000C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3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53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TEXT(WEEKDAY(DATE(KoledarskoLeto,5,1),1),"aaa")</f>
        <v>sre</v>
      </c>
      <c r="D5" s="2" t="str">
        <f>TEXT(WEEKDAY(DATE(KoledarskoLeto,5,2),1),"aaa")</f>
        <v>čet</v>
      </c>
      <c r="E5" s="2" t="str">
        <f>TEXT(WEEKDAY(DATE(KoledarskoLeto,5,3),1),"aaa")</f>
        <v>pet</v>
      </c>
      <c r="F5" s="2" t="str">
        <f>TEXT(WEEKDAY(DATE(KoledarskoLeto,5,4),1),"aaa")</f>
        <v>sob</v>
      </c>
      <c r="G5" s="2" t="str">
        <f>TEXT(WEEKDAY(DATE(KoledarskoLeto,5,5),1),"aaa")</f>
        <v>ned</v>
      </c>
      <c r="H5" s="2" t="str">
        <f>TEXT(WEEKDAY(DATE(KoledarskoLeto,5,6),1),"aaa")</f>
        <v>pon</v>
      </c>
      <c r="I5" s="2" t="str">
        <f>TEXT(WEEKDAY(DATE(KoledarskoLeto,5,7),1),"aaa")</f>
        <v>tor</v>
      </c>
      <c r="J5" s="2" t="str">
        <f>TEXT(WEEKDAY(DATE(KoledarskoLeto,5,8),1),"aaa")</f>
        <v>sre</v>
      </c>
      <c r="K5" s="2" t="str">
        <f>TEXT(WEEKDAY(DATE(KoledarskoLeto,5,9),1),"aaa")</f>
        <v>čet</v>
      </c>
      <c r="L5" s="2" t="str">
        <f>TEXT(WEEKDAY(DATE(KoledarskoLeto,5,10),1),"aaa")</f>
        <v>pet</v>
      </c>
      <c r="M5" s="2" t="str">
        <f>TEXT(WEEKDAY(DATE(KoledarskoLeto,5,11),1),"aaa")</f>
        <v>sob</v>
      </c>
      <c r="N5" s="2" t="str">
        <f>TEXT(WEEKDAY(DATE(KoledarskoLeto,5,12),1),"aaa")</f>
        <v>ned</v>
      </c>
      <c r="O5" s="2" t="str">
        <f>TEXT(WEEKDAY(DATE(KoledarskoLeto,5,13),1),"aaa")</f>
        <v>pon</v>
      </c>
      <c r="P5" s="2" t="str">
        <f>TEXT(WEEKDAY(DATE(KoledarskoLeto,5,14),1),"aaa")</f>
        <v>tor</v>
      </c>
      <c r="Q5" s="2" t="str">
        <f>TEXT(WEEKDAY(DATE(KoledarskoLeto,5,15),1),"aaa")</f>
        <v>sre</v>
      </c>
      <c r="R5" s="2" t="str">
        <f>TEXT(WEEKDAY(DATE(KoledarskoLeto,5,16),1),"aaa")</f>
        <v>čet</v>
      </c>
      <c r="S5" s="2" t="str">
        <f>TEXT(WEEKDAY(DATE(KoledarskoLeto,5,17),1),"aaa")</f>
        <v>pet</v>
      </c>
      <c r="T5" s="2" t="str">
        <f>TEXT(WEEKDAY(DATE(KoledarskoLeto,5,18),1),"aaa")</f>
        <v>sob</v>
      </c>
      <c r="U5" s="2" t="str">
        <f>TEXT(WEEKDAY(DATE(KoledarskoLeto,5,19),1),"aaa")</f>
        <v>ned</v>
      </c>
      <c r="V5" s="2" t="str">
        <f>TEXT(WEEKDAY(DATE(KoledarskoLeto,5,20),1),"aaa")</f>
        <v>pon</v>
      </c>
      <c r="W5" s="2" t="str">
        <f>TEXT(WEEKDAY(DATE(KoledarskoLeto,5,21),1),"aaa")</f>
        <v>tor</v>
      </c>
      <c r="X5" s="2" t="str">
        <f>TEXT(WEEKDAY(DATE(KoledarskoLeto,5,22),1),"aaa")</f>
        <v>sre</v>
      </c>
      <c r="Y5" s="2" t="str">
        <f>TEXT(WEEKDAY(DATE(KoledarskoLeto,5,23),1),"aaa")</f>
        <v>čet</v>
      </c>
      <c r="Z5" s="2" t="str">
        <f>TEXT(WEEKDAY(DATE(KoledarskoLeto,5,24),1),"aaa")</f>
        <v>pet</v>
      </c>
      <c r="AA5" s="2" t="str">
        <f>TEXT(WEEKDAY(DATE(KoledarskoLeto,5,25),1),"aaa")</f>
        <v>sob</v>
      </c>
      <c r="AB5" s="2" t="str">
        <f>TEXT(WEEKDAY(DATE(KoledarskoLeto,5,26),1),"aaa")</f>
        <v>ned</v>
      </c>
      <c r="AC5" s="2" t="str">
        <f>TEXT(WEEKDAY(DATE(KoledarskoLeto,5,27),1),"aaa")</f>
        <v>pon</v>
      </c>
      <c r="AD5" s="2" t="str">
        <f>TEXT(WEEKDAY(DATE(KoledarskoLeto,5,28),1),"aaa")</f>
        <v>tor</v>
      </c>
      <c r="AE5" s="2" t="str">
        <f>TEXT(WEEKDAY(DATE(KoledarskoLeto,5,29),1),"aaa")</f>
        <v>sre</v>
      </c>
      <c r="AF5" s="2" t="str">
        <f>TEXT(WEEKDAY(DATE(KoledarskoLeto,5,30),1),"aaa")</f>
        <v>čet</v>
      </c>
      <c r="AG5" s="2" t="str">
        <f>TEXT(WEEKDAY(DATE(KoledarskoLeto,5,31),1),"aaa")</f>
        <v>pet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COUNTA(Maj[[#This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COUNTA(Maj[[#This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COUNTA(Maj[[#This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COUNTA(Maj[[#This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COUNTA(Maj[[#This Row],[1]:[31]])</f>
        <v>0</v>
      </c>
    </row>
    <row r="12" spans="2:34" ht="30" customHeight="1" x14ac:dyDescent="0.25">
      <c r="B12" s="21" t="str">
        <f>"Skupaj za "&amp;ImeMeseca</f>
        <v>Skupaj za Maj</v>
      </c>
      <c r="C12" s="13">
        <f>SUBTOTAL(103,Maj[1])</f>
        <v>0</v>
      </c>
      <c r="D12" s="13">
        <f>SUBTOTAL(103,Maj[2])</f>
        <v>0</v>
      </c>
      <c r="E12" s="13">
        <f>SUBTOTAL(103,Maj[3])</f>
        <v>0</v>
      </c>
      <c r="F12" s="13">
        <f>SUBTOTAL(103,Maj[4])</f>
        <v>0</v>
      </c>
      <c r="G12" s="13">
        <f>SUBTOTAL(103,Maj[5])</f>
        <v>0</v>
      </c>
      <c r="H12" s="13">
        <f>SUBTOTAL(103,Maj[6])</f>
        <v>0</v>
      </c>
      <c r="I12" s="13">
        <f>SUBTOTAL(103,Maj[7])</f>
        <v>0</v>
      </c>
      <c r="J12" s="13">
        <f>SUBTOTAL(103,Maj[8])</f>
        <v>0</v>
      </c>
      <c r="K12" s="13">
        <f>SUBTOTAL(103,Maj[9])</f>
        <v>0</v>
      </c>
      <c r="L12" s="13">
        <f>SUBTOTAL(103,Maj[10])</f>
        <v>0</v>
      </c>
      <c r="M12" s="13">
        <f>SUBTOTAL(103,Maj[11])</f>
        <v>0</v>
      </c>
      <c r="N12" s="13">
        <f>SUBTOTAL(103,Maj[12])</f>
        <v>0</v>
      </c>
      <c r="O12" s="13">
        <f>SUBTOTAL(103,Maj[13])</f>
        <v>0</v>
      </c>
      <c r="P12" s="13">
        <f>SUBTOTAL(103,Maj[14])</f>
        <v>0</v>
      </c>
      <c r="Q12" s="13">
        <f>SUBTOTAL(103,Maj[15])</f>
        <v>0</v>
      </c>
      <c r="R12" s="13">
        <f>SUBTOTAL(103,Maj[16])</f>
        <v>0</v>
      </c>
      <c r="S12" s="13">
        <f>SUBTOTAL(103,Maj[17])</f>
        <v>0</v>
      </c>
      <c r="T12" s="13">
        <f>SUBTOTAL(103,Maj[18])</f>
        <v>0</v>
      </c>
      <c r="U12" s="13">
        <f>SUBTOTAL(103,Maj[19])</f>
        <v>0</v>
      </c>
      <c r="V12" s="13">
        <f>SUBTOTAL(103,Maj[20])</f>
        <v>0</v>
      </c>
      <c r="W12" s="13">
        <f>SUBTOTAL(103,Maj[21])</f>
        <v>0</v>
      </c>
      <c r="X12" s="13">
        <f>SUBTOTAL(103,Maj[22])</f>
        <v>0</v>
      </c>
      <c r="Y12" s="13">
        <f>SUBTOTAL(103,Maj[23])</f>
        <v>0</v>
      </c>
      <c r="Z12" s="13">
        <f>SUBTOTAL(103,Maj[24])</f>
        <v>0</v>
      </c>
      <c r="AA12" s="13">
        <f>SUBTOTAL(103,Maj[25])</f>
        <v>0</v>
      </c>
      <c r="AB12" s="13">
        <f>SUBTOTAL(103,Maj[26])</f>
        <v>0</v>
      </c>
      <c r="AC12" s="13">
        <f>SUBTOTAL(103,Maj[27])</f>
        <v>0</v>
      </c>
      <c r="AD12" s="13">
        <f>SUBTOTAL(103,Maj[28])</f>
        <v>0</v>
      </c>
      <c r="AE12" s="13">
        <f>SUBTOTAL(103,Maj[29])</f>
        <v>0</v>
      </c>
      <c r="AF12" s="13">
        <f>SUBTOTAL(103,Maj[30])</f>
        <v>0</v>
      </c>
      <c r="AG12" s="13">
        <f>SUBTOTAL(103,Maj[31])</f>
        <v>0</v>
      </c>
      <c r="AH12" s="13">
        <f>SUBTOTAL(109,Maj[Dni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591" priority="2" stopIfTrue="1">
      <formula>C7=TipkaPoMeri2</formula>
    </cfRule>
    <cfRule type="expression" dxfId="590" priority="3" stopIfTrue="1">
      <formula>C7=TipkaPoMeri1</formula>
    </cfRule>
    <cfRule type="expression" dxfId="589" priority="4" stopIfTrue="1">
      <formula>C7=TipkaBolniška</formula>
    </cfRule>
    <cfRule type="expression" dxfId="588" priority="5" stopIfTrue="1">
      <formula>C7=TipkaOsebno</formula>
    </cfRule>
    <cfRule type="expression" dxfId="587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400-000000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400-000001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400-000002000000}"/>
    <dataValidation allowBlank="1" showInputMessage="1" showErrorMessage="1" prompt="Vnesite oznako za opis tipke po meri na levi strani." sqref="Q2 U2" xr:uid="{00000000-0002-0000-0400-000003000000}"/>
    <dataValidation allowBlank="1" showInputMessage="1" showErrorMessage="1" prompt="Vnesite črko in prilagodite oznako na desni strani, če želite dodati še en ključni element." sqref="P2 T2" xr:uid="{00000000-0002-0000-0400-000004000000}"/>
    <dataValidation allowBlank="1" showInputMessage="1" showErrorMessage="1" prompt="Črka »B« označuje odsotnosti zaradi bolezni." sqref="K2" xr:uid="{00000000-0002-0000-0400-000005000000}"/>
    <dataValidation allowBlank="1" showInputMessage="1" showErrorMessage="1" prompt="Črka »O« označuje odsotnosti zaradi osebnih razlogov." sqref="G2" xr:uid="{00000000-0002-0000-0400-000006000000}"/>
    <dataValidation allowBlank="1" showInputMessage="1" showErrorMessage="1" prompt="Črka »D« označuje odsotnosti zaradi dopusta." sqref="C2" xr:uid="{00000000-0002-0000-0400-000007000000}"/>
    <dataValidation allowBlank="1" showInputMessage="1" showErrorMessage="1" prompt="Samodejno posodobljen naslov je v tej celici. Če želite spremeniti naslov, posodobite B1 na januarskem delovnem listu." sqref="B1" xr:uid="{00000000-0002-0000-0400-000008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400-000009000000}"/>
    <dataValidation allowBlank="1" showInputMessage="1" showErrorMessage="1" prompt="Spremljanje odsotnosti v mesecu maju v tem delovnem listu" sqref="A1" xr:uid="{00000000-0002-0000-0400-00000A000000}"/>
    <dataValidation allowBlank="1" showInputMessage="1" showErrorMessage="1" prompt="Skupno število dni, ko je bil zaposleni odsoten v tem mesecu, se samodejno izračuna v tem stolpcu." sqref="AH6" xr:uid="{00000000-0002-0000-0400-00000B000000}"/>
    <dataValidation allowBlank="1" showInputMessage="1" showErrorMessage="1" prompt="Samodejno posodobljeno leto na podlagi leta, vnesenega v delovni list Januar" sqref="AH4" xr:uid="{00000000-0002-0000-0400-00000C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4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TEXT(WEEKDAY(DATE(KoledarskoLeto,6,1),1),"aaa")</f>
        <v>sob</v>
      </c>
      <c r="D5" s="2" t="str">
        <f>TEXT(WEEKDAY(DATE(KoledarskoLeto,6,2),1),"aaa")</f>
        <v>ned</v>
      </c>
      <c r="E5" s="2" t="str">
        <f>TEXT(WEEKDAY(DATE(KoledarskoLeto,6,3),1),"aaa")</f>
        <v>pon</v>
      </c>
      <c r="F5" s="2" t="str">
        <f>TEXT(WEEKDAY(DATE(KoledarskoLeto,6,4),1),"aaa")</f>
        <v>tor</v>
      </c>
      <c r="G5" s="2" t="str">
        <f>TEXT(WEEKDAY(DATE(KoledarskoLeto,6,5),1),"aaa")</f>
        <v>sre</v>
      </c>
      <c r="H5" s="2" t="str">
        <f>TEXT(WEEKDAY(DATE(KoledarskoLeto,6,6),1),"aaa")</f>
        <v>čet</v>
      </c>
      <c r="I5" s="2" t="str">
        <f>TEXT(WEEKDAY(DATE(KoledarskoLeto,6,7),1),"aaa")</f>
        <v>pet</v>
      </c>
      <c r="J5" s="2" t="str">
        <f>TEXT(WEEKDAY(DATE(KoledarskoLeto,6,8),1),"aaa")</f>
        <v>sob</v>
      </c>
      <c r="K5" s="2" t="str">
        <f>TEXT(WEEKDAY(DATE(KoledarskoLeto,6,9),1),"aaa")</f>
        <v>ned</v>
      </c>
      <c r="L5" s="2" t="str">
        <f>TEXT(WEEKDAY(DATE(KoledarskoLeto,6,10),1),"aaa")</f>
        <v>pon</v>
      </c>
      <c r="M5" s="2" t="str">
        <f>TEXT(WEEKDAY(DATE(KoledarskoLeto,6,11),1),"aaa")</f>
        <v>tor</v>
      </c>
      <c r="N5" s="2" t="str">
        <f>TEXT(WEEKDAY(DATE(KoledarskoLeto,6,12),1),"aaa")</f>
        <v>sre</v>
      </c>
      <c r="O5" s="2" t="str">
        <f>TEXT(WEEKDAY(DATE(KoledarskoLeto,6,13),1),"aaa")</f>
        <v>čet</v>
      </c>
      <c r="P5" s="2" t="str">
        <f>TEXT(WEEKDAY(DATE(KoledarskoLeto,6,14),1),"aaa")</f>
        <v>pet</v>
      </c>
      <c r="Q5" s="2" t="str">
        <f>TEXT(WEEKDAY(DATE(KoledarskoLeto,6,15),1),"aaa")</f>
        <v>sob</v>
      </c>
      <c r="R5" s="2" t="str">
        <f>TEXT(WEEKDAY(DATE(KoledarskoLeto,6,16),1),"aaa")</f>
        <v>ned</v>
      </c>
      <c r="S5" s="2" t="str">
        <f>TEXT(WEEKDAY(DATE(KoledarskoLeto,6,17),1),"aaa")</f>
        <v>pon</v>
      </c>
      <c r="T5" s="2" t="str">
        <f>TEXT(WEEKDAY(DATE(KoledarskoLeto,6,18),1),"aaa")</f>
        <v>tor</v>
      </c>
      <c r="U5" s="2" t="str">
        <f>TEXT(WEEKDAY(DATE(KoledarskoLeto,6,19),1),"aaa")</f>
        <v>sre</v>
      </c>
      <c r="V5" s="2" t="str">
        <f>TEXT(WEEKDAY(DATE(KoledarskoLeto,6,20),1),"aaa")</f>
        <v>čet</v>
      </c>
      <c r="W5" s="2" t="str">
        <f>TEXT(WEEKDAY(DATE(KoledarskoLeto,6,21),1),"aaa")</f>
        <v>pet</v>
      </c>
      <c r="X5" s="2" t="str">
        <f>TEXT(WEEKDAY(DATE(KoledarskoLeto,6,22),1),"aaa")</f>
        <v>sob</v>
      </c>
      <c r="Y5" s="2" t="str">
        <f>TEXT(WEEKDAY(DATE(KoledarskoLeto,6,23),1),"aaa")</f>
        <v>ned</v>
      </c>
      <c r="Z5" s="2" t="str">
        <f>TEXT(WEEKDAY(DATE(KoledarskoLeto,6,24),1),"aaa")</f>
        <v>pon</v>
      </c>
      <c r="AA5" s="2" t="str">
        <f>TEXT(WEEKDAY(DATE(KoledarskoLeto,6,25),1),"aaa")</f>
        <v>tor</v>
      </c>
      <c r="AB5" s="2" t="str">
        <f>TEXT(WEEKDAY(DATE(KoledarskoLeto,6,26),1),"aaa")</f>
        <v>sre</v>
      </c>
      <c r="AC5" s="2" t="str">
        <f>TEXT(WEEKDAY(DATE(KoledarskoLeto,6,27),1),"aaa")</f>
        <v>čet</v>
      </c>
      <c r="AD5" s="2" t="str">
        <f>TEXT(WEEKDAY(DATE(KoledarskoLeto,6,28),1),"aaa")</f>
        <v>pet</v>
      </c>
      <c r="AE5" s="2" t="str">
        <f>TEXT(WEEKDAY(DATE(KoledarskoLeto,6,29),1),"aaa")</f>
        <v>sob</v>
      </c>
      <c r="AF5" s="2" t="str">
        <f>TEXT(WEEKDAY(DATE(KoledarskoLeto,6,30),1),"aaa")</f>
        <v>ned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COUNTA(Junij[[#This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COUNTA(Junij[[#This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COUNTA(Junij[[#This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COUNTA(Junij[[#This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COUNTA(Junij[[#This Row],[1]:[30]])</f>
        <v>0</v>
      </c>
    </row>
    <row r="12" spans="2:34" ht="30" customHeight="1" x14ac:dyDescent="0.25">
      <c r="B12" s="21" t="str">
        <f>"Skupaj za "&amp;ImeMeseca</f>
        <v>Skupaj za Junij</v>
      </c>
      <c r="C12" s="13">
        <f>SUBTOTAL(103,Junij[1])</f>
        <v>0</v>
      </c>
      <c r="D12" s="13">
        <f>SUBTOTAL(103,Junij[2])</f>
        <v>0</v>
      </c>
      <c r="E12" s="13">
        <f>SUBTOTAL(103,Junij[3])</f>
        <v>0</v>
      </c>
      <c r="F12" s="13">
        <f>SUBTOTAL(103,Junij[4])</f>
        <v>0</v>
      </c>
      <c r="G12" s="13">
        <f>SUBTOTAL(103,Junij[5])</f>
        <v>0</v>
      </c>
      <c r="H12" s="13">
        <f>SUBTOTAL(103,Junij[6])</f>
        <v>0</v>
      </c>
      <c r="I12" s="13">
        <f>SUBTOTAL(103,Junij[7])</f>
        <v>0</v>
      </c>
      <c r="J12" s="13">
        <f>SUBTOTAL(103,Junij[8])</f>
        <v>0</v>
      </c>
      <c r="K12" s="13">
        <f>SUBTOTAL(103,Junij[9])</f>
        <v>0</v>
      </c>
      <c r="L12" s="13">
        <f>SUBTOTAL(103,Junij[10])</f>
        <v>0</v>
      </c>
      <c r="M12" s="13">
        <f>SUBTOTAL(103,Junij[11])</f>
        <v>0</v>
      </c>
      <c r="N12" s="13">
        <f>SUBTOTAL(103,Junij[12])</f>
        <v>0</v>
      </c>
      <c r="O12" s="13">
        <f>SUBTOTAL(103,Junij[13])</f>
        <v>0</v>
      </c>
      <c r="P12" s="13">
        <f>SUBTOTAL(103,Junij[14])</f>
        <v>0</v>
      </c>
      <c r="Q12" s="13">
        <f>SUBTOTAL(103,Junij[15])</f>
        <v>0</v>
      </c>
      <c r="R12" s="13">
        <f>SUBTOTAL(103,Junij[16])</f>
        <v>0</v>
      </c>
      <c r="S12" s="13">
        <f>SUBTOTAL(103,Junij[17])</f>
        <v>0</v>
      </c>
      <c r="T12" s="13">
        <f>SUBTOTAL(103,Junij[18])</f>
        <v>0</v>
      </c>
      <c r="U12" s="13">
        <f>SUBTOTAL(103,Junij[19])</f>
        <v>0</v>
      </c>
      <c r="V12" s="13">
        <f>SUBTOTAL(103,Junij[20])</f>
        <v>0</v>
      </c>
      <c r="W12" s="13">
        <f>SUBTOTAL(103,Junij[21])</f>
        <v>0</v>
      </c>
      <c r="X12" s="13">
        <f>SUBTOTAL(103,Junij[22])</f>
        <v>0</v>
      </c>
      <c r="Y12" s="13">
        <f>SUBTOTAL(103,Junij[23])</f>
        <v>0</v>
      </c>
      <c r="Z12" s="13">
        <f>SUBTOTAL(103,Junij[24])</f>
        <v>0</v>
      </c>
      <c r="AA12" s="13">
        <f>SUBTOTAL(103,Junij[25])</f>
        <v>0</v>
      </c>
      <c r="AB12" s="13">
        <f>SUBTOTAL(103,Junij[26])</f>
        <v>0</v>
      </c>
      <c r="AC12" s="13">
        <f>SUBTOTAL(103,Junij[27])</f>
        <v>0</v>
      </c>
      <c r="AD12" s="13">
        <f>SUBTOTAL(103,Junij[28])</f>
        <v>0</v>
      </c>
      <c r="AE12" s="13">
        <f>SUBTOTAL(103,Junij[29])</f>
        <v>0</v>
      </c>
      <c r="AF12" s="13">
        <f>SUBTOTAL(103,Junij[30])</f>
        <v>0</v>
      </c>
      <c r="AG12" s="13">
        <f>SUBTOTAL(103,Junij[[ ]])</f>
        <v>0</v>
      </c>
      <c r="AH12" s="13">
        <f>SUBTOTAL(109,Junij[Dni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517" priority="2" stopIfTrue="1">
      <formula>C7=TipkaPoMeri2</formula>
    </cfRule>
    <cfRule type="expression" dxfId="516" priority="3" stopIfTrue="1">
      <formula>C7=TipkaPoMeri1</formula>
    </cfRule>
    <cfRule type="expression" dxfId="515" priority="4" stopIfTrue="1">
      <formula>C7=TipkaBolniška</formula>
    </cfRule>
    <cfRule type="expression" dxfId="514" priority="5" stopIfTrue="1">
      <formula>C7=TipkaOsebno</formula>
    </cfRule>
    <cfRule type="expression" dxfId="513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500-000000000000}"/>
    <dataValidation allowBlank="1" showInputMessage="1" showErrorMessage="1" prompt="Samodejno posodobljeno leto na podlagi leta, vnesenega v delovni list Januar" sqref="AH4" xr:uid="{00000000-0002-0000-0500-000001000000}"/>
    <dataValidation allowBlank="1" showInputMessage="1" showErrorMessage="1" prompt="Skupno število dni, ko je bil zaposleni odsoten v tem mesecu, se samodejno izračuna v tem stolpcu." sqref="AH6" xr:uid="{00000000-0002-0000-0500-000002000000}"/>
    <dataValidation allowBlank="1" showInputMessage="1" showErrorMessage="1" prompt="Spremljanje odsotnosti v mesecu juniju v tem delovnem listu" sqref="A1" xr:uid="{00000000-0002-0000-0500-000003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500-000004000000}"/>
    <dataValidation allowBlank="1" showInputMessage="1" showErrorMessage="1" prompt="Samodejno posodobljen naslov je v tej celici. Če želite spremeniti naslov, posodobite B1 na januarskem delovnem listu." sqref="B1" xr:uid="{00000000-0002-0000-0500-000005000000}"/>
    <dataValidation allowBlank="1" showInputMessage="1" showErrorMessage="1" prompt="Črka »D« označuje odsotnosti zaradi dopusta." sqref="C2" xr:uid="{00000000-0002-0000-0500-000006000000}"/>
    <dataValidation allowBlank="1" showInputMessage="1" showErrorMessage="1" prompt="Črka »O« označuje odsotnosti zaradi osebnih razlogov." sqref="G2" xr:uid="{00000000-0002-0000-0500-000007000000}"/>
    <dataValidation allowBlank="1" showInputMessage="1" showErrorMessage="1" prompt="Črka »B« označuje odsotnosti zaradi bolezni." sqref="K2" xr:uid="{00000000-0002-0000-0500-000008000000}"/>
    <dataValidation allowBlank="1" showInputMessage="1" showErrorMessage="1" prompt="Vnesite črko in prilagodite oznako na desni strani, če želite dodati še en ključni element." sqref="P2 T2" xr:uid="{00000000-0002-0000-0500-000009000000}"/>
    <dataValidation allowBlank="1" showInputMessage="1" showErrorMessage="1" prompt="Vnesite oznako za opis tipke po meri na levi strani." sqref="Q2 U2" xr:uid="{00000000-0002-0000-0500-00000A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500-00000B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500-00000C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5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TEXT(WEEKDAY(DATE(KoledarskoLeto,7,1),1),"aaa")</f>
        <v>pon</v>
      </c>
      <c r="D5" s="2" t="str">
        <f>TEXT(WEEKDAY(DATE(KoledarskoLeto,7,2),1),"aaa")</f>
        <v>tor</v>
      </c>
      <c r="E5" s="2" t="str">
        <f>TEXT(WEEKDAY(DATE(KoledarskoLeto,7,3),1),"aaa")</f>
        <v>sre</v>
      </c>
      <c r="F5" s="2" t="str">
        <f>TEXT(WEEKDAY(DATE(KoledarskoLeto,7,4),1),"aaa")</f>
        <v>čet</v>
      </c>
      <c r="G5" s="2" t="str">
        <f>TEXT(WEEKDAY(DATE(KoledarskoLeto,7,5),1),"aaa")</f>
        <v>pet</v>
      </c>
      <c r="H5" s="2" t="str">
        <f>TEXT(WEEKDAY(DATE(KoledarskoLeto,7,6),1),"aaa")</f>
        <v>sob</v>
      </c>
      <c r="I5" s="2" t="str">
        <f>TEXT(WEEKDAY(DATE(KoledarskoLeto,7,7),1),"aaa")</f>
        <v>ned</v>
      </c>
      <c r="J5" s="2" t="str">
        <f>TEXT(WEEKDAY(DATE(KoledarskoLeto,7,8),1),"aaa")</f>
        <v>pon</v>
      </c>
      <c r="K5" s="2" t="str">
        <f>TEXT(WEEKDAY(DATE(KoledarskoLeto,7,9),1),"aaa")</f>
        <v>tor</v>
      </c>
      <c r="L5" s="2" t="str">
        <f>TEXT(WEEKDAY(DATE(KoledarskoLeto,7,10),1),"aaa")</f>
        <v>sre</v>
      </c>
      <c r="M5" s="2" t="str">
        <f>TEXT(WEEKDAY(DATE(KoledarskoLeto,7,11),1),"aaa")</f>
        <v>čet</v>
      </c>
      <c r="N5" s="2" t="str">
        <f>TEXT(WEEKDAY(DATE(KoledarskoLeto,7,12),1),"aaa")</f>
        <v>pet</v>
      </c>
      <c r="O5" s="2" t="str">
        <f>TEXT(WEEKDAY(DATE(KoledarskoLeto,7,13),1),"aaa")</f>
        <v>sob</v>
      </c>
      <c r="P5" s="2" t="str">
        <f>TEXT(WEEKDAY(DATE(KoledarskoLeto,7,14),1),"aaa")</f>
        <v>ned</v>
      </c>
      <c r="Q5" s="2" t="str">
        <f>TEXT(WEEKDAY(DATE(KoledarskoLeto,7,15),1),"aaa")</f>
        <v>pon</v>
      </c>
      <c r="R5" s="2" t="str">
        <f>TEXT(WEEKDAY(DATE(KoledarskoLeto,7,16),1),"aaa")</f>
        <v>tor</v>
      </c>
      <c r="S5" s="2" t="str">
        <f>TEXT(WEEKDAY(DATE(KoledarskoLeto,7,17),1),"aaa")</f>
        <v>sre</v>
      </c>
      <c r="T5" s="2" t="str">
        <f>TEXT(WEEKDAY(DATE(KoledarskoLeto,7,18),1),"aaa")</f>
        <v>čet</v>
      </c>
      <c r="U5" s="2" t="str">
        <f>TEXT(WEEKDAY(DATE(KoledarskoLeto,7,19),1),"aaa")</f>
        <v>pet</v>
      </c>
      <c r="V5" s="2" t="str">
        <f>TEXT(WEEKDAY(DATE(KoledarskoLeto,7,20),1),"aaa")</f>
        <v>sob</v>
      </c>
      <c r="W5" s="2" t="str">
        <f>TEXT(WEEKDAY(DATE(KoledarskoLeto,7,21),1),"aaa")</f>
        <v>ned</v>
      </c>
      <c r="X5" s="2" t="str">
        <f>TEXT(WEEKDAY(DATE(KoledarskoLeto,7,22),1),"aaa")</f>
        <v>pon</v>
      </c>
      <c r="Y5" s="2" t="str">
        <f>TEXT(WEEKDAY(DATE(KoledarskoLeto,7,23),1),"aaa")</f>
        <v>tor</v>
      </c>
      <c r="Z5" s="2" t="str">
        <f>TEXT(WEEKDAY(DATE(KoledarskoLeto,7,24),1),"aaa")</f>
        <v>sre</v>
      </c>
      <c r="AA5" s="2" t="str">
        <f>TEXT(WEEKDAY(DATE(KoledarskoLeto,7,25),1),"aaa")</f>
        <v>čet</v>
      </c>
      <c r="AB5" s="2" t="str">
        <f>TEXT(WEEKDAY(DATE(KoledarskoLeto,7,26),1),"aaa")</f>
        <v>pet</v>
      </c>
      <c r="AC5" s="2" t="str">
        <f>TEXT(WEEKDAY(DATE(KoledarskoLeto,7,27),1),"aaa")</f>
        <v>sob</v>
      </c>
      <c r="AD5" s="2" t="str">
        <f>TEXT(WEEKDAY(DATE(KoledarskoLeto,7,28),1),"aaa")</f>
        <v>ned</v>
      </c>
      <c r="AE5" s="2" t="str">
        <f>TEXT(WEEKDAY(DATE(KoledarskoLeto,7,29),1),"aaa")</f>
        <v>pon</v>
      </c>
      <c r="AF5" s="2" t="str">
        <f>TEXT(WEEKDAY(DATE(KoledarskoLeto,7,30),1),"aaa")</f>
        <v>tor</v>
      </c>
      <c r="AG5" s="2" t="str">
        <f>TEXT(WEEKDAY(DATE(KoledarskoLeto,7,31),1),"aaa")</f>
        <v>sre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COUNTA(Julij[[#This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COUNTA(Julij[[#This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COUNTA(Julij[[#This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COUNTA(Julij[[#This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COUNTA(Julij[[#This Row],[1]:[31]])</f>
        <v>0</v>
      </c>
    </row>
    <row r="12" spans="2:34" ht="30" customHeight="1" x14ac:dyDescent="0.25">
      <c r="B12" s="21" t="str">
        <f>"Skupaj za "&amp;ImeMeseca</f>
        <v>Skupaj za Julij</v>
      </c>
      <c r="C12" s="13">
        <f>SUBTOTAL(103,Julij[1])</f>
        <v>0</v>
      </c>
      <c r="D12" s="13">
        <f>SUBTOTAL(103,Julij[2])</f>
        <v>0</v>
      </c>
      <c r="E12" s="13">
        <f>SUBTOTAL(103,Julij[3])</f>
        <v>0</v>
      </c>
      <c r="F12" s="13">
        <f>SUBTOTAL(103,Julij[4])</f>
        <v>0</v>
      </c>
      <c r="G12" s="13">
        <f>SUBTOTAL(103,Julij[5])</f>
        <v>0</v>
      </c>
      <c r="H12" s="13">
        <f>SUBTOTAL(103,Julij[6])</f>
        <v>0</v>
      </c>
      <c r="I12" s="13">
        <f>SUBTOTAL(103,Julij[7])</f>
        <v>0</v>
      </c>
      <c r="J12" s="13">
        <f>SUBTOTAL(103,Julij[8])</f>
        <v>0</v>
      </c>
      <c r="K12" s="13">
        <f>SUBTOTAL(103,Julij[9])</f>
        <v>0</v>
      </c>
      <c r="L12" s="13">
        <f>SUBTOTAL(103,Julij[10])</f>
        <v>0</v>
      </c>
      <c r="M12" s="13">
        <f>SUBTOTAL(103,Julij[11])</f>
        <v>0</v>
      </c>
      <c r="N12" s="13">
        <f>SUBTOTAL(103,Julij[12])</f>
        <v>0</v>
      </c>
      <c r="O12" s="13">
        <f>SUBTOTAL(103,Julij[13])</f>
        <v>0</v>
      </c>
      <c r="P12" s="13">
        <f>SUBTOTAL(103,Julij[14])</f>
        <v>0</v>
      </c>
      <c r="Q12" s="13">
        <f>SUBTOTAL(103,Julij[15])</f>
        <v>0</v>
      </c>
      <c r="R12" s="13">
        <f>SUBTOTAL(103,Julij[16])</f>
        <v>0</v>
      </c>
      <c r="S12" s="13">
        <f>SUBTOTAL(103,Julij[17])</f>
        <v>0</v>
      </c>
      <c r="T12" s="13">
        <f>SUBTOTAL(103,Julij[18])</f>
        <v>0</v>
      </c>
      <c r="U12" s="13">
        <f>SUBTOTAL(103,Julij[19])</f>
        <v>0</v>
      </c>
      <c r="V12" s="13">
        <f>SUBTOTAL(103,Julij[20])</f>
        <v>0</v>
      </c>
      <c r="W12" s="13">
        <f>SUBTOTAL(103,Julij[21])</f>
        <v>0</v>
      </c>
      <c r="X12" s="13">
        <f>SUBTOTAL(103,Julij[22])</f>
        <v>0</v>
      </c>
      <c r="Y12" s="13">
        <f>SUBTOTAL(103,Julij[23])</f>
        <v>0</v>
      </c>
      <c r="Z12" s="13">
        <f>SUBTOTAL(103,Julij[24])</f>
        <v>0</v>
      </c>
      <c r="AA12" s="13">
        <f>SUBTOTAL(103,Julij[25])</f>
        <v>0</v>
      </c>
      <c r="AB12" s="13">
        <f>SUBTOTAL(103,Julij[26])</f>
        <v>0</v>
      </c>
      <c r="AC12" s="13">
        <f>SUBTOTAL(103,Julij[27])</f>
        <v>0</v>
      </c>
      <c r="AD12" s="13">
        <f>SUBTOTAL(103,Julij[28])</f>
        <v>0</v>
      </c>
      <c r="AE12" s="13">
        <f>SUBTOTAL(103,Julij[29])</f>
        <v>0</v>
      </c>
      <c r="AF12" s="13">
        <f>SUBTOTAL(103,Julij[30])</f>
        <v>0</v>
      </c>
      <c r="AG12" s="13">
        <f>SUBTOTAL(103,Julij[31])</f>
        <v>0</v>
      </c>
      <c r="AH12" s="13">
        <f>SUBTOTAL(109,Julij[Dni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443" priority="2" stopIfTrue="1">
      <formula>C7=TipkaPoMeri2</formula>
    </cfRule>
    <cfRule type="expression" dxfId="442" priority="3" stopIfTrue="1">
      <formula>C7=TipkaPoMeri1</formula>
    </cfRule>
    <cfRule type="expression" dxfId="441" priority="4" stopIfTrue="1">
      <formula>C7=TipkaBolniška</formula>
    </cfRule>
    <cfRule type="expression" dxfId="440" priority="5" stopIfTrue="1">
      <formula>C7=TipkaOsebno</formula>
    </cfRule>
    <cfRule type="expression" dxfId="439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600-000000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600-000001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600-000002000000}"/>
    <dataValidation allowBlank="1" showInputMessage="1" showErrorMessage="1" prompt="Vnesite oznako za opis tipke po meri na levi strani." sqref="Q2 U2" xr:uid="{00000000-0002-0000-0600-000003000000}"/>
    <dataValidation allowBlank="1" showInputMessage="1" showErrorMessage="1" prompt="Vnesite črko in prilagodite oznako na desni strani, če želite dodati še en ključni element." sqref="P2 T2" xr:uid="{00000000-0002-0000-0600-000004000000}"/>
    <dataValidation allowBlank="1" showInputMessage="1" showErrorMessage="1" prompt="Črka »B« označuje odsotnosti zaradi bolezni." sqref="K2" xr:uid="{00000000-0002-0000-0600-000005000000}"/>
    <dataValidation allowBlank="1" showInputMessage="1" showErrorMessage="1" prompt="Črka »O« označuje odsotnosti zaradi osebnih razlogov." sqref="G2" xr:uid="{00000000-0002-0000-0600-000006000000}"/>
    <dataValidation allowBlank="1" showInputMessage="1" showErrorMessage="1" prompt="Črka »D« označuje odsotnosti zaradi dopusta." sqref="C2" xr:uid="{00000000-0002-0000-0600-000007000000}"/>
    <dataValidation allowBlank="1" showInputMessage="1" showErrorMessage="1" prompt="Samodejno posodobljen naslov je v tej celici. Če želite spremeniti naslov, posodobite B1 na januarskem delovnem listu." sqref="B1" xr:uid="{00000000-0002-0000-0600-000008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600-000009000000}"/>
    <dataValidation allowBlank="1" showInputMessage="1" showErrorMessage="1" prompt="Spremljanje odsotnosti v mesecu juliju v tem delovnem listu" sqref="A1" xr:uid="{00000000-0002-0000-0600-00000A000000}"/>
    <dataValidation allowBlank="1" showInputMessage="1" showErrorMessage="1" prompt="Skupno število dni, ko je bil zaposleni odsoten v tem mesecu, se samodejno izračuna v tem stolpcu." sqref="AH6" xr:uid="{00000000-0002-0000-0600-00000B000000}"/>
    <dataValidation allowBlank="1" showInputMessage="1" showErrorMessage="1" prompt="Samodejno posodobljeno leto na podlagi leta, vnesenega v delovni list Januar" sqref="AH4" xr:uid="{00000000-0002-0000-0600-00000C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6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TEXT(WEEKDAY(DATE(KoledarskoLeto,8,1),1),"aaa")</f>
        <v>čet</v>
      </c>
      <c r="D5" s="2" t="str">
        <f>TEXT(WEEKDAY(DATE(KoledarskoLeto,8,2),1),"aaa")</f>
        <v>pet</v>
      </c>
      <c r="E5" s="2" t="str">
        <f>TEXT(WEEKDAY(DATE(KoledarskoLeto,8,3),1),"aaa")</f>
        <v>sob</v>
      </c>
      <c r="F5" s="2" t="str">
        <f>TEXT(WEEKDAY(DATE(KoledarskoLeto,8,4),1),"aaa")</f>
        <v>ned</v>
      </c>
      <c r="G5" s="2" t="str">
        <f>TEXT(WEEKDAY(DATE(KoledarskoLeto,8,5),1),"aaa")</f>
        <v>pon</v>
      </c>
      <c r="H5" s="2" t="str">
        <f>TEXT(WEEKDAY(DATE(KoledarskoLeto,8,6),1),"aaa")</f>
        <v>tor</v>
      </c>
      <c r="I5" s="2" t="str">
        <f>TEXT(WEEKDAY(DATE(KoledarskoLeto,8,7),1),"aaa")</f>
        <v>sre</v>
      </c>
      <c r="J5" s="2" t="str">
        <f>TEXT(WEEKDAY(DATE(KoledarskoLeto,8,8),1),"aaa")</f>
        <v>čet</v>
      </c>
      <c r="K5" s="2" t="str">
        <f>TEXT(WEEKDAY(DATE(KoledarskoLeto,8,9),1),"aaa")</f>
        <v>pet</v>
      </c>
      <c r="L5" s="2" t="str">
        <f>TEXT(WEEKDAY(DATE(KoledarskoLeto,8,10),1),"aaa")</f>
        <v>sob</v>
      </c>
      <c r="M5" s="2" t="str">
        <f>TEXT(WEEKDAY(DATE(KoledarskoLeto,8,11),1),"aaa")</f>
        <v>ned</v>
      </c>
      <c r="N5" s="2" t="str">
        <f>TEXT(WEEKDAY(DATE(KoledarskoLeto,8,12),1),"aaa")</f>
        <v>pon</v>
      </c>
      <c r="O5" s="2" t="str">
        <f>TEXT(WEEKDAY(DATE(KoledarskoLeto,8,13),1),"aaa")</f>
        <v>tor</v>
      </c>
      <c r="P5" s="2" t="str">
        <f>TEXT(WEEKDAY(DATE(KoledarskoLeto,8,14),1),"aaa")</f>
        <v>sre</v>
      </c>
      <c r="Q5" s="2" t="str">
        <f>TEXT(WEEKDAY(DATE(KoledarskoLeto,8,15),1),"aaa")</f>
        <v>čet</v>
      </c>
      <c r="R5" s="2" t="str">
        <f>TEXT(WEEKDAY(DATE(KoledarskoLeto,8,16),1),"aaa")</f>
        <v>pet</v>
      </c>
      <c r="S5" s="2" t="str">
        <f>TEXT(WEEKDAY(DATE(KoledarskoLeto,8,17),1),"aaa")</f>
        <v>sob</v>
      </c>
      <c r="T5" s="2" t="str">
        <f>TEXT(WEEKDAY(DATE(KoledarskoLeto,8,18),1),"aaa")</f>
        <v>ned</v>
      </c>
      <c r="U5" s="2" t="str">
        <f>TEXT(WEEKDAY(DATE(KoledarskoLeto,8,19),1),"aaa")</f>
        <v>pon</v>
      </c>
      <c r="V5" s="2" t="str">
        <f>TEXT(WEEKDAY(DATE(KoledarskoLeto,8,20),1),"aaa")</f>
        <v>tor</v>
      </c>
      <c r="W5" s="2" t="str">
        <f>TEXT(WEEKDAY(DATE(KoledarskoLeto,8,21),1),"aaa")</f>
        <v>sre</v>
      </c>
      <c r="X5" s="2" t="str">
        <f>TEXT(WEEKDAY(DATE(KoledarskoLeto,8,22),1),"aaa")</f>
        <v>čet</v>
      </c>
      <c r="Y5" s="2" t="str">
        <f>TEXT(WEEKDAY(DATE(KoledarskoLeto,8,23),1),"aaa")</f>
        <v>pet</v>
      </c>
      <c r="Z5" s="2" t="str">
        <f>TEXT(WEEKDAY(DATE(KoledarskoLeto,8,24),1),"aaa")</f>
        <v>sob</v>
      </c>
      <c r="AA5" s="2" t="str">
        <f>TEXT(WEEKDAY(DATE(KoledarskoLeto,8,25),1),"aaa")</f>
        <v>ned</v>
      </c>
      <c r="AB5" s="2" t="str">
        <f>TEXT(WEEKDAY(DATE(KoledarskoLeto,8,26),1),"aaa")</f>
        <v>pon</v>
      </c>
      <c r="AC5" s="2" t="str">
        <f>TEXT(WEEKDAY(DATE(KoledarskoLeto,8,27),1),"aaa")</f>
        <v>tor</v>
      </c>
      <c r="AD5" s="2" t="str">
        <f>TEXT(WEEKDAY(DATE(KoledarskoLeto,8,28),1),"aaa")</f>
        <v>sre</v>
      </c>
      <c r="AE5" s="2" t="str">
        <f>TEXT(WEEKDAY(DATE(KoledarskoLeto,8,29),1),"aaa")</f>
        <v>čet</v>
      </c>
      <c r="AF5" s="2" t="str">
        <f>TEXT(WEEKDAY(DATE(KoledarskoLeto,8,30),1),"aaa")</f>
        <v>pet</v>
      </c>
      <c r="AG5" s="2" t="str">
        <f>TEXT(WEEKDAY(DATE(KoledarskoLeto,8,31),1),"aaa")</f>
        <v>sob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COUNTA(Avgust[[#This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COUNTA(Avgust[[#This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COUNTA(Avgust[[#This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COUNTA(Avgust[[#This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COUNTA(Avgust[[#This Row],[1]:[31]])</f>
        <v>0</v>
      </c>
    </row>
    <row r="12" spans="2:34" ht="30" customHeight="1" x14ac:dyDescent="0.25">
      <c r="B12" s="21" t="str">
        <f>"Skupaj za "&amp;ImeMeseca</f>
        <v>Skupaj za Avgust</v>
      </c>
      <c r="C12" s="13">
        <f>SUBTOTAL(103,Avgust[1])</f>
        <v>0</v>
      </c>
      <c r="D12" s="13">
        <f>SUBTOTAL(103,Avgust[2])</f>
        <v>0</v>
      </c>
      <c r="E12" s="13">
        <f>SUBTOTAL(103,Avgust[3])</f>
        <v>0</v>
      </c>
      <c r="F12" s="13">
        <f>SUBTOTAL(103,Avgust[4])</f>
        <v>0</v>
      </c>
      <c r="G12" s="13">
        <f>SUBTOTAL(103,Avgust[5])</f>
        <v>0</v>
      </c>
      <c r="H12" s="13">
        <f>SUBTOTAL(103,Avgust[6])</f>
        <v>0</v>
      </c>
      <c r="I12" s="13">
        <f>SUBTOTAL(103,Avgust[7])</f>
        <v>0</v>
      </c>
      <c r="J12" s="13">
        <f>SUBTOTAL(103,Avgust[8])</f>
        <v>0</v>
      </c>
      <c r="K12" s="13">
        <f>SUBTOTAL(103,Avgust[9])</f>
        <v>0</v>
      </c>
      <c r="L12" s="13">
        <f>SUBTOTAL(103,Avgust[10])</f>
        <v>0</v>
      </c>
      <c r="M12" s="13">
        <f>SUBTOTAL(103,Avgust[11])</f>
        <v>0</v>
      </c>
      <c r="N12" s="13">
        <f>SUBTOTAL(103,Avgust[12])</f>
        <v>0</v>
      </c>
      <c r="O12" s="13">
        <f>SUBTOTAL(103,Avgust[13])</f>
        <v>0</v>
      </c>
      <c r="P12" s="13">
        <f>SUBTOTAL(103,Avgust[14])</f>
        <v>0</v>
      </c>
      <c r="Q12" s="13">
        <f>SUBTOTAL(103,Avgust[15])</f>
        <v>0</v>
      </c>
      <c r="R12" s="13">
        <f>SUBTOTAL(103,Avgust[16])</f>
        <v>0</v>
      </c>
      <c r="S12" s="13">
        <f>SUBTOTAL(103,Avgust[17])</f>
        <v>0</v>
      </c>
      <c r="T12" s="13">
        <f>SUBTOTAL(103,Avgust[18])</f>
        <v>0</v>
      </c>
      <c r="U12" s="13">
        <f>SUBTOTAL(103,Avgust[19])</f>
        <v>0</v>
      </c>
      <c r="V12" s="13">
        <f>SUBTOTAL(103,Avgust[20])</f>
        <v>0</v>
      </c>
      <c r="W12" s="13">
        <f>SUBTOTAL(103,Avgust[21])</f>
        <v>0</v>
      </c>
      <c r="X12" s="13">
        <f>SUBTOTAL(103,Avgust[22])</f>
        <v>0</v>
      </c>
      <c r="Y12" s="13">
        <f>SUBTOTAL(103,Avgust[23])</f>
        <v>0</v>
      </c>
      <c r="Z12" s="13">
        <f>SUBTOTAL(103,Avgust[24])</f>
        <v>0</v>
      </c>
      <c r="AA12" s="13">
        <f>SUBTOTAL(103,Avgust[25])</f>
        <v>0</v>
      </c>
      <c r="AB12" s="13">
        <f>SUBTOTAL(103,Avgust[26])</f>
        <v>0</v>
      </c>
      <c r="AC12" s="13">
        <f>SUBTOTAL(103,Avgust[27])</f>
        <v>0</v>
      </c>
      <c r="AD12" s="13">
        <f>SUBTOTAL(103,Avgust[28])</f>
        <v>0</v>
      </c>
      <c r="AE12" s="13">
        <f>SUBTOTAL(103,Avgust[29])</f>
        <v>0</v>
      </c>
      <c r="AF12" s="13">
        <f>SUBTOTAL(103,Avgust[30])</f>
        <v>0</v>
      </c>
      <c r="AG12" s="13">
        <f>SUBTOTAL(103,Avgust[31])</f>
        <v>0</v>
      </c>
      <c r="AH12" s="13">
        <f>SUBTOTAL(109,Avgust[Dni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369" priority="2" stopIfTrue="1">
      <formula>C7=TipkaPoMeri2</formula>
    </cfRule>
    <cfRule type="expression" dxfId="368" priority="3" stopIfTrue="1">
      <formula>C7=TipkaPoMeri1</formula>
    </cfRule>
    <cfRule type="expression" dxfId="367" priority="4" stopIfTrue="1">
      <formula>C7=TipkaBolniška</formula>
    </cfRule>
    <cfRule type="expression" dxfId="366" priority="5" stopIfTrue="1">
      <formula>C7=TipkaOsebno</formula>
    </cfRule>
    <cfRule type="expression" dxfId="365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700-000000000000}"/>
    <dataValidation allowBlank="1" showInputMessage="1" showErrorMessage="1" prompt="Samodejno posodobljeno leto na podlagi leta, vnesenega v delovni list Januar" sqref="AH4" xr:uid="{00000000-0002-0000-0700-000001000000}"/>
    <dataValidation allowBlank="1" showInputMessage="1" showErrorMessage="1" prompt="Skupno število dni, ko je bil zaposleni odsoten v tem mesecu, se samodejno izračuna v tem stolpcu." sqref="AH6" xr:uid="{00000000-0002-0000-0700-000002000000}"/>
    <dataValidation allowBlank="1" showInputMessage="1" showErrorMessage="1" prompt="Spremljanje odsotnosti v mesecu avgustu v tem delovnem listu" sqref="A1" xr:uid="{00000000-0002-0000-0700-000003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700-000004000000}"/>
    <dataValidation allowBlank="1" showInputMessage="1" showErrorMessage="1" prompt="Samodejno posodobljen naslov je v tej celici. Če želite spremeniti naslov, posodobite B1 na januarskem delovnem listu." sqref="B1" xr:uid="{00000000-0002-0000-0700-000005000000}"/>
    <dataValidation allowBlank="1" showInputMessage="1" showErrorMessage="1" prompt="Črka »D« označuje odsotnosti zaradi dopusta." sqref="C2" xr:uid="{00000000-0002-0000-0700-000006000000}"/>
    <dataValidation allowBlank="1" showInputMessage="1" showErrorMessage="1" prompt="Črka »O« označuje odsotnosti zaradi osebnih razlogov." sqref="G2" xr:uid="{00000000-0002-0000-0700-000007000000}"/>
    <dataValidation allowBlank="1" showInputMessage="1" showErrorMessage="1" prompt="Črka »B« označuje odsotnosti zaradi bolezni." sqref="K2" xr:uid="{00000000-0002-0000-0700-000008000000}"/>
    <dataValidation allowBlank="1" showInputMessage="1" showErrorMessage="1" prompt="Vnesite črko in prilagodite oznako na desni strani, če želite dodati še en ključni element." sqref="P2 T2" xr:uid="{00000000-0002-0000-0700-000009000000}"/>
    <dataValidation allowBlank="1" showInputMessage="1" showErrorMessage="1" prompt="Vnesite oznako za opis tipke po meri na levi strani." sqref="Q2 U2" xr:uid="{00000000-0002-0000-0700-00000A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700-00000B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700-00000C000000}"/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7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'Imena zaposlenih'!$B$4:$B$8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Naslov_odsotnosti_stolpca</f>
        <v>Razpored odsotnosti zaposlenih</v>
      </c>
    </row>
    <row r="2" spans="2:34" ht="15" customHeight="1" x14ac:dyDescent="0.25">
      <c r="B2" s="19" t="s">
        <v>1</v>
      </c>
      <c r="C2" s="4" t="s">
        <v>62</v>
      </c>
      <c r="D2" s="25" t="s">
        <v>11</v>
      </c>
      <c r="E2" s="25"/>
      <c r="F2" s="25"/>
      <c r="G2" s="5" t="s">
        <v>63</v>
      </c>
      <c r="H2" s="25" t="s">
        <v>16</v>
      </c>
      <c r="I2" s="25"/>
      <c r="J2" s="25"/>
      <c r="K2" s="6" t="s">
        <v>64</v>
      </c>
      <c r="L2" s="25" t="s">
        <v>21</v>
      </c>
      <c r="M2" s="25"/>
      <c r="N2" s="25"/>
      <c r="O2" s="25"/>
      <c r="P2" s="7"/>
      <c r="Q2" s="25" t="s">
        <v>25</v>
      </c>
      <c r="R2" s="25"/>
      <c r="S2" s="25"/>
      <c r="T2" s="8"/>
      <c r="U2" s="25" t="s">
        <v>30</v>
      </c>
      <c r="V2" s="25"/>
      <c r="W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KoledarskoLeto</f>
        <v>2019</v>
      </c>
    </row>
    <row r="5" spans="2:34" ht="15" customHeight="1" x14ac:dyDescent="0.25">
      <c r="B5" s="12"/>
      <c r="C5" s="2" t="str">
        <f>TEXT(WEEKDAY(DATE(KoledarskoLeto,9,1),1),"aaa")</f>
        <v>ned</v>
      </c>
      <c r="D5" s="2" t="str">
        <f>TEXT(WEEKDAY(DATE(KoledarskoLeto,9,2),1),"aaa")</f>
        <v>pon</v>
      </c>
      <c r="E5" s="2" t="str">
        <f>TEXT(WEEKDAY(DATE(KoledarskoLeto,9,3),1),"aaa")</f>
        <v>tor</v>
      </c>
      <c r="F5" s="2" t="str">
        <f>TEXT(WEEKDAY(DATE(KoledarskoLeto,9,4),1),"aaa")</f>
        <v>sre</v>
      </c>
      <c r="G5" s="2" t="str">
        <f>TEXT(WEEKDAY(DATE(KoledarskoLeto,9,5),1),"aaa")</f>
        <v>čet</v>
      </c>
      <c r="H5" s="2" t="str">
        <f>TEXT(WEEKDAY(DATE(KoledarskoLeto,9,6),1),"aaa")</f>
        <v>pet</v>
      </c>
      <c r="I5" s="2" t="str">
        <f>TEXT(WEEKDAY(DATE(KoledarskoLeto,9,7),1),"aaa")</f>
        <v>sob</v>
      </c>
      <c r="J5" s="2" t="str">
        <f>TEXT(WEEKDAY(DATE(KoledarskoLeto,9,8),1),"aaa")</f>
        <v>ned</v>
      </c>
      <c r="K5" s="2" t="str">
        <f>TEXT(WEEKDAY(DATE(KoledarskoLeto,9,9),1),"aaa")</f>
        <v>pon</v>
      </c>
      <c r="L5" s="2" t="str">
        <f>TEXT(WEEKDAY(DATE(KoledarskoLeto,9,10),1),"aaa")</f>
        <v>tor</v>
      </c>
      <c r="M5" s="2" t="str">
        <f>TEXT(WEEKDAY(DATE(KoledarskoLeto,9,11),1),"aaa")</f>
        <v>sre</v>
      </c>
      <c r="N5" s="2" t="str">
        <f>TEXT(WEEKDAY(DATE(KoledarskoLeto,9,12),1),"aaa")</f>
        <v>čet</v>
      </c>
      <c r="O5" s="2" t="str">
        <f>TEXT(WEEKDAY(DATE(KoledarskoLeto,9,13),1),"aaa")</f>
        <v>pet</v>
      </c>
      <c r="P5" s="2" t="str">
        <f>TEXT(WEEKDAY(DATE(KoledarskoLeto,9,14),1),"aaa")</f>
        <v>sob</v>
      </c>
      <c r="Q5" s="2" t="str">
        <f>TEXT(WEEKDAY(DATE(KoledarskoLeto,9,15),1),"aaa")</f>
        <v>ned</v>
      </c>
      <c r="R5" s="2" t="str">
        <f>TEXT(WEEKDAY(DATE(KoledarskoLeto,9,16),1),"aaa")</f>
        <v>pon</v>
      </c>
      <c r="S5" s="2" t="str">
        <f>TEXT(WEEKDAY(DATE(KoledarskoLeto,9,17),1),"aaa")</f>
        <v>tor</v>
      </c>
      <c r="T5" s="2" t="str">
        <f>TEXT(WEEKDAY(DATE(KoledarskoLeto,9,18),1),"aaa")</f>
        <v>sre</v>
      </c>
      <c r="U5" s="2" t="str">
        <f>TEXT(WEEKDAY(DATE(KoledarskoLeto,9,19),1),"aaa")</f>
        <v>čet</v>
      </c>
      <c r="V5" s="2" t="str">
        <f>TEXT(WEEKDAY(DATE(KoledarskoLeto,9,20),1),"aaa")</f>
        <v>pet</v>
      </c>
      <c r="W5" s="2" t="str">
        <f>TEXT(WEEKDAY(DATE(KoledarskoLeto,9,21),1),"aaa")</f>
        <v>sob</v>
      </c>
      <c r="X5" s="2" t="str">
        <f>TEXT(WEEKDAY(DATE(KoledarskoLeto,9,22),1),"aaa")</f>
        <v>ned</v>
      </c>
      <c r="Y5" s="2" t="str">
        <f>TEXT(WEEKDAY(DATE(KoledarskoLeto,9,23),1),"aaa")</f>
        <v>pon</v>
      </c>
      <c r="Z5" s="2" t="str">
        <f>TEXT(WEEKDAY(DATE(KoledarskoLeto,9,24),1),"aaa")</f>
        <v>tor</v>
      </c>
      <c r="AA5" s="2" t="str">
        <f>TEXT(WEEKDAY(DATE(KoledarskoLeto,9,25),1),"aaa")</f>
        <v>sre</v>
      </c>
      <c r="AB5" s="2" t="str">
        <f>TEXT(WEEKDAY(DATE(KoledarskoLeto,9,26),1),"aaa")</f>
        <v>čet</v>
      </c>
      <c r="AC5" s="2" t="str">
        <f>TEXT(WEEKDAY(DATE(KoledarskoLeto,9,27),1),"aaa")</f>
        <v>pet</v>
      </c>
      <c r="AD5" s="2" t="str">
        <f>TEXT(WEEKDAY(DATE(KoledarskoLeto,9,28),1),"aaa")</f>
        <v>sob</v>
      </c>
      <c r="AE5" s="2" t="str">
        <f>TEXT(WEEKDAY(DATE(KoledarskoLeto,9,29),1),"aaa")</f>
        <v>ned</v>
      </c>
      <c r="AF5" s="2" t="str">
        <f>TEXT(WEEKDAY(DATE(KoledarskoLeto,9,30),1),"aaa")</f>
        <v>pon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COUNTA(September[[#This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COUNTA(September[[#This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COUNTA(September[[#This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COUNTA(September[[#This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COUNTA(September[[#This Row],[1]:[30]])</f>
        <v>0</v>
      </c>
    </row>
    <row r="12" spans="2:34" ht="30" customHeight="1" x14ac:dyDescent="0.25">
      <c r="B12" s="21" t="str">
        <f>"Skupaj za "&amp;ImeMeseca</f>
        <v>Skupaj za September</v>
      </c>
      <c r="C12" s="13">
        <f>SUBTOTAL(103,September[1])</f>
        <v>0</v>
      </c>
      <c r="D12" s="13">
        <f>SUBTOTAL(103,September[2])</f>
        <v>0</v>
      </c>
      <c r="E12" s="13">
        <f>SUBTOTAL(103,September[3])</f>
        <v>0</v>
      </c>
      <c r="F12" s="13">
        <f>SUBTOTAL(103,September[4])</f>
        <v>0</v>
      </c>
      <c r="G12" s="13">
        <f>SUBTOTAL(103,September[5])</f>
        <v>0</v>
      </c>
      <c r="H12" s="13">
        <f>SUBTOTAL(103,September[6])</f>
        <v>0</v>
      </c>
      <c r="I12" s="13">
        <f>SUBTOTAL(103,September[7])</f>
        <v>0</v>
      </c>
      <c r="J12" s="13">
        <f>SUBTOTAL(103,September[8])</f>
        <v>0</v>
      </c>
      <c r="K12" s="13">
        <f>SUBTOTAL(103,September[9])</f>
        <v>0</v>
      </c>
      <c r="L12" s="13">
        <f>SUBTOTAL(103,September[10])</f>
        <v>0</v>
      </c>
      <c r="M12" s="13">
        <f>SUBTOTAL(103,September[11])</f>
        <v>0</v>
      </c>
      <c r="N12" s="13">
        <f>SUBTOTAL(103,September[12])</f>
        <v>0</v>
      </c>
      <c r="O12" s="13">
        <f>SUBTOTAL(103,September[13])</f>
        <v>0</v>
      </c>
      <c r="P12" s="13">
        <f>SUBTOTAL(103,September[14])</f>
        <v>0</v>
      </c>
      <c r="Q12" s="13">
        <f>SUBTOTAL(103,September[15])</f>
        <v>0</v>
      </c>
      <c r="R12" s="13">
        <f>SUBTOTAL(103,September[16])</f>
        <v>0</v>
      </c>
      <c r="S12" s="13">
        <f>SUBTOTAL(103,September[17])</f>
        <v>0</v>
      </c>
      <c r="T12" s="13">
        <f>SUBTOTAL(103,September[18])</f>
        <v>0</v>
      </c>
      <c r="U12" s="13">
        <f>SUBTOTAL(103,September[19])</f>
        <v>0</v>
      </c>
      <c r="V12" s="13">
        <f>SUBTOTAL(103,September[20])</f>
        <v>0</v>
      </c>
      <c r="W12" s="13">
        <f>SUBTOTAL(103,September[21])</f>
        <v>0</v>
      </c>
      <c r="X12" s="13">
        <f>SUBTOTAL(103,September[22])</f>
        <v>0</v>
      </c>
      <c r="Y12" s="13">
        <f>SUBTOTAL(103,September[23])</f>
        <v>0</v>
      </c>
      <c r="Z12" s="13">
        <f>SUBTOTAL(103,September[24])</f>
        <v>0</v>
      </c>
      <c r="AA12" s="13">
        <f>SUBTOTAL(103,September[25])</f>
        <v>0</v>
      </c>
      <c r="AB12" s="13">
        <f>SUBTOTAL(103,September[26])</f>
        <v>0</v>
      </c>
      <c r="AC12" s="13">
        <f>SUBTOTAL(103,September[27])</f>
        <v>0</v>
      </c>
      <c r="AD12" s="13">
        <f>SUBTOTAL(103,September[28])</f>
        <v>0</v>
      </c>
      <c r="AE12" s="13">
        <f>SUBTOTAL(103,September[29])</f>
        <v>0</v>
      </c>
      <c r="AF12" s="13">
        <f>SUBTOTAL(103,September[30])</f>
        <v>0</v>
      </c>
      <c r="AG12" s="13">
        <f>SUBTOTAL(103,September[[ ]])</f>
        <v>0</v>
      </c>
      <c r="AH12" s="13">
        <f>SUBTOTAL(109,September[Dni skupaj])</f>
        <v>0</v>
      </c>
    </row>
  </sheetData>
  <mergeCells count="6">
    <mergeCell ref="C4:AG4"/>
    <mergeCell ref="D2:F2"/>
    <mergeCell ref="H2:J2"/>
    <mergeCell ref="L2:O2"/>
    <mergeCell ref="Q2:S2"/>
    <mergeCell ref="U2:W2"/>
  </mergeCells>
  <conditionalFormatting sqref="C7:AG11">
    <cfRule type="expression" priority="1" stopIfTrue="1">
      <formula>C7=""</formula>
    </cfRule>
  </conditionalFormatting>
  <conditionalFormatting sqref="C7:AG11">
    <cfRule type="expression" dxfId="295" priority="2" stopIfTrue="1">
      <formula>C7=TipkaPoMeri2</formula>
    </cfRule>
    <cfRule type="expression" dxfId="294" priority="3" stopIfTrue="1">
      <formula>C7=TipkaPoMeri1</formula>
    </cfRule>
    <cfRule type="expression" dxfId="293" priority="4" stopIfTrue="1">
      <formula>C7=TipkaBolniška</formula>
    </cfRule>
    <cfRule type="expression" dxfId="292" priority="5" stopIfTrue="1">
      <formula>C7=TipkaOsebno</formula>
    </cfRule>
    <cfRule type="expression" dxfId="291" priority="6" stopIfTrue="1">
      <formula>C7=TipkaDopust</formula>
    </cfRule>
  </conditionalFormatting>
  <conditionalFormatting sqref="AH7:AH11">
    <cfRule type="dataBar" priority="7">
      <dataBar>
        <cfvo type="min"/>
        <cfvo type="formula" val="DATEDIF(DATE(KoledarskoLeto,2,1),DATE(KoledarskoLeto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Dnevi v mesecu, ki so v tej vrstici, so samodejno ustvarjeni. V vsak stolpec za vsak dan v mesecu vnesite vrsto odsotnosti in odsotnosti zaposlenega. Prazno pomeni brez odsotnosti" sqref="C6" xr:uid="{00000000-0002-0000-0800-000000000000}"/>
    <dataValidation allowBlank="1" showInputMessage="1" showErrorMessage="1" prompt="Ime meseca za ta urnik odsotnosti je v tej celici. Število» odsotnost «za ta mesec je v zadnji celici tabele. Izbiranje imen zaposlenih v stolpcu Tabela B" sqref="B4" xr:uid="{00000000-0002-0000-0800-000001000000}"/>
    <dataValidation allowBlank="1" showInputMessage="1" showErrorMessage="1" prompt="Ta vrstica določa tipke, ki so uporabljene v tabeli: celica C2 je Dopust, G2 je Osebni dan, &amp; K2 je Bolniška odsotnost. Celice N2 &amp; R2 so prilagodljive " sqref="B2" xr:uid="{00000000-0002-0000-0800-000002000000}"/>
    <dataValidation allowBlank="1" showInputMessage="1" showErrorMessage="1" prompt="Vnesite oznako za opis tipke po meri na levi strani." sqref="Q2 U2" xr:uid="{00000000-0002-0000-0800-000003000000}"/>
    <dataValidation allowBlank="1" showInputMessage="1" showErrorMessage="1" prompt="Vnesite črko in prilagodite oznako na desni strani, če želite dodati še en ključni element." sqref="P2 T2" xr:uid="{00000000-0002-0000-0800-000004000000}"/>
    <dataValidation allowBlank="1" showInputMessage="1" showErrorMessage="1" prompt="Črka »B« označuje odsotnosti zaradi bolezni." sqref="K2" xr:uid="{00000000-0002-0000-0800-000005000000}"/>
    <dataValidation allowBlank="1" showInputMessage="1" showErrorMessage="1" prompt="Črka »O« označuje odsotnosti zaradi osebnih razlogov." sqref="G2" xr:uid="{00000000-0002-0000-0800-000006000000}"/>
    <dataValidation allowBlank="1" showInputMessage="1" showErrorMessage="1" prompt="Črka »D« označuje odsotnosti zaradi dopusta." sqref="C2" xr:uid="{00000000-0002-0000-0800-000007000000}"/>
    <dataValidation allowBlank="1" showInputMessage="1" showErrorMessage="1" prompt="Samodejno posodobljen naslov je v tej celici. Če želite spremeniti naslov, posodobite B1 na januarskem delovnem listu." sqref="B1" xr:uid="{00000000-0002-0000-0800-000008000000}"/>
    <dataValidation errorStyle="warning" allowBlank="1" showInputMessage="1" showErrorMessage="1" error="Izberite ime s seznama. Izberite PREKLIČI in nato pritisnite ALT + PUŠČICA DO, nato ENTER, da izberete ime." prompt="Vnesite imena zaposlenih na delovnem listu Imena zaposlenih, nato pa izberite eno od teh imen na seznamu v tem stolpcu. Pritisnite tipki ALT + PUŠČICA DOL, nato tipko ENTER, da izberete ime." sqref="B6" xr:uid="{00000000-0002-0000-0800-000009000000}"/>
    <dataValidation allowBlank="1" showInputMessage="1" showErrorMessage="1" prompt="Spremljanje odsotnosti v mesecu septembru v tem delovnem listu" sqref="A1" xr:uid="{00000000-0002-0000-0800-00000A000000}"/>
    <dataValidation allowBlank="1" showInputMessage="1" showErrorMessage="1" prompt="Skupno število dni, ko je bil zaposleni odsoten v tem mesecu, se samodejno izračuna v tem stolpcu." sqref="AH6" xr:uid="{00000000-0002-0000-0800-00000B000000}"/>
    <dataValidation allowBlank="1" showInputMessage="1" showErrorMessage="1" prompt="Samodejno posodobljeno leto na podlagi leta, vnesenega v delovni list Januar" sqref="AH4" xr:uid="{00000000-0002-0000-0800-00000C000000}"/>
    <dataValidation allowBlank="1" showInputMessage="1" showErrorMessage="1" prompt="Tedni v tej vrstici se samodejno posodobijo za mesec glede na leto v AH4. Vsak dan v mesecu je stolpec, ki zabeleži, da je zaposlena vrsta odsotnosti in odsotnosti" sqref="C5" xr:uid="{00000000-0002-0000-08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DATEDIF(DATE(KoledarskoLeto,2,1),DATE(KoledarskoLeto,3,1),"d")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'Imena zaposlenih'!$B$4:$B$8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50</vt:i4>
      </vt:variant>
    </vt:vector>
  </HeadingPairs>
  <TitlesOfParts>
    <vt:vector size="63" baseType="lpstr">
      <vt:lpstr>Januar</vt:lpstr>
      <vt:lpstr>Februar</vt:lpstr>
      <vt:lpstr>Marec</vt:lpstr>
      <vt:lpstr>April</vt:lpstr>
      <vt:lpstr>Maj</vt:lpstr>
      <vt:lpstr>Junij</vt:lpstr>
      <vt:lpstr>Julij</vt:lpstr>
      <vt:lpstr>Avgust</vt:lpstr>
      <vt:lpstr>September</vt:lpstr>
      <vt:lpstr>Oktober</vt:lpstr>
      <vt:lpstr>November</vt:lpstr>
      <vt:lpstr>December</vt:lpstr>
      <vt:lpstr>Imena zaposlenih</vt:lpstr>
      <vt:lpstr>Ime_tipke</vt:lpstr>
      <vt:lpstr>April!ImeMeseca</vt:lpstr>
      <vt:lpstr>Avgust!ImeMeseca</vt:lpstr>
      <vt:lpstr>December!ImeMeseca</vt:lpstr>
      <vt:lpstr>Februar!ImeMeseca</vt:lpstr>
      <vt:lpstr>Januar!ImeMeseca</vt:lpstr>
      <vt:lpstr>Julij!ImeMeseca</vt:lpstr>
      <vt:lpstr>Junij!ImeMeseca</vt:lpstr>
      <vt:lpstr>Maj!ImeMeseca</vt:lpstr>
      <vt:lpstr>Marec!ImeMeseca</vt:lpstr>
      <vt:lpstr>November!ImeMeseca</vt:lpstr>
      <vt:lpstr>Oktober!ImeMeseca</vt:lpstr>
      <vt:lpstr>September!ImeMeseca</vt:lpstr>
      <vt:lpstr>KoledarskoLeto</vt:lpstr>
      <vt:lpstr>Naslov_odsotnosti_stolpca</vt:lpstr>
      <vt:lpstr>Naslov1</vt:lpstr>
      <vt:lpstr>Naslov10</vt:lpstr>
      <vt:lpstr>Naslov11</vt:lpstr>
      <vt:lpstr>Naslov12</vt:lpstr>
      <vt:lpstr>Naslov2</vt:lpstr>
      <vt:lpstr>Naslov3</vt:lpstr>
      <vt:lpstr>Naslov4</vt:lpstr>
      <vt:lpstr>Naslov5</vt:lpstr>
      <vt:lpstr>Naslov6</vt:lpstr>
      <vt:lpstr>Naslov7</vt:lpstr>
      <vt:lpstr>Naslov8</vt:lpstr>
      <vt:lpstr>Naslov9</vt:lpstr>
      <vt:lpstr>NaslovStolpca13</vt:lpstr>
      <vt:lpstr>OznakaTipkeBolniška</vt:lpstr>
      <vt:lpstr>OznakaTipkeDopust</vt:lpstr>
      <vt:lpstr>OznakaTipkeOsebno</vt:lpstr>
      <vt:lpstr>OznakaTipkePoMeri1</vt:lpstr>
      <vt:lpstr>OznakaTipkePoMeri2</vt:lpstr>
      <vt:lpstr>April!Print_Titles</vt:lpstr>
      <vt:lpstr>Avgust!Print_Titles</vt:lpstr>
      <vt:lpstr>December!Print_Titles</vt:lpstr>
      <vt:lpstr>Februar!Print_Titles</vt:lpstr>
      <vt:lpstr>Januar!Print_Titles</vt:lpstr>
      <vt:lpstr>Julij!Print_Titles</vt:lpstr>
      <vt:lpstr>Junij!Print_Titles</vt:lpstr>
      <vt:lpstr>Maj!Print_Titles</vt:lpstr>
      <vt:lpstr>Marec!Print_Titles</vt:lpstr>
      <vt:lpstr>November!Print_Titles</vt:lpstr>
      <vt:lpstr>Oktober!Print_Titles</vt:lpstr>
      <vt:lpstr>September!Print_Titles</vt:lpstr>
      <vt:lpstr>TipkaBolniška</vt:lpstr>
      <vt:lpstr>TipkaDopust</vt:lpstr>
      <vt:lpstr>TipkaOsebno</vt:lpstr>
      <vt:lpstr>TipkaPoMeri1</vt:lpstr>
      <vt:lpstr>TipkaPoMeri2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2019-07-29T00:42:46Z</dcterms:modified>
</cp:coreProperties>
</file>