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81.xml" ContentType="application/vnd.openxmlformats-officedocument.spreadsheetml.worksheet+xml"/>
  <Override PartName="/xl/tables/table81.xml" ContentType="application/vnd.openxmlformats-officedocument.spreadsheetml.table+xml"/>
  <Override PartName="/xl/theme/theme11.xml" ContentType="application/vnd.openxmlformats-officedocument.theme+xml"/>
  <Override PartName="/customXml/item2.xml" ContentType="application/xml"/>
  <Override PartName="/customXml/itemProps21.xml" ContentType="application/vnd.openxmlformats-officedocument.customXmlProperties+xml"/>
  <Override PartName="/xl/worksheets/sheet32.xml" ContentType="application/vnd.openxmlformats-officedocument.spreadsheetml.worksheet+xml"/>
  <Override PartName="/xl/tables/table32.xml" ContentType="application/vnd.openxmlformats-officedocument.spreadsheetml.table+xml"/>
  <Override PartName="/xl/worksheets/sheet73.xml" ContentType="application/vnd.openxmlformats-officedocument.spreadsheetml.worksheet+xml"/>
  <Override PartName="/xl/tables/table73.xml" ContentType="application/vnd.openxmlformats-officedocument.spreadsheetml.table+xml"/>
  <Override PartName="/xl/worksheets/sheet124.xml" ContentType="application/vnd.openxmlformats-officedocument.spreadsheetml.worksheet+xml"/>
  <Override PartName="/xl/tables/table124.xml" ContentType="application/vnd.openxmlformats-officedocument.spreadsheetml.table+xml"/>
  <Override PartName="/customXml/item12.xml" ContentType="application/xml"/>
  <Override PartName="/customXml/itemProps12.xml" ContentType="application/vnd.openxmlformats-officedocument.customXmlProperties+xml"/>
  <Override PartName="/xl/worksheets/sheet25.xml" ContentType="application/vnd.openxmlformats-officedocument.spreadsheetml.worksheet+xml"/>
  <Override PartName="/xl/tables/table25.xml" ContentType="application/vnd.openxmlformats-officedocument.spreadsheetml.table+xml"/>
  <Override PartName="/xl/calcChain.xml" ContentType="application/vnd.openxmlformats-officedocument.spreadsheetml.calcChain+xml"/>
  <Override PartName="/xl/worksheets/sheet16.xml" ContentType="application/vnd.openxmlformats-officedocument.spreadsheetml.worksheet+xml"/>
  <Override PartName="/xl/tables/table16.xml" ContentType="application/vnd.openxmlformats-officedocument.spreadsheetml.table+xml"/>
  <Override PartName="/xl/worksheets/sheet67.xml" ContentType="application/vnd.openxmlformats-officedocument.spreadsheetml.worksheet+xml"/>
  <Override PartName="/xl/tables/table67.xml" ContentType="application/vnd.openxmlformats-officedocument.spreadsheetml.table+xml"/>
  <Override PartName="/xl/worksheets/sheet118.xml" ContentType="application/vnd.openxmlformats-officedocument.spreadsheetml.worksheet+xml"/>
  <Override PartName="/xl/tables/table118.xml" ContentType="application/vnd.openxmlformats-officedocument.spreadsheetml.table+xml"/>
  <Override PartName="/xl/worksheets/sheet59.xml" ContentType="application/vnd.openxmlformats-officedocument.spreadsheetml.worksheet+xml"/>
  <Override PartName="/xl/tables/table59.xml" ContentType="application/vnd.openxmlformats-officedocument.spreadsheetml.table+xml"/>
  <Override PartName="/xl/sharedStrings.xml" ContentType="application/vnd.openxmlformats-officedocument.spreadsheetml.sharedStrings+xml"/>
  <Override PartName="/xl/worksheets/sheet1010.xml" ContentType="application/vnd.openxmlformats-officedocument.spreadsheetml.worksheet+xml"/>
  <Override PartName="/xl/tables/table1010.xml" ContentType="application/vnd.openxmlformats-officedocument.spreadsheetml.table+xml"/>
  <Override PartName="/customXml/item33.xml" ContentType="application/xml"/>
  <Override PartName="/customXml/itemProps33.xml" ContentType="application/vnd.openxmlformats-officedocument.customXmlProperties+xml"/>
  <Override PartName="/xl/worksheets/sheet411.xml" ContentType="application/vnd.openxmlformats-officedocument.spreadsheetml.worksheet+xml"/>
  <Override PartName="/xl/tables/table411.xml" ContentType="application/vnd.openxmlformats-officedocument.spreadsheetml.table+xml"/>
  <Override PartName="/xl/worksheets/sheet912.xml" ContentType="application/vnd.openxmlformats-officedocument.spreadsheetml.worksheet+xml"/>
  <Override PartName="/xl/tables/table912.xml" ContentType="application/vnd.openxmlformats-officedocument.spreadsheetml.table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codeName="ThisWorkbook" autoCompressPictures="0"/>
  <xr:revisionPtr revIDLastSave="0" documentId="13_ncr:1_{5F5BDC95-E0E1-45D7-B9B7-71D95B9242C3}" xr6:coauthVersionLast="45" xr6:coauthVersionMax="45" xr10:uidLastSave="{00000000-0000-0000-0000-000000000000}"/>
  <bookViews>
    <workbookView xWindow="-120" yWindow="-120" windowWidth="28980" windowHeight="15345" tabRatio="741" xr2:uid="{00000000-000D-0000-FFFF-FFFF00000000}"/>
  </bookViews>
  <sheets>
    <sheet name="Jan" sheetId="1" r:id="rId1"/>
    <sheet name="Feb" sheetId="6" r:id="rId2"/>
    <sheet name="Mar" sheetId="17" r:id="rId3"/>
    <sheet name="Apr" sheetId="18" r:id="rId4"/>
    <sheet name="Maj" sheetId="19" r:id="rId5"/>
    <sheet name="Jun" sheetId="20" r:id="rId6"/>
    <sheet name="Jul" sheetId="21" r:id="rId7"/>
    <sheet name="Avg" sheetId="22" r:id="rId8"/>
    <sheet name="Sep" sheetId="23" r:id="rId9"/>
    <sheet name="Okt" sheetId="24" r:id="rId10"/>
    <sheet name="Nov" sheetId="25" r:id="rId11"/>
    <sheet name="Dec" sheetId="26" r:id="rId12"/>
  </sheets>
  <definedNames>
    <definedName name="AprNed1">DATE(KoledarskoLeto,4,1)-WEEKDAY(DATE(KoledarskoLeto,4,1))+1</definedName>
    <definedName name="AvgNed1">DATE(KoledarskoLeto,8,1)-WEEKDAY(DATE(KoledarskoLeto,8,1))+1</definedName>
    <definedName name="DanOddajeNaloge" localSheetId="3">Apr!$K$2:$K$31</definedName>
    <definedName name="DanOddajeNaloge" localSheetId="7">Avg!$K$2:$K$31</definedName>
    <definedName name="DanOddajeNaloge" localSheetId="11">Dec!$K$2:$K$31</definedName>
    <definedName name="DanOddajeNaloge" localSheetId="1">Feb!$K$2:$K$31</definedName>
    <definedName name="DanOddajeNaloge" localSheetId="6">Jul!$K$2:$K$31</definedName>
    <definedName name="DanOddajeNaloge" localSheetId="5">Jun!$K$2:$K$31</definedName>
    <definedName name="DanOddajeNaloge" localSheetId="4">Maj!$K$2:$K$31</definedName>
    <definedName name="DanOddajeNaloge" localSheetId="2">Mar!$K$2:$K$31</definedName>
    <definedName name="DanOddajeNaloge" localSheetId="10">Nov!$K$2:$K$31</definedName>
    <definedName name="DanOddajeNaloge" localSheetId="9">Okt!$K$2:$K$31</definedName>
    <definedName name="DanOddajeNaloge" localSheetId="8">Sep!$K$2:$K$31</definedName>
    <definedName name="DanOddajeNaloge">Jan!$K$2:$K$31</definedName>
    <definedName name="DecNed1">DATE(KoledarskoLeto,12,1)-WEEKDAY(DATE(KoledarskoLeto,12,1))+1</definedName>
    <definedName name="FebNed1">DATE(KoledarskoLeto,2,1)-WEEKDAY(DATE(KoledarskoLeto,2,1))+1</definedName>
    <definedName name="JanNed1">DATE(KoledarskoLeto,1,1)-WEEKDAY(DATE(KoledarskoLeto,1,1))+1</definedName>
    <definedName name="JulNed1">DATE(KoledarskoLeto,7,1)-WEEKDAY(DATE(KoledarskoLeto,7,1))+1</definedName>
    <definedName name="JunNed1">DATE(KoledarskoLeto,6,1)-WEEKDAY(DATE(KoledarskoLeto,6,1))+1</definedName>
    <definedName name="KoledarskoLeto">Jan!$B$1</definedName>
    <definedName name="MajNed1">DATE(KoledarskoLeto,5,1)-WEEKDAY(DATE(KoledarskoLeto,5,1))+1</definedName>
    <definedName name="MarNed1">DATE(KoledarskoLeto,3,1)-WEEKDAY(DATE(KoledarskoLeto,3,1))+1</definedName>
    <definedName name="Naslov_stolpca_1">JanuarskeNaloge[[#Headers],[Dan v tednu]]</definedName>
    <definedName name="Naslov_stolpca_10">OktobrskeNaloge[[#Headers],[Dan v tednu]]</definedName>
    <definedName name="Naslov_stolpca_11">NovembrskeNaloge[[#Headers],[Dan v tednu]]</definedName>
    <definedName name="Naslov_stolpca_12">DecembrskeNaloge[[#Headers],[Dan v tednu]]</definedName>
    <definedName name="Naslov_stolpca_2">FebruarskeNaloge[[#Headers],[Dan v tednu]]</definedName>
    <definedName name="Naslov_stolpca_9">SeptembrskeNaloge[[#Headers],[Dan v tednu]]</definedName>
    <definedName name="NaslovStolpca3">MarčevskeNaloge[[#Headers],[Dan v tednu]]</definedName>
    <definedName name="NaslovStolpca4">AprilskeNaloge[[#Headers],[Dan v tednu]]</definedName>
    <definedName name="NaslovStolpca5">MajskeNaloge[[#Headers],[Dan v tednu]]</definedName>
    <definedName name="NaslovStolpca6">JunijskeNaloge[[#Headers],[Dan v tednu]]</definedName>
    <definedName name="NaslovStolpca7">JulijskeNaloge[[#Headers],[Dan v tednu]]</definedName>
    <definedName name="NaslovStolpca8">AvgustovskeNaloge[[#Headers],[Dan v tednu]]</definedName>
    <definedName name="NovNed1">DATE(KoledarskoLeto,11,1)-WEEKDAY(DATE(KoledarskoLeto,11,1))+1</definedName>
    <definedName name="Območje_naslova_2..I31.1">Jan!$A$11</definedName>
    <definedName name="Območje_naslova_2..I31.10">Okt!$A$11</definedName>
    <definedName name="Območje_naslova_2..I31.11">Nov!$A$11</definedName>
    <definedName name="Območje_naslova_2..I31.12">Dec!$A$11</definedName>
    <definedName name="Območje_naslova_2..I31.2">Feb!$A$11</definedName>
    <definedName name="Območje_naslova_2..I31.3">Mar!$A$11</definedName>
    <definedName name="Območje_naslova_2..I31.4">Apr!$A$11</definedName>
    <definedName name="Območje_naslova_2..I31.5">Maj!$A$11</definedName>
    <definedName name="Območje_naslova_2..I31.6">Jun!$A$11</definedName>
    <definedName name="Območje_naslova_2..I31.7">Jul!$A$11</definedName>
    <definedName name="Območje_naslova_2..I31.8">Avg!$A$11</definedName>
    <definedName name="Območje_naslova_2..I31.9">Sep!$A$11</definedName>
    <definedName name="Območje_za_naslov_stolpca_1..I8.1">Jan!$C$2</definedName>
    <definedName name="Območje_za_naslov_stolpca_1..I8.10">Okt!$C$2</definedName>
    <definedName name="Območje_za_naslov_stolpca_1..I8.11">Nov!$C$2</definedName>
    <definedName name="Območje_za_naslov_stolpca_1..I8.12">Dec!$C$2</definedName>
    <definedName name="Območje_za_naslov_stolpca_1..I8.2">Feb!$C$2</definedName>
    <definedName name="Območje_za_naslov_stolpca_1..I8.3">Mar!$C$2</definedName>
    <definedName name="Območje_za_naslov_stolpca_1..I8.4">Apr!$C$2</definedName>
    <definedName name="Območje_za_naslov_stolpca_1..I8.5">Maj!$C$2</definedName>
    <definedName name="Območje_za_naslov_stolpca_1..I8.6">Jun!$C$2</definedName>
    <definedName name="Območje_za_naslov_stolpca_1..I8.7">Jul!$C$2</definedName>
    <definedName name="Območje_za_naslov_stolpca_1..I8.8">Avg!$C$2</definedName>
    <definedName name="Območje_za_naslov_stolpca_1..I8.9">Sep!$C$2</definedName>
    <definedName name="OktNed1">DATE(KoledarskoLeto,10,1)-WEEKDAY(DATE(KoledarskoLeto,10,1))+1</definedName>
    <definedName name="SepNed1">DATE(KoledarskoLeto,9,1)-WEEKDAY(DATE(KoledarskoLeto,9,1))+1</definedName>
    <definedName name="TabelaPomembnihDatumov" localSheetId="3">Apr!$K$2:$L$6</definedName>
    <definedName name="TabelaPomembnihDatumov" localSheetId="7">Avg!$K$2:$L$6</definedName>
    <definedName name="TabelaPomembnihDatumov" localSheetId="11">Dec!$K$2:$L$6</definedName>
    <definedName name="TabelaPomembnihDatumov" localSheetId="1">Feb!$K$2:$L$6</definedName>
    <definedName name="TabelaPomembnihDatumov" localSheetId="6">Jul!$K$2:$L$6</definedName>
    <definedName name="TabelaPomembnihDatumov" localSheetId="5">Jun!$K$2:$L$6</definedName>
    <definedName name="TabelaPomembnihDatumov" localSheetId="4">Maj!$K$2:$L$6</definedName>
    <definedName name="TabelaPomembnihDatumov" localSheetId="2">Mar!$K$2:$L$6</definedName>
    <definedName name="TabelaPomembnihDatumov" localSheetId="10">Nov!$K$2:$L$6</definedName>
    <definedName name="TabelaPomembnihDatumov" localSheetId="9">Okt!$K$2:$L$6</definedName>
    <definedName name="TabelaPomembnihDatumov" localSheetId="8">Sep!$K$2:$L$6</definedName>
    <definedName name="TabelaPomembnihDatumov">Jan!$K$2:$L$6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26" l="1"/>
  <c r="E8" i="26"/>
  <c r="H7" i="26"/>
  <c r="D7" i="26"/>
  <c r="G6" i="26"/>
  <c r="C6" i="26"/>
  <c r="F5" i="26"/>
  <c r="I4" i="26"/>
  <c r="E4" i="26"/>
  <c r="H3" i="26"/>
  <c r="D3" i="26"/>
  <c r="E7" i="26"/>
  <c r="G5" i="26"/>
  <c r="F4" i="26"/>
  <c r="H8" i="26"/>
  <c r="D8" i="26"/>
  <c r="G7" i="26"/>
  <c r="C7" i="26"/>
  <c r="F6" i="26"/>
  <c r="I5" i="26"/>
  <c r="E5" i="26"/>
  <c r="H4" i="26"/>
  <c r="D4" i="26"/>
  <c r="G3" i="26"/>
  <c r="C3" i="26"/>
  <c r="D6" i="26"/>
  <c r="E3" i="26"/>
  <c r="G8" i="26"/>
  <c r="C8" i="26"/>
  <c r="F7" i="26"/>
  <c r="I6" i="26"/>
  <c r="E6" i="26"/>
  <c r="H5" i="26"/>
  <c r="D5" i="26"/>
  <c r="G4" i="26"/>
  <c r="C4" i="26"/>
  <c r="F3" i="26"/>
  <c r="F8" i="26"/>
  <c r="I7" i="26"/>
  <c r="H6" i="26"/>
  <c r="C5" i="26"/>
  <c r="I3" i="26"/>
  <c r="B1" i="26"/>
  <c r="I8" i="25"/>
  <c r="E8" i="25"/>
  <c r="H7" i="25"/>
  <c r="D7" i="25"/>
  <c r="G6" i="25"/>
  <c r="C6" i="25"/>
  <c r="F5" i="25"/>
  <c r="I4" i="25"/>
  <c r="E4" i="25"/>
  <c r="H3" i="25"/>
  <c r="D3" i="25"/>
  <c r="I7" i="25"/>
  <c r="D6" i="25"/>
  <c r="C5" i="25"/>
  <c r="E3" i="25"/>
  <c r="H8" i="25"/>
  <c r="D8" i="25"/>
  <c r="G7" i="25"/>
  <c r="C7" i="25"/>
  <c r="F6" i="25"/>
  <c r="I5" i="25"/>
  <c r="E5" i="25"/>
  <c r="H4" i="25"/>
  <c r="D4" i="25"/>
  <c r="G3" i="25"/>
  <c r="C3" i="25"/>
  <c r="H6" i="25"/>
  <c r="F4" i="25"/>
  <c r="G8" i="25"/>
  <c r="C8" i="25"/>
  <c r="F7" i="25"/>
  <c r="I6" i="25"/>
  <c r="E6" i="25"/>
  <c r="H5" i="25"/>
  <c r="D5" i="25"/>
  <c r="G4" i="25"/>
  <c r="C4" i="25"/>
  <c r="F3" i="25"/>
  <c r="F8" i="25"/>
  <c r="E7" i="25"/>
  <c r="G5" i="25"/>
  <c r="I3" i="25"/>
  <c r="B1" i="25"/>
  <c r="I8" i="24"/>
  <c r="E8" i="24"/>
  <c r="H7" i="24"/>
  <c r="D7" i="24"/>
  <c r="G6" i="24"/>
  <c r="C6" i="24"/>
  <c r="F5" i="24"/>
  <c r="I4" i="24"/>
  <c r="E4" i="24"/>
  <c r="H3" i="24"/>
  <c r="D3" i="24"/>
  <c r="C8" i="24"/>
  <c r="I6" i="24"/>
  <c r="H5" i="24"/>
  <c r="G4" i="24"/>
  <c r="F3" i="24"/>
  <c r="I7" i="24"/>
  <c r="H6" i="24"/>
  <c r="G5" i="24"/>
  <c r="F4" i="24"/>
  <c r="E3" i="24"/>
  <c r="H8" i="24"/>
  <c r="D8" i="24"/>
  <c r="G7" i="24"/>
  <c r="C7" i="24"/>
  <c r="F6" i="24"/>
  <c r="I5" i="24"/>
  <c r="E5" i="24"/>
  <c r="H4" i="24"/>
  <c r="D4" i="24"/>
  <c r="G3" i="24"/>
  <c r="C3" i="24"/>
  <c r="G8" i="24"/>
  <c r="F7" i="24"/>
  <c r="E6" i="24"/>
  <c r="D5" i="24"/>
  <c r="C4" i="24"/>
  <c r="F8" i="24"/>
  <c r="E7" i="24"/>
  <c r="D6" i="24"/>
  <c r="C5" i="24"/>
  <c r="I3" i="24"/>
  <c r="B1" i="24"/>
  <c r="I8" i="23"/>
  <c r="E8" i="23"/>
  <c r="H7" i="23"/>
  <c r="D7" i="23"/>
  <c r="G6" i="23"/>
  <c r="C6" i="23"/>
  <c r="F5" i="23"/>
  <c r="I4" i="23"/>
  <c r="E4" i="23"/>
  <c r="H3" i="23"/>
  <c r="D3" i="23"/>
  <c r="I7" i="23"/>
  <c r="G5" i="23"/>
  <c r="E3" i="23"/>
  <c r="H8" i="23"/>
  <c r="D8" i="23"/>
  <c r="G7" i="23"/>
  <c r="C7" i="23"/>
  <c r="F6" i="23"/>
  <c r="I5" i="23"/>
  <c r="E5" i="23"/>
  <c r="H4" i="23"/>
  <c r="D4" i="23"/>
  <c r="G3" i="23"/>
  <c r="C3" i="23"/>
  <c r="E7" i="23"/>
  <c r="C5" i="23"/>
  <c r="I3" i="23"/>
  <c r="G8" i="23"/>
  <c r="C8" i="23"/>
  <c r="F7" i="23"/>
  <c r="I6" i="23"/>
  <c r="E6" i="23"/>
  <c r="H5" i="23"/>
  <c r="D5" i="23"/>
  <c r="G4" i="23"/>
  <c r="C4" i="23"/>
  <c r="F3" i="23"/>
  <c r="F8" i="23"/>
  <c r="H6" i="23"/>
  <c r="D6" i="23"/>
  <c r="F4" i="23"/>
  <c r="B1" i="23"/>
  <c r="I8" i="22"/>
  <c r="E8" i="22"/>
  <c r="H7" i="22"/>
  <c r="D7" i="22"/>
  <c r="G6" i="22"/>
  <c r="C6" i="22"/>
  <c r="F5" i="22"/>
  <c r="I4" i="22"/>
  <c r="E4" i="22"/>
  <c r="H3" i="22"/>
  <c r="D3" i="22"/>
  <c r="H8" i="22"/>
  <c r="D8" i="22"/>
  <c r="G7" i="22"/>
  <c r="C7" i="22"/>
  <c r="F6" i="22"/>
  <c r="I5" i="22"/>
  <c r="E5" i="22"/>
  <c r="H4" i="22"/>
  <c r="D4" i="22"/>
  <c r="G3" i="22"/>
  <c r="C3" i="22"/>
  <c r="G8" i="22"/>
  <c r="C8" i="22"/>
  <c r="F7" i="22"/>
  <c r="I6" i="22"/>
  <c r="E6" i="22"/>
  <c r="H5" i="22"/>
  <c r="D5" i="22"/>
  <c r="G4" i="22"/>
  <c r="C4" i="22"/>
  <c r="F3" i="22"/>
  <c r="F8" i="22"/>
  <c r="I7" i="22"/>
  <c r="E7" i="22"/>
  <c r="H6" i="22"/>
  <c r="D6" i="22"/>
  <c r="G5" i="22"/>
  <c r="C5" i="22"/>
  <c r="F4" i="22"/>
  <c r="I3" i="22"/>
  <c r="E3" i="22"/>
  <c r="B1" i="22"/>
  <c r="I8" i="21"/>
  <c r="E8" i="21"/>
  <c r="H7" i="21"/>
  <c r="D7" i="21"/>
  <c r="G6" i="21"/>
  <c r="C6" i="21"/>
  <c r="F5" i="21"/>
  <c r="I4" i="21"/>
  <c r="E4" i="21"/>
  <c r="H3" i="21"/>
  <c r="D3" i="21"/>
  <c r="C8" i="21"/>
  <c r="I6" i="21"/>
  <c r="H5" i="21"/>
  <c r="G4" i="21"/>
  <c r="F3" i="21"/>
  <c r="H8" i="21"/>
  <c r="D8" i="21"/>
  <c r="G7" i="21"/>
  <c r="C7" i="21"/>
  <c r="F6" i="21"/>
  <c r="I5" i="21"/>
  <c r="E5" i="21"/>
  <c r="H4" i="21"/>
  <c r="D4" i="21"/>
  <c r="G3" i="21"/>
  <c r="C3" i="21"/>
  <c r="F7" i="21"/>
  <c r="E6" i="21"/>
  <c r="D5" i="21"/>
  <c r="C4" i="21"/>
  <c r="G8" i="21"/>
  <c r="F8" i="21"/>
  <c r="I7" i="21"/>
  <c r="E7" i="21"/>
  <c r="H6" i="21"/>
  <c r="D6" i="21"/>
  <c r="G5" i="21"/>
  <c r="C5" i="21"/>
  <c r="F4" i="21"/>
  <c r="I3" i="21"/>
  <c r="E3" i="21"/>
  <c r="B1" i="21"/>
  <c r="I8" i="20"/>
  <c r="E8" i="20"/>
  <c r="H7" i="20"/>
  <c r="D7" i="20"/>
  <c r="G6" i="20"/>
  <c r="C6" i="20"/>
  <c r="F5" i="20"/>
  <c r="I4" i="20"/>
  <c r="E4" i="20"/>
  <c r="H3" i="20"/>
  <c r="D3" i="20"/>
  <c r="E7" i="20"/>
  <c r="D6" i="20"/>
  <c r="F4" i="20"/>
  <c r="H8" i="20"/>
  <c r="D8" i="20"/>
  <c r="G7" i="20"/>
  <c r="C7" i="20"/>
  <c r="F6" i="20"/>
  <c r="I5" i="20"/>
  <c r="E5" i="20"/>
  <c r="H4" i="20"/>
  <c r="D4" i="20"/>
  <c r="G3" i="20"/>
  <c r="C3" i="20"/>
  <c r="I7" i="20"/>
  <c r="G5" i="20"/>
  <c r="I3" i="20"/>
  <c r="G8" i="20"/>
  <c r="C8" i="20"/>
  <c r="F7" i="20"/>
  <c r="I6" i="20"/>
  <c r="E6" i="20"/>
  <c r="H5" i="20"/>
  <c r="D5" i="20"/>
  <c r="G4" i="20"/>
  <c r="C4" i="20"/>
  <c r="F3" i="20"/>
  <c r="F8" i="20"/>
  <c r="H6" i="20"/>
  <c r="C5" i="20"/>
  <c r="E3" i="20"/>
  <c r="B1" i="20"/>
  <c r="I8" i="19"/>
  <c r="E8" i="19"/>
  <c r="H7" i="19"/>
  <c r="D7" i="19"/>
  <c r="G6" i="19"/>
  <c r="C6" i="19"/>
  <c r="F5" i="19"/>
  <c r="I4" i="19"/>
  <c r="E4" i="19"/>
  <c r="H3" i="19"/>
  <c r="D3" i="19"/>
  <c r="F4" i="19"/>
  <c r="E3" i="19"/>
  <c r="H8" i="19"/>
  <c r="D8" i="19"/>
  <c r="G7" i="19"/>
  <c r="C7" i="19"/>
  <c r="F6" i="19"/>
  <c r="I5" i="19"/>
  <c r="E5" i="19"/>
  <c r="H4" i="19"/>
  <c r="D4" i="19"/>
  <c r="G3" i="19"/>
  <c r="C3" i="19"/>
  <c r="C5" i="19"/>
  <c r="G8" i="19"/>
  <c r="C8" i="19"/>
  <c r="F7" i="19"/>
  <c r="I6" i="19"/>
  <c r="E6" i="19"/>
  <c r="H5" i="19"/>
  <c r="D5" i="19"/>
  <c r="G4" i="19"/>
  <c r="C4" i="19"/>
  <c r="F3" i="19"/>
  <c r="F8" i="19"/>
  <c r="I7" i="19"/>
  <c r="E7" i="19"/>
  <c r="H6" i="19"/>
  <c r="D6" i="19"/>
  <c r="G5" i="19"/>
  <c r="I3" i="19"/>
  <c r="B1" i="19"/>
  <c r="I8" i="18"/>
  <c r="E8" i="18"/>
  <c r="H7" i="18"/>
  <c r="D7" i="18"/>
  <c r="G6" i="18"/>
  <c r="C6" i="18"/>
  <c r="F5" i="18"/>
  <c r="I4" i="18"/>
  <c r="E4" i="18"/>
  <c r="H3" i="18"/>
  <c r="D3" i="18"/>
  <c r="I7" i="18"/>
  <c r="D6" i="18"/>
  <c r="F4" i="18"/>
  <c r="H8" i="18"/>
  <c r="D8" i="18"/>
  <c r="G7" i="18"/>
  <c r="C7" i="18"/>
  <c r="F6" i="18"/>
  <c r="I5" i="18"/>
  <c r="E5" i="18"/>
  <c r="H4" i="18"/>
  <c r="D4" i="18"/>
  <c r="G3" i="18"/>
  <c r="C3" i="18"/>
  <c r="H6" i="18"/>
  <c r="C5" i="18"/>
  <c r="E3" i="18"/>
  <c r="G8" i="18"/>
  <c r="C8" i="18"/>
  <c r="F7" i="18"/>
  <c r="I6" i="18"/>
  <c r="E6" i="18"/>
  <c r="H5" i="18"/>
  <c r="D5" i="18"/>
  <c r="G4" i="18"/>
  <c r="C4" i="18"/>
  <c r="F3" i="18"/>
  <c r="F8" i="18"/>
  <c r="E7" i="18"/>
  <c r="G5" i="18"/>
  <c r="I3" i="18"/>
  <c r="B1" i="18"/>
  <c r="I8" i="17"/>
  <c r="E8" i="17"/>
  <c r="H7" i="17"/>
  <c r="D7" i="17"/>
  <c r="G6" i="17"/>
  <c r="C6" i="17"/>
  <c r="F5" i="17"/>
  <c r="I4" i="17"/>
  <c r="E4" i="17"/>
  <c r="H3" i="17"/>
  <c r="D3" i="17"/>
  <c r="H8" i="17"/>
  <c r="D8" i="17"/>
  <c r="G7" i="17"/>
  <c r="C7" i="17"/>
  <c r="F6" i="17"/>
  <c r="I5" i="17"/>
  <c r="E5" i="17"/>
  <c r="H4" i="17"/>
  <c r="D4" i="17"/>
  <c r="G3" i="17"/>
  <c r="C3" i="17"/>
  <c r="G8" i="17"/>
  <c r="C8" i="17"/>
  <c r="F7" i="17"/>
  <c r="I6" i="17"/>
  <c r="E6" i="17"/>
  <c r="H5" i="17"/>
  <c r="D5" i="17"/>
  <c r="G4" i="17"/>
  <c r="C4" i="17"/>
  <c r="F3" i="17"/>
  <c r="F8" i="17"/>
  <c r="I7" i="17"/>
  <c r="E7" i="17"/>
  <c r="H6" i="17"/>
  <c r="D6" i="17"/>
  <c r="G5" i="17"/>
  <c r="C5" i="17"/>
  <c r="F4" i="17"/>
  <c r="I3" i="17"/>
  <c r="E3" i="17"/>
  <c r="B1" i="17"/>
  <c r="B1" i="6" l="1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I6" i="6"/>
  <c r="H6" i="6"/>
  <c r="G6" i="6"/>
  <c r="F6" i="6"/>
  <c r="E6" i="6"/>
  <c r="D6" i="6"/>
  <c r="C6" i="6"/>
  <c r="I5" i="6"/>
  <c r="H5" i="6"/>
  <c r="G5" i="6"/>
  <c r="F5" i="6"/>
  <c r="E5" i="6"/>
  <c r="D5" i="6"/>
  <c r="C5" i="6"/>
  <c r="I4" i="6"/>
  <c r="H4" i="6"/>
  <c r="G4" i="6"/>
  <c r="F4" i="6"/>
  <c r="E4" i="6"/>
  <c r="D4" i="6"/>
  <c r="C4" i="6"/>
  <c r="I3" i="6"/>
  <c r="H3" i="6"/>
  <c r="G3" i="6"/>
  <c r="F3" i="6"/>
  <c r="E3" i="6"/>
  <c r="D3" i="6"/>
  <c r="C3" i="6"/>
  <c r="H3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I3" i="1"/>
  <c r="G3" i="1"/>
  <c r="F3" i="1"/>
  <c r="E3" i="1"/>
  <c r="D3" i="1"/>
  <c r="C3" i="1"/>
</calcChain>
</file>

<file path=xl/sharedStrings.xml><?xml version="1.0" encoding="utf-8"?>
<sst xmlns="http://schemas.openxmlformats.org/spreadsheetml/2006/main" count="831" uniqueCount="41">
  <si>
    <t>Delavnik</t>
  </si>
  <si>
    <t>Čas</t>
  </si>
  <si>
    <t>Predavanje</t>
  </si>
  <si>
    <t>JAN</t>
  </si>
  <si>
    <t>TEDENSKI URNIK</t>
  </si>
  <si>
    <t>PON</t>
  </si>
  <si>
    <t>8:00</t>
  </si>
  <si>
    <t>Francoščina</t>
  </si>
  <si>
    <t>10:00</t>
  </si>
  <si>
    <t>Matematika</t>
  </si>
  <si>
    <t>2:00</t>
  </si>
  <si>
    <t>Angleščina</t>
  </si>
  <si>
    <t>Vnesite koledarsko leto v celico B1 na levi.</t>
  </si>
  <si>
    <t>TOR</t>
  </si>
  <si>
    <t>9:00</t>
  </si>
  <si>
    <t>Umetnostna zgodovina</t>
  </si>
  <si>
    <t>4:00</t>
  </si>
  <si>
    <t>Programiranje</t>
  </si>
  <si>
    <t>SRE</t>
  </si>
  <si>
    <t>ČET</t>
  </si>
  <si>
    <t>PET</t>
  </si>
  <si>
    <t>SOB</t>
  </si>
  <si>
    <t>NED</t>
  </si>
  <si>
    <t>Dan v tednu</t>
  </si>
  <si>
    <t>koledarski dan</t>
  </si>
  <si>
    <t>NALOGE</t>
  </si>
  <si>
    <t>Francoščina: rok za oddajo osnutka seminarske naloge</t>
  </si>
  <si>
    <t>Umetnostna zgodovina: Preverjanje znanja</t>
  </si>
  <si>
    <t>Delovni dan</t>
  </si>
  <si>
    <t>FEB</t>
  </si>
  <si>
    <t>MAR</t>
  </si>
  <si>
    <t>APR</t>
  </si>
  <si>
    <t xml:space="preserve"> </t>
  </si>
  <si>
    <t>MAJ</t>
  </si>
  <si>
    <t>JUN</t>
  </si>
  <si>
    <t>JUL</t>
  </si>
  <si>
    <t>AVG</t>
  </si>
  <si>
    <t>SEP</t>
  </si>
  <si>
    <t>OKT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</si>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</sst>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"/>
    <numFmt numFmtId="167" formatCode="[$-409]mmmmm;@"/>
    <numFmt numFmtId="168" formatCode="[$-424]dd\.\ mmmm\ yyyy;@"/>
  </numFmts>
  <fonts count="2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8"/>
      <name val="Arial"/>
      <family val="2"/>
      <scheme val="minor"/>
    </font>
    <font>
      <sz val="10"/>
      <color theme="1" tint="0.249977111117893"/>
      <name val="Arial"/>
      <family val="2"/>
      <scheme val="minor"/>
    </font>
    <font>
      <sz val="12"/>
      <color theme="1" tint="0.249977111117893"/>
      <name val="Arial"/>
      <family val="2"/>
      <scheme val="minor"/>
    </font>
    <font>
      <sz val="11"/>
      <color theme="0"/>
      <name val="Arial"/>
      <family val="2"/>
      <scheme val="minor"/>
    </font>
    <font>
      <b/>
      <sz val="24"/>
      <color theme="4" tint="-0.499984740745262"/>
      <name val="Arial"/>
      <family val="2"/>
      <scheme val="minor"/>
    </font>
    <font>
      <b/>
      <sz val="17"/>
      <color theme="4" tint="-0.49998474074526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11"/>
      <color theme="4" tint="-0.499984740745262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  <scheme val="major"/>
    </font>
    <font>
      <b/>
      <sz val="18"/>
      <color theme="4" tint="-0.499984740745262"/>
      <name val="Arial"/>
      <family val="2"/>
      <scheme val="maj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4" tint="0.79998168889431442"/>
      </left>
      <right style="thin">
        <color theme="0"/>
      </right>
      <top/>
      <bottom/>
      <diagonal/>
    </border>
    <border>
      <left/>
      <right style="thin">
        <color theme="4" tint="0.79998168889431442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 tint="-0.499984740745262"/>
      </top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0.7999816888943144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wrapText="1"/>
    </xf>
    <xf numFmtId="0" fontId="12" fillId="0" borderId="0" applyFill="0" applyBorder="0" applyProtection="0">
      <alignment horizontal="center" vertical="center"/>
    </xf>
    <xf numFmtId="167" fontId="6" fillId="0" borderId="0" applyFill="0" applyBorder="0" applyProtection="0">
      <alignment horizontal="center" vertical="center"/>
    </xf>
    <xf numFmtId="0" fontId="7" fillId="0" borderId="0" applyFill="0" applyProtection="0">
      <alignment horizontal="left" vertical="center" indent="2"/>
    </xf>
    <xf numFmtId="0" fontId="8" fillId="0" borderId="0" applyNumberFormat="0" applyFill="0" applyBorder="0" applyProtection="0">
      <alignment horizontal="left" vertical="center"/>
    </xf>
    <xf numFmtId="0" fontId="8" fillId="0" borderId="0" applyFill="0" applyBorder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1" fillId="3" borderId="5" applyNumberFormat="0" applyAlignment="0" applyProtection="0"/>
    <xf numFmtId="0" fontId="5" fillId="4" borderId="1">
      <alignment horizontal="left" indent="1"/>
    </xf>
    <xf numFmtId="0" fontId="9" fillId="0" borderId="0">
      <alignment vertical="center"/>
    </xf>
    <xf numFmtId="0" fontId="9" fillId="0" borderId="6" applyNumberFormat="0" applyFont="0" applyFill="0" applyAlignment="0" applyProtection="0">
      <alignment horizontal="left" vertical="center" indent="2"/>
    </xf>
    <xf numFmtId="1" fontId="10" fillId="0" borderId="0" applyFill="0" applyBorder="0">
      <alignment horizontal="center"/>
    </xf>
    <xf numFmtId="0" fontId="13" fillId="0" borderId="7" applyNumberFormat="0" applyFont="0" applyFill="0" applyAlignment="0" applyProtection="0">
      <alignment horizontal="center"/>
    </xf>
    <xf numFmtId="0" fontId="13" fillId="0" borderId="9" applyNumberFormat="0" applyFont="0" applyFill="0" applyAlignment="0" applyProtection="0"/>
    <xf numFmtId="166" fontId="4" fillId="0" borderId="0" applyNumberFormat="0" applyFill="0" applyBorder="0">
      <alignment horizontal="left" vertical="center" indent="1"/>
    </xf>
    <xf numFmtId="0" fontId="13" fillId="2" borderId="0" applyFont="0" applyBorder="0">
      <alignment horizontal="left" vertical="top" indent="1"/>
    </xf>
    <xf numFmtId="0" fontId="5" fillId="0" borderId="0" applyNumberFormat="0" applyFill="0" applyBorder="0" applyAlignment="0">
      <alignment wrapText="1"/>
    </xf>
    <xf numFmtId="20" fontId="13" fillId="2" borderId="0" applyFill="0" applyBorder="0">
      <alignment horizontal="left" indent="1"/>
    </xf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11" applyNumberFormat="0" applyAlignment="0" applyProtection="0"/>
    <xf numFmtId="0" fontId="18" fillId="9" borderId="12" applyNumberFormat="0" applyAlignment="0" applyProtection="0"/>
    <xf numFmtId="0" fontId="19" fillId="9" borderId="11" applyNumberFormat="0" applyAlignment="0" applyProtection="0"/>
    <xf numFmtId="0" fontId="20" fillId="0" borderId="13" applyNumberFormat="0" applyFill="0" applyAlignment="0" applyProtection="0"/>
    <xf numFmtId="0" fontId="21" fillId="10" borderId="1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6">
    <xf numFmtId="0" fontId="0" fillId="0" borderId="0" xfId="0">
      <alignment wrapText="1"/>
    </xf>
    <xf numFmtId="0" fontId="8" fillId="0" borderId="7" xfId="16" applyFont="1" applyAlignment="1"/>
    <xf numFmtId="0" fontId="0" fillId="0" borderId="0" xfId="0" applyFont="1">
      <alignment wrapText="1"/>
    </xf>
    <xf numFmtId="1" fontId="10" fillId="0" borderId="0" xfId="15">
      <alignment horizontal="center"/>
    </xf>
    <xf numFmtId="0" fontId="10" fillId="0" borderId="6" xfId="14" applyFont="1" applyAlignment="1">
      <alignment horizontal="center"/>
    </xf>
    <xf numFmtId="0" fontId="0" fillId="0" borderId="0" xfId="0">
      <alignment wrapText="1"/>
    </xf>
    <xf numFmtId="0" fontId="13" fillId="0" borderId="7" xfId="16">
      <alignment horizontal="center"/>
    </xf>
    <xf numFmtId="0" fontId="0" fillId="0" borderId="0" xfId="0">
      <alignment wrapText="1"/>
    </xf>
    <xf numFmtId="0" fontId="0" fillId="0" borderId="0" xfId="0">
      <alignment wrapText="1"/>
    </xf>
    <xf numFmtId="0" fontId="5" fillId="4" borderId="9" xfId="17" applyFont="1" applyFill="1" applyAlignment="1">
      <alignment horizontal="left" indent="1"/>
    </xf>
    <xf numFmtId="0" fontId="0" fillId="0" borderId="0" xfId="0">
      <alignment wrapText="1"/>
    </xf>
    <xf numFmtId="0" fontId="8" fillId="0" borderId="6" xfId="14" applyFont="1" applyAlignment="1">
      <alignment vertical="center"/>
    </xf>
    <xf numFmtId="0" fontId="9" fillId="0" borderId="0" xfId="13">
      <alignment vertical="center"/>
    </xf>
    <xf numFmtId="0" fontId="4" fillId="0" borderId="6" xfId="14" applyNumberFormat="1" applyFont="1" applyAlignment="1">
      <alignment horizontal="left" vertical="center" indent="1"/>
    </xf>
    <xf numFmtId="0" fontId="12" fillId="0" borderId="7" xfId="1" applyBorder="1">
      <alignment horizontal="center" vertical="center"/>
    </xf>
    <xf numFmtId="0" fontId="0" fillId="0" borderId="0" xfId="14" applyFont="1" applyBorder="1" applyAlignment="1">
      <alignment wrapText="1"/>
    </xf>
    <xf numFmtId="0" fontId="8" fillId="0" borderId="0" xfId="5"/>
    <xf numFmtId="0" fontId="7" fillId="0" borderId="0" xfId="3">
      <alignment horizontal="left" vertical="center" indent="2"/>
    </xf>
    <xf numFmtId="0" fontId="12" fillId="0" borderId="0" xfId="1">
      <alignment horizontal="center" vertical="center"/>
    </xf>
    <xf numFmtId="0" fontId="0" fillId="0" borderId="9" xfId="17" applyFont="1" applyAlignment="1">
      <alignment wrapText="1"/>
    </xf>
    <xf numFmtId="0" fontId="5" fillId="4" borderId="1" xfId="12">
      <alignment horizontal="left" indent="1"/>
    </xf>
    <xf numFmtId="0" fontId="0" fillId="0" borderId="0" xfId="0" applyFont="1" applyBorder="1" applyAlignment="1">
      <alignment horizontal="left" wrapText="1"/>
    </xf>
    <xf numFmtId="0" fontId="8" fillId="0" borderId="0" xfId="5" applyFill="1"/>
    <xf numFmtId="0" fontId="8" fillId="0" borderId="0" xfId="4">
      <alignment horizontal="left" vertical="center"/>
    </xf>
    <xf numFmtId="0" fontId="0" fillId="0" borderId="0" xfId="0">
      <alignment wrapText="1"/>
    </xf>
    <xf numFmtId="0" fontId="0" fillId="0" borderId="7" xfId="16" applyFont="1" applyAlignment="1">
      <alignment wrapText="1"/>
    </xf>
    <xf numFmtId="0" fontId="0" fillId="0" borderId="7" xfId="16" applyFont="1" applyAlignment="1">
      <alignment horizontal="left" wrapText="1"/>
    </xf>
    <xf numFmtId="1" fontId="10" fillId="0" borderId="7" xfId="15" applyBorder="1">
      <alignment horizontal="center"/>
    </xf>
    <xf numFmtId="0" fontId="5" fillId="0" borderId="0" xfId="20">
      <alignment wrapText="1"/>
    </xf>
    <xf numFmtId="0" fontId="8" fillId="0" borderId="7" xfId="5" applyBorder="1"/>
    <xf numFmtId="1" fontId="10" fillId="0" borderId="6" xfId="15" applyBorder="1">
      <alignment horizontal="center"/>
    </xf>
    <xf numFmtId="1" fontId="10" fillId="0" borderId="7" xfId="16" applyNumberFormat="1" applyFont="1">
      <alignment horizontal="center"/>
    </xf>
    <xf numFmtId="0" fontId="3" fillId="0" borderId="7" xfId="16" applyFont="1" applyAlignment="1">
      <alignment horizontal="left" wrapText="1"/>
    </xf>
    <xf numFmtId="0" fontId="12" fillId="0" borderId="6" xfId="1" applyBorder="1">
      <alignment horizontal="center" vertical="center"/>
    </xf>
    <xf numFmtId="0" fontId="5" fillId="4" borderId="1" xfId="12">
      <alignment horizontal="left" indent="1"/>
    </xf>
    <xf numFmtId="0" fontId="5" fillId="0" borderId="9" xfId="20" applyBorder="1" applyAlignment="1">
      <alignment wrapText="1"/>
    </xf>
    <xf numFmtId="0" fontId="0" fillId="2" borderId="0" xfId="19" applyFont="1">
      <alignment horizontal="left" vertical="top" indent="1"/>
    </xf>
    <xf numFmtId="0" fontId="1" fillId="2" borderId="9" xfId="19" applyFont="1" applyBorder="1">
      <alignment horizontal="left" vertical="top" indent="1"/>
    </xf>
    <xf numFmtId="0" fontId="11" fillId="2" borderId="9" xfId="19" applyFont="1" applyBorder="1">
      <alignment horizontal="left" vertical="top" indent="1"/>
    </xf>
    <xf numFmtId="0" fontId="0" fillId="2" borderId="7" xfId="19" applyFont="1" applyBorder="1">
      <alignment horizontal="left" vertical="top" indent="1"/>
    </xf>
    <xf numFmtId="0" fontId="1" fillId="2" borderId="7" xfId="19" applyFont="1" applyBorder="1">
      <alignment horizontal="left" vertical="top" indent="1"/>
    </xf>
    <xf numFmtId="0" fontId="1" fillId="2" borderId="0" xfId="19" applyFont="1">
      <alignment horizontal="left" vertical="top" indent="1"/>
    </xf>
    <xf numFmtId="0" fontId="11" fillId="2" borderId="0" xfId="19" applyFont="1">
      <alignment horizontal="left" vertical="top" indent="1"/>
    </xf>
    <xf numFmtId="0" fontId="13" fillId="2" borderId="7" xfId="19" applyBorder="1">
      <alignment horizontal="left" vertical="top" indent="1"/>
    </xf>
    <xf numFmtId="0" fontId="0" fillId="2" borderId="7" xfId="16" applyFont="1" applyFill="1" applyAlignment="1">
      <alignment horizontal="left" vertical="top" indent="1"/>
    </xf>
    <xf numFmtId="0" fontId="1" fillId="2" borderId="7" xfId="16" applyFont="1" applyFill="1" applyAlignment="1">
      <alignment horizontal="left" vertical="top" indent="1"/>
    </xf>
    <xf numFmtId="0" fontId="8" fillId="0" borderId="6" xfId="5" applyBorder="1"/>
    <xf numFmtId="14" fontId="6" fillId="0" borderId="0" xfId="2" applyNumberFormat="1">
      <alignment horizontal="center" vertical="center"/>
    </xf>
    <xf numFmtId="14" fontId="6" fillId="0" borderId="6" xfId="2" applyNumberFormat="1" applyBorder="1">
      <alignment horizontal="center" vertical="center"/>
    </xf>
    <xf numFmtId="14" fontId="4" fillId="0" borderId="0" xfId="0" applyNumberFormat="1" applyFont="1" applyFill="1" applyAlignment="1">
      <alignment horizontal="left" wrapText="1"/>
    </xf>
    <xf numFmtId="14" fontId="6" fillId="0" borderId="6" xfId="14" applyNumberFormat="1" applyFont="1" applyAlignment="1">
      <alignment horizontal="center" vertical="center"/>
    </xf>
    <xf numFmtId="168" fontId="13" fillId="0" borderId="7" xfId="16" applyNumberFormat="1" applyFill="1" applyAlignment="1">
      <alignment horizontal="left" indent="1"/>
    </xf>
    <xf numFmtId="166" fontId="4" fillId="0" borderId="0" xfId="18" applyNumberFormat="1" applyFill="1" applyBorder="1">
      <alignment horizontal="left" vertical="center" indent="1"/>
    </xf>
    <xf numFmtId="166" fontId="4" fillId="0" borderId="7" xfId="16" applyNumberFormat="1" applyFont="1" applyFill="1" applyAlignment="1">
      <alignment horizontal="left" vertical="center" indent="1"/>
    </xf>
    <xf numFmtId="20" fontId="13" fillId="2" borderId="0" xfId="21" applyNumberFormat="1">
      <alignment horizontal="left" indent="1"/>
    </xf>
    <xf numFmtId="20" fontId="13" fillId="2" borderId="9" xfId="21" applyNumberFormat="1" applyBorder="1">
      <alignment horizontal="left" indent="1"/>
    </xf>
    <xf numFmtId="20" fontId="13" fillId="2" borderId="3" xfId="21" applyNumberFormat="1" applyBorder="1">
      <alignment horizontal="left" indent="1"/>
    </xf>
    <xf numFmtId="20" fontId="13" fillId="2" borderId="4" xfId="21" applyNumberFormat="1" applyBorder="1">
      <alignment horizontal="left" indent="1"/>
    </xf>
    <xf numFmtId="0" fontId="5" fillId="4" borderId="8" xfId="12" applyBorder="1">
      <alignment horizontal="left" indent="1"/>
    </xf>
    <xf numFmtId="0" fontId="5" fillId="4" borderId="2" xfId="12" applyBorder="1">
      <alignment horizontal="left" indent="1"/>
    </xf>
    <xf numFmtId="20" fontId="13" fillId="2" borderId="10" xfId="21" applyNumberFormat="1" applyBorder="1">
      <alignment horizontal="left" indent="1"/>
    </xf>
    <xf numFmtId="0" fontId="1" fillId="2" borderId="0" xfId="19" applyFont="1">
      <alignment horizontal="left" vertical="top" indent="1"/>
    </xf>
    <xf numFmtId="0" fontId="1" fillId="2" borderId="7" xfId="19" applyFont="1" applyBorder="1">
      <alignment horizontal="left" vertical="top" indent="1"/>
    </xf>
    <xf numFmtId="20" fontId="13" fillId="2" borderId="0" xfId="21" applyNumberFormat="1">
      <alignment horizontal="left" indent="1"/>
    </xf>
    <xf numFmtId="0" fontId="13" fillId="2" borderId="7" xfId="19" applyBorder="1">
      <alignment horizontal="left" vertical="top" indent="1"/>
    </xf>
    <xf numFmtId="0" fontId="1" fillId="2" borderId="7" xfId="16" applyFont="1" applyFill="1" applyAlignment="1">
      <alignment horizontal="left" vertical="top" indent="1"/>
    </xf>
  </cellXfs>
  <cellStyles count="57">
    <cellStyle name="20 % – Poudarek1" xfId="34" builtinId="30" customBuiltin="1"/>
    <cellStyle name="20 % – Poudarek2" xfId="38" builtinId="34" customBuiltin="1"/>
    <cellStyle name="20 % – Poudarek3" xfId="42" builtinId="38" customBuiltin="1"/>
    <cellStyle name="20 % – Poudarek4" xfId="46" builtinId="42" customBuiltin="1"/>
    <cellStyle name="20 % – Poudarek5" xfId="50" builtinId="46" customBuiltin="1"/>
    <cellStyle name="20 % – Poudarek6" xfId="54" builtinId="50" customBuiltin="1"/>
    <cellStyle name="40 % – Poudarek1" xfId="35" builtinId="31" customBuiltin="1"/>
    <cellStyle name="40 % – Poudarek2" xfId="39" builtinId="35" customBuiltin="1"/>
    <cellStyle name="40 % – Poudarek3" xfId="43" builtinId="39" customBuiltin="1"/>
    <cellStyle name="40 % – Poudarek4" xfId="47" builtinId="43" customBuiltin="1"/>
    <cellStyle name="40 % – Poudarek5" xfId="51" builtinId="47" customBuiltin="1"/>
    <cellStyle name="40 % – Poudarek6" xfId="55" builtinId="51" customBuiltin="1"/>
    <cellStyle name="60 % – Poudarek1" xfId="36" builtinId="32" customBuiltin="1"/>
    <cellStyle name="60 % – Poudarek2" xfId="40" builtinId="36" customBuiltin="1"/>
    <cellStyle name="60 % – Poudarek3" xfId="44" builtinId="40" customBuiltin="1"/>
    <cellStyle name="60 % – Poudarek4" xfId="48" builtinId="44" customBuiltin="1"/>
    <cellStyle name="60 % – Poudarek5" xfId="52" builtinId="48" customBuiltin="1"/>
    <cellStyle name="60 % – Poudarek6" xfId="56" builtinId="52" customBuiltin="1"/>
    <cellStyle name="Čas" xfId="21" xr:uid="{00000000-0005-0000-0000-000011000000}"/>
    <cellStyle name="Datum" xfId="15" xr:uid="{00000000-0005-0000-0000-000006000000}"/>
    <cellStyle name="Delavniki" xfId="12" xr:uid="{00000000-0005-0000-0000-000014000000}"/>
    <cellStyle name="Desna obroba" xfId="17" xr:uid="{00000000-0005-0000-0000-00000F000000}"/>
    <cellStyle name="Dobro" xfId="22" builtinId="26" customBuiltin="1"/>
    <cellStyle name="Izhod" xfId="26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 customBuiltin="1"/>
    <cellStyle name="Nevtralno" xfId="24" builtinId="28" customBuiltin="1"/>
    <cellStyle name="Odstotek" xfId="10" builtinId="5" customBuiltin="1"/>
    <cellStyle name="Opomba" xfId="11" builtinId="10" customBuiltin="1"/>
    <cellStyle name="Opozorilo" xfId="30" builtinId="11" customBuiltin="1"/>
    <cellStyle name="Oznaka" xfId="13" xr:uid="{00000000-0005-0000-0000-00000B000000}"/>
    <cellStyle name="Pojasnjevalno besedilo" xfId="31" builtinId="53" customBuiltin="1"/>
    <cellStyle name="Polnilo za tedenski urnik" xfId="19" xr:uid="{00000000-0005-0000-0000-000015000000}"/>
    <cellStyle name="Poravnava koledarja" xfId="18" xr:uid="{00000000-0005-0000-0000-000001000000}"/>
    <cellStyle name="Poudarek1" xfId="33" builtinId="29" customBuiltin="1"/>
    <cellStyle name="Poudarek2" xfId="37" builtinId="33" customBuiltin="1"/>
    <cellStyle name="Poudarek3" xfId="41" builtinId="37" customBuiltin="1"/>
    <cellStyle name="Poudarek4" xfId="45" builtinId="41" customBuiltin="1"/>
    <cellStyle name="Poudarek5" xfId="49" builtinId="45" customBuiltin="1"/>
    <cellStyle name="Poudarek6" xfId="53" builtinId="49" customBuiltin="1"/>
    <cellStyle name="Povezana celica" xfId="28" builtinId="24" customBuiltin="1"/>
    <cellStyle name="Prazen naslov tabele" xfId="20" xr:uid="{00000000-0005-0000-0000-000010000000}"/>
    <cellStyle name="Preveri celico" xfId="29" builtinId="23" customBuiltin="1"/>
    <cellStyle name="Računanje" xfId="27" builtinId="22" customBuiltin="1"/>
    <cellStyle name="Slabo" xfId="23" builtinId="27" customBuiltin="1"/>
    <cellStyle name="Spodnja obroba" xfId="16" xr:uid="{00000000-0005-0000-0000-000000000000}"/>
    <cellStyle name="Valuta" xfId="8" builtinId="4" customBuiltin="1"/>
    <cellStyle name="Valuta [0]" xfId="9" builtinId="7" customBuiltin="1"/>
    <cellStyle name="Vejica" xfId="6" builtinId="3" customBuiltin="1"/>
    <cellStyle name="Vejica [0]" xfId="7" builtinId="6" customBuiltin="1"/>
    <cellStyle name="Vnos" xfId="25" builtinId="20" customBuiltin="1"/>
    <cellStyle name="Vsota" xfId="32" builtinId="25" customBuiltin="1"/>
    <cellStyle name="Zgornja obroba" xfId="14" xr:uid="{00000000-0005-0000-0000-000013000000}"/>
  </cellStyles>
  <dxfs count="89"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border>
        <left style="thin">
          <color theme="0"/>
        </left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ill>
        <patternFill>
          <bgColor theme="4" tint="0.79998168889431442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border>
        <left style="thin">
          <color theme="0"/>
        </left>
        <vertical/>
        <horizontal/>
      </border>
    </dxf>
    <dxf>
      <border>
        <bottom style="thin">
          <color theme="0"/>
        </bottom>
        <vertical/>
        <horizontal/>
      </border>
    </dxf>
    <dxf>
      <font>
        <b val="0"/>
        <i val="0"/>
      </font>
      <fill>
        <patternFill>
          <bgColor theme="4" tint="0.79998168889431442"/>
        </patternFill>
      </fill>
      <border>
        <vertical/>
        <horizontal/>
      </border>
    </dxf>
    <dxf>
      <font>
        <b/>
        <i val="0"/>
      </font>
      <fill>
        <patternFill>
          <bgColor theme="4" tint="0.79998168889431442"/>
        </patternFill>
      </fill>
    </dxf>
    <dxf>
      <font>
        <b/>
        <i val="0"/>
        <color theme="1"/>
      </font>
      <fill>
        <patternFill patternType="solid">
          <bgColor theme="4" tint="0.79998168889431442"/>
        </patternFill>
      </fill>
      <border>
        <left/>
        <right/>
        <top/>
        <bottom/>
        <vertical/>
        <horizontal/>
      </border>
    </dxf>
    <dxf>
      <font>
        <color theme="0" tint="-0.24994659260841701"/>
      </font>
    </dxf>
    <dxf>
      <font>
        <color theme="0" tint="-0.24994659260841701"/>
      </font>
    </dxf>
    <dxf>
      <font>
        <b/>
        <i val="0"/>
        <color theme="4" tint="-0.499984740745262"/>
      </font>
      <border diagonalUp="0" diagonalDown="0">
        <left style="thin">
          <color theme="4" tint="-0.499984740745262"/>
        </left>
        <right/>
        <top/>
        <bottom style="thin">
          <color theme="4" tint="-0.499984740745262"/>
        </bottom>
        <vertical/>
        <horizontal/>
      </border>
    </dxf>
    <dxf>
      <font>
        <b/>
        <i val="0"/>
        <color theme="4" tint="-0.499984740745262"/>
      </font>
      <border diagonalUp="0" diagonalDown="0">
        <left/>
        <right/>
        <top/>
        <bottom style="thin">
          <color theme="4" tint="-0.499984740745262"/>
        </bottom>
        <vertical/>
        <horizontal/>
      </border>
    </dxf>
    <dxf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horizontal style="thin">
          <color theme="5" tint="-0.499984740745262"/>
        </horizontal>
      </border>
    </dxf>
  </dxfs>
  <tableStyles count="1" defaultPivotStyle="PivotStyleLight16">
    <tableStyle name="Dodeljene naloge" pivot="0" count="3" xr9:uid="{00000000-0011-0000-FFFF-FFFF00000000}">
      <tableStyleElement type="wholeTable" dxfId="88"/>
      <tableStyleElement type="headerRow" dxfId="87"/>
      <tableStyleElement type="firstColumn" dxfId="8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81.xml" Id="rId8" /><Relationship Type="http://schemas.openxmlformats.org/officeDocument/2006/relationships/theme" Target="/xl/theme/theme11.xml" Id="rId13" /><Relationship Type="http://schemas.openxmlformats.org/officeDocument/2006/relationships/customXml" Target="/customXml/item2.xml" Id="rId18" /><Relationship Type="http://schemas.openxmlformats.org/officeDocument/2006/relationships/worksheet" Target="/xl/worksheets/sheet32.xml" Id="rId3" /><Relationship Type="http://schemas.openxmlformats.org/officeDocument/2006/relationships/worksheet" Target="/xl/worksheets/sheet73.xml" Id="rId7" /><Relationship Type="http://schemas.openxmlformats.org/officeDocument/2006/relationships/worksheet" Target="/xl/worksheets/sheet124.xml" Id="rId12" /><Relationship Type="http://schemas.openxmlformats.org/officeDocument/2006/relationships/customXml" Target="/customXml/item12.xml" Id="rId17" /><Relationship Type="http://schemas.openxmlformats.org/officeDocument/2006/relationships/worksheet" Target="/xl/worksheets/sheet25.xml" Id="rId2" /><Relationship Type="http://schemas.openxmlformats.org/officeDocument/2006/relationships/calcChain" Target="/xl/calcChain.xml" Id="rId16" /><Relationship Type="http://schemas.openxmlformats.org/officeDocument/2006/relationships/worksheet" Target="/xl/worksheets/sheet16.xml" Id="rId1" /><Relationship Type="http://schemas.openxmlformats.org/officeDocument/2006/relationships/worksheet" Target="/xl/worksheets/sheet67.xml" Id="rId6" /><Relationship Type="http://schemas.openxmlformats.org/officeDocument/2006/relationships/worksheet" Target="/xl/worksheets/sheet118.xml" Id="rId11" /><Relationship Type="http://schemas.openxmlformats.org/officeDocument/2006/relationships/worksheet" Target="/xl/worksheets/sheet59.xml" Id="rId5" /><Relationship Type="http://schemas.openxmlformats.org/officeDocument/2006/relationships/sharedStrings" Target="/xl/sharedStrings.xml" Id="rId15" /><Relationship Type="http://schemas.openxmlformats.org/officeDocument/2006/relationships/worksheet" Target="/xl/worksheets/sheet1010.xml" Id="rId10" /><Relationship Type="http://schemas.openxmlformats.org/officeDocument/2006/relationships/customXml" Target="/customXml/item33.xml" Id="rId19" /><Relationship Type="http://schemas.openxmlformats.org/officeDocument/2006/relationships/worksheet" Target="/xl/worksheets/sheet411.xml" Id="rId4" /><Relationship Type="http://schemas.openxmlformats.org/officeDocument/2006/relationships/worksheet" Target="/xl/worksheets/sheet912.xml" Id="rId9" /><Relationship Type="http://schemas.openxmlformats.org/officeDocument/2006/relationships/styles" Target="/xl/styles.xml" Id="rId14" /></Relationships>
</file>

<file path=xl/tables/table10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OktobrskeNaloge" displayName="OktobrskeNaloge" ref="J1:L31" totalsRowShown="0">
  <autoFilter ref="J1:L31" xr:uid="{00000000-0009-0000-0100-00000A000000}">
    <filterColumn colId="0" hiddenButton="1"/>
    <filterColumn colId="1" hiddenButton="1"/>
    <filterColumn colId="2" hiddenButton="1"/>
  </autoFilter>
  <tableColumns count="3">
    <tableColumn id="1" xr3:uid="{00000000-0010-0000-0900-000001000000}" name="Dan v tednu"/>
    <tableColumn id="2" xr3:uid="{00000000-0010-0000-0900-000002000000}" name="koledarski dan" dataCellStyle="Datum"/>
    <tableColumn id="3" xr3:uid="{00000000-0010-0000-0900-000003000000}" name="NALOGE"/>
  </tableColumns>
  <tableStyleInfo name="Dodeljene naloge" showFirstColumn="1" showLastColumn="0" showRowStripes="1" showColumnStripes="0"/>
  <extLst>
    <ext xmlns:x14="http://schemas.microsoft.com/office/spreadsheetml/2009/9/main" uri="{504A1905-F514-4f6f-8877-14C23A59335A}">
      <x14:table altTextSummary="V stolpec J vnesite dan in nalogo za delovni dan. Dodeljene naloge bodo označene v koledarju za ta mesec na tem delovnem listu."/>
    </ext>
  </extLst>
</table>
</file>

<file path=xl/tables/table1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NovembrskeNaloge" displayName="NovembrskeNaloge" ref="J1:L31" totalsRowShown="0">
  <autoFilter ref="J1:L31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A00-000001000000}" name="Dan v tednu"/>
    <tableColumn id="2" xr3:uid="{00000000-0010-0000-0A00-000002000000}" name="koledarski dan" dataCellStyle="Datum"/>
    <tableColumn id="3" xr3:uid="{00000000-0010-0000-0A00-000003000000}" name="NALOGE"/>
  </tableColumns>
  <tableStyleInfo name="Dodeljene naloge" showFirstColumn="1" showLastColumn="0" showRowStripes="1" showColumnStripes="0"/>
  <extLst>
    <ext xmlns:x14="http://schemas.microsoft.com/office/spreadsheetml/2009/9/main" uri="{504A1905-F514-4f6f-8877-14C23A59335A}">
      <x14:table altTextSummary="V stolpec J vnesite dan in nalogo za delovni dan. Dodeljene naloge bodo označene v koledarju za ta mesec na tem delovnem listu."/>
    </ext>
  </extLst>
</table>
</file>

<file path=xl/tables/table1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DecembrskeNaloge" displayName="DecembrskeNaloge" ref="J1:L31" totalsRowShown="0">
  <autoFilter ref="J1:L31" xr:uid="{00000000-0009-0000-0100-00000C000000}">
    <filterColumn colId="0" hiddenButton="1"/>
    <filterColumn colId="1" hiddenButton="1"/>
    <filterColumn colId="2" hiddenButton="1"/>
  </autoFilter>
  <tableColumns count="3">
    <tableColumn id="1" xr3:uid="{00000000-0010-0000-0B00-000001000000}" name="Dan v tednu"/>
    <tableColumn id="2" xr3:uid="{00000000-0010-0000-0B00-000002000000}" name="koledarski dan" dataCellStyle="Datum"/>
    <tableColumn id="3" xr3:uid="{00000000-0010-0000-0B00-000003000000}" name="NALOGE"/>
  </tableColumns>
  <tableStyleInfo name="Dodeljene naloge" showFirstColumn="1" showLastColumn="0" showRowStripes="1" showColumnStripes="0"/>
  <extLst>
    <ext xmlns:x14="http://schemas.microsoft.com/office/spreadsheetml/2009/9/main" uri="{504A1905-F514-4f6f-8877-14C23A59335A}">
      <x14:table altTextSummary="V stolpec J vnesite dan in nalogo za delovni dan. Dodeljene naloge bodo označene v koledarju za ta mesec na tem delovnem listu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JanuarskeNaloge" displayName="JanuarskeNaloge" ref="J1:L31" totalsRowShown="0">
  <autoFilter ref="J1:L31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an v tednu"/>
    <tableColumn id="2" xr3:uid="{00000000-0010-0000-0000-000002000000}" name="koledarski dan" dataCellStyle="Datum"/>
    <tableColumn id="3" xr3:uid="{00000000-0010-0000-0000-000003000000}" name="NALOGE"/>
  </tableColumns>
  <tableStyleInfo name="Dodeljene naloge" showFirstColumn="1" showLastColumn="0" showRowStripes="1" showColumnStripes="0"/>
  <extLst>
    <ext xmlns:x14="http://schemas.microsoft.com/office/spreadsheetml/2009/9/main" uri="{504A1905-F514-4f6f-8877-14C23A59335A}">
      <x14:table altTextSummary="V stolpec J vnesite dan in nalogo za delovni dan. Dodeljene naloge bodo označene v koledarju za ta mesec na tem delovnem listu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FebruarskeNaloge" displayName="FebruarskeNaloge" ref="J1:L31" totalsRowShown="0">
  <autoFilter ref="J1:L3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an v tednu"/>
    <tableColumn id="2" xr3:uid="{00000000-0010-0000-0100-000002000000}" name="koledarski dan" dataCellStyle="Datum"/>
    <tableColumn id="3" xr3:uid="{00000000-0010-0000-0100-000003000000}" name="NALOGE"/>
  </tableColumns>
  <tableStyleInfo name="Dodeljene naloge" showFirstColumn="1" showLastColumn="0" showRowStripes="1" showColumnStripes="0"/>
  <extLst>
    <ext xmlns:x14="http://schemas.microsoft.com/office/spreadsheetml/2009/9/main" uri="{504A1905-F514-4f6f-8877-14C23A59335A}">
      <x14:table altTextSummary="V stolpec J vnesite dan in nalogo za delovni dan. Dodeljene naloge bodo označene v koledarju za ta mesec na tem delovnem listu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MarčevskeNaloge" displayName="MarčevskeNaloge" ref="J1:L31" totalsRowShown="0">
  <autoFilter ref="J1:L31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Dan v tednu"/>
    <tableColumn id="2" xr3:uid="{00000000-0010-0000-0200-000002000000}" name="koledarski dan" dataCellStyle="Datum"/>
    <tableColumn id="3" xr3:uid="{00000000-0010-0000-0200-000003000000}" name="NALOGE"/>
  </tableColumns>
  <tableStyleInfo name="Dodeljene naloge" showFirstColumn="1" showLastColumn="0" showRowStripes="1" showColumnStripes="0"/>
  <extLst>
    <ext xmlns:x14="http://schemas.microsoft.com/office/spreadsheetml/2009/9/main" uri="{504A1905-F514-4f6f-8877-14C23A59335A}">
      <x14:table altTextSummary="V stolpec J vnesite dan in nalogo za delovni dan. Dodeljene naloge bodo označene v koledarju za ta mesec na tem delovnem listu."/>
    </ext>
  </extLst>
</table>
</file>

<file path=xl/tables/table4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AprilskeNaloge" displayName="AprilskeNaloge" ref="J1:L31" totalsRowShown="0">
  <autoFilter ref="J1:L31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Dan v tednu"/>
    <tableColumn id="2" xr3:uid="{00000000-0010-0000-0300-000002000000}" name="koledarski dan" dataCellStyle="Datum"/>
    <tableColumn id="3" xr3:uid="{00000000-0010-0000-0300-000003000000}" name="NALOGE"/>
  </tableColumns>
  <tableStyleInfo name="Dodeljene naloge" showFirstColumn="1" showLastColumn="0" showRowStripes="1" showColumnStripes="0"/>
  <extLst>
    <ext xmlns:x14="http://schemas.microsoft.com/office/spreadsheetml/2009/9/main" uri="{504A1905-F514-4f6f-8877-14C23A59335A}">
      <x14:table altTextSummary="V stolpec J vnesite dan in nalogo za delovni dan. Dodeljene naloge bodo označene v koledarju za ta mesec na tem delovnem listu."/>
    </ext>
  </extLst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ajskeNaloge" displayName="MajskeNaloge" ref="J1:L31" totalsRowShown="0">
  <autoFilter ref="J1:L31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Dan v tednu"/>
    <tableColumn id="2" xr3:uid="{00000000-0010-0000-0400-000002000000}" name="koledarski dan" dataCellStyle="Datum"/>
    <tableColumn id="3" xr3:uid="{00000000-0010-0000-0400-000003000000}" name="NALOGE"/>
  </tableColumns>
  <tableStyleInfo name="Dodeljene naloge" showFirstColumn="1" showLastColumn="0" showRowStripes="1" showColumnStripes="0"/>
  <extLst>
    <ext xmlns:x14="http://schemas.microsoft.com/office/spreadsheetml/2009/9/main" uri="{504A1905-F514-4f6f-8877-14C23A59335A}">
      <x14:table altTextSummary="V stolpec J vnesite dan in nalogo za delovni dan. Dodeljene naloge bodo označene v koledarju za ta mesec na tem delovnem listu."/>
    </ext>
  </extLst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JunijskeNaloge" displayName="JunijskeNaloge" ref="J1:L31" totalsRowShown="0">
  <autoFilter ref="J1:L3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Dan v tednu"/>
    <tableColumn id="2" xr3:uid="{00000000-0010-0000-0500-000002000000}" name="koledarski dan" dataCellStyle="Datum"/>
    <tableColumn id="3" xr3:uid="{00000000-0010-0000-0500-000003000000}" name="NALOGE"/>
  </tableColumns>
  <tableStyleInfo name="Dodeljene naloge" showFirstColumn="1" showLastColumn="0" showRowStripes="1" showColumnStripes="0"/>
  <extLst>
    <ext xmlns:x14="http://schemas.microsoft.com/office/spreadsheetml/2009/9/main" uri="{504A1905-F514-4f6f-8877-14C23A59335A}">
      <x14:table altTextSummary="V stolpec J vnesite dan in nalogo za delovni dan. Dodeljene naloge bodo označene v koledarju za ta mesec na tem delovnem listu."/>
    </ext>
  </extLst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JulijskeNaloge" displayName="JulijskeNaloge" ref="J1:L31" totalsRowShown="0">
  <autoFilter ref="J1:L31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Dan v tednu"/>
    <tableColumn id="2" xr3:uid="{00000000-0010-0000-0600-000002000000}" name="koledarski dan" dataCellStyle="Datum"/>
    <tableColumn id="3" xr3:uid="{00000000-0010-0000-0600-000003000000}" name="NALOGE"/>
  </tableColumns>
  <tableStyleInfo name="Dodeljene naloge" showFirstColumn="1" showLastColumn="0" showRowStripes="1" showColumnStripes="0"/>
  <extLst>
    <ext xmlns:x14="http://schemas.microsoft.com/office/spreadsheetml/2009/9/main" uri="{504A1905-F514-4f6f-8877-14C23A59335A}">
      <x14:table altTextSummary="V stolpec J vnesite dan in nalogo za delovni dan. Dodeljene naloge bodo označene v koledarju za ta mesec na tem delovnem listu."/>
    </ext>
  </extLst>
</table>
</file>

<file path=xl/tables/table8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AvgustovskeNaloge" displayName="AvgustovskeNaloge" ref="J1:L31" totalsRowShown="0">
  <autoFilter ref="J1:L31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700-000001000000}" name="Dan v tednu"/>
    <tableColumn id="2" xr3:uid="{00000000-0010-0000-0700-000002000000}" name="koledarski dan"/>
    <tableColumn id="3" xr3:uid="{00000000-0010-0000-0700-000003000000}" name="NALOGE"/>
  </tableColumns>
  <tableStyleInfo name="Dodeljene naloge" showFirstColumn="1" showLastColumn="0" showRowStripes="1" showColumnStripes="0"/>
  <extLst>
    <ext xmlns:x14="http://schemas.microsoft.com/office/spreadsheetml/2009/9/main" uri="{504A1905-F514-4f6f-8877-14C23A59335A}">
      <x14:table altTextSummary="V stolpec J vnesite dan in nalogo za delovni dan. Dodeljene naloge bodo označene v koledarju za ta mesec na tem delovnem listu."/>
    </ext>
  </extLst>
</table>
</file>

<file path=xl/tables/table9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SeptembrskeNaloge" displayName="SeptembrskeNaloge" ref="J1:L31" totalsRowShown="0">
  <autoFilter ref="J1:L31" xr:uid="{00000000-0009-0000-0100-000009000000}">
    <filterColumn colId="0" hiddenButton="1"/>
    <filterColumn colId="1" hiddenButton="1"/>
    <filterColumn colId="2" hiddenButton="1"/>
  </autoFilter>
  <tableColumns count="3">
    <tableColumn id="1" xr3:uid="{00000000-0010-0000-0800-000001000000}" name="Dan v tednu"/>
    <tableColumn id="2" xr3:uid="{00000000-0010-0000-0800-000002000000}" name="koledarski dan" dataCellStyle="Datum"/>
    <tableColumn id="3" xr3:uid="{00000000-0010-0000-0800-000003000000}" name="NALOGE"/>
  </tableColumns>
  <tableStyleInfo name="Dodeljene naloge" showFirstColumn="1" showLastColumn="0" showRowStripes="1" showColumnStripes="0"/>
  <extLst>
    <ext xmlns:x14="http://schemas.microsoft.com/office/spreadsheetml/2009/9/main" uri="{504A1905-F514-4f6f-8877-14C23A59335A}">
      <x14:table altTextSummary="V stolpec J vnesite dan in nalogo za delovni dan. Dodeljene naloge bodo označene v koledarju za ta mesec na tem delovnem listu."/>
    </ext>
  </extLst>
</table>
</file>

<file path=xl/theme/theme11.xml><?xml version="1.0" encoding="utf-8"?>
<a:theme xmlns:a="http://schemas.openxmlformats.org/drawingml/2006/main" name="10_college_cal">
  <a:themeElements>
    <a:clrScheme name="Assignment Calenda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9B5D4"/>
      </a:accent1>
      <a:accent2>
        <a:srgbClr val="FFCCCC"/>
      </a:accent2>
      <a:accent3>
        <a:srgbClr val="4DBB68"/>
      </a:accent3>
      <a:accent4>
        <a:srgbClr val="FFFB59"/>
      </a:accent4>
      <a:accent5>
        <a:srgbClr val="FF9900"/>
      </a:accent5>
      <a:accent6>
        <a:srgbClr val="AC75D5"/>
      </a:accent6>
      <a:hlink>
        <a:srgbClr val="57B5D4"/>
      </a:hlink>
      <a:folHlink>
        <a:srgbClr val="BA4F8B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10.xml.rels>&#65279;<?xml version="1.0" encoding="utf-8"?><Relationships xmlns="http://schemas.openxmlformats.org/package/2006/relationships"><Relationship Type="http://schemas.openxmlformats.org/officeDocument/2006/relationships/table" Target="/xl/tables/table1010.xml" Id="rId2" /><Relationship Type="http://schemas.openxmlformats.org/officeDocument/2006/relationships/printerSettings" Target="/xl/printerSettings/printerSettings1010.bin" Id="rId1" /></Relationships>
</file>

<file path=xl/worksheets/_rels/sheet118.xml.rels>&#65279;<?xml version="1.0" encoding="utf-8"?><Relationships xmlns="http://schemas.openxmlformats.org/package/2006/relationships"><Relationship Type="http://schemas.openxmlformats.org/officeDocument/2006/relationships/table" Target="/xl/tables/table118.xml" Id="rId2" /><Relationship Type="http://schemas.openxmlformats.org/officeDocument/2006/relationships/printerSettings" Target="/xl/printerSettings/printerSettings118.bin" Id="rId1" /></Relationships>
</file>

<file path=xl/worksheets/_rels/sheet124.xml.rels>&#65279;<?xml version="1.0" encoding="utf-8"?><Relationships xmlns="http://schemas.openxmlformats.org/package/2006/relationships"><Relationship Type="http://schemas.openxmlformats.org/officeDocument/2006/relationships/table" Target="/xl/tables/table124.xml" Id="rId2" /><Relationship Type="http://schemas.openxmlformats.org/officeDocument/2006/relationships/printerSettings" Target="/xl/printerSettings/printerSettings124.bin" Id="rId1" /></Relationships>
</file>

<file path=xl/worksheets/_rels/sheet16.xml.rels>&#65279;<?xml version="1.0" encoding="utf-8"?><Relationships xmlns="http://schemas.openxmlformats.org/package/2006/relationships"><Relationship Type="http://schemas.openxmlformats.org/officeDocument/2006/relationships/table" Target="/xl/tables/table16.xml" Id="rId2" /><Relationship Type="http://schemas.openxmlformats.org/officeDocument/2006/relationships/printerSettings" Target="/xl/printerSettings/printerSettings16.bin" Id="rId1" /></Relationships>
</file>

<file path=xl/worksheets/_rels/sheet25.xml.rels>&#65279;<?xml version="1.0" encoding="utf-8"?><Relationships xmlns="http://schemas.openxmlformats.org/package/2006/relationships"><Relationship Type="http://schemas.openxmlformats.org/officeDocument/2006/relationships/table" Target="/xl/tables/table25.xml" Id="rId2" /><Relationship Type="http://schemas.openxmlformats.org/officeDocument/2006/relationships/printerSettings" Target="/xl/printerSettings/printerSettings25.bin" Id="rId1" /></Relationships>
</file>

<file path=xl/worksheets/_rels/sheet32.xml.rels>&#65279;<?xml version="1.0" encoding="utf-8"?><Relationships xmlns="http://schemas.openxmlformats.org/package/2006/relationships"><Relationship Type="http://schemas.openxmlformats.org/officeDocument/2006/relationships/table" Target="/xl/tables/table32.xml" Id="rId2" /><Relationship Type="http://schemas.openxmlformats.org/officeDocument/2006/relationships/printerSettings" Target="/xl/printerSettings/printerSettings32.bin" Id="rId1" /></Relationships>
</file>

<file path=xl/worksheets/_rels/sheet411.xml.rels>&#65279;<?xml version="1.0" encoding="utf-8"?><Relationships xmlns="http://schemas.openxmlformats.org/package/2006/relationships"><Relationship Type="http://schemas.openxmlformats.org/officeDocument/2006/relationships/table" Target="/xl/tables/table411.xml" Id="rId2" /><Relationship Type="http://schemas.openxmlformats.org/officeDocument/2006/relationships/printerSettings" Target="/xl/printerSettings/printerSettings411.bin" Id="rId1" /></Relationships>
</file>

<file path=xl/worksheets/_rels/sheet59.xml.rels>&#65279;<?xml version="1.0" encoding="utf-8"?><Relationships xmlns="http://schemas.openxmlformats.org/package/2006/relationships"><Relationship Type="http://schemas.openxmlformats.org/officeDocument/2006/relationships/table" Target="/xl/tables/table59.xml" Id="rId2" /><Relationship Type="http://schemas.openxmlformats.org/officeDocument/2006/relationships/printerSettings" Target="/xl/printerSettings/printerSettings59.bin" Id="rId1" /></Relationships>
</file>

<file path=xl/worksheets/_rels/sheet67.xml.rels>&#65279;<?xml version="1.0" encoding="utf-8"?><Relationships xmlns="http://schemas.openxmlformats.org/package/2006/relationships"><Relationship Type="http://schemas.openxmlformats.org/officeDocument/2006/relationships/table" Target="/xl/tables/table67.xml" Id="rId2" /><Relationship Type="http://schemas.openxmlformats.org/officeDocument/2006/relationships/printerSettings" Target="/xl/printerSettings/printerSettings67.bin" Id="rId1" /></Relationships>
</file>

<file path=xl/worksheets/_rels/sheet73.xml.rels>&#65279;<?xml version="1.0" encoding="utf-8"?><Relationships xmlns="http://schemas.openxmlformats.org/package/2006/relationships"><Relationship Type="http://schemas.openxmlformats.org/officeDocument/2006/relationships/table" Target="/xl/tables/table73.xml" Id="rId2" /><Relationship Type="http://schemas.openxmlformats.org/officeDocument/2006/relationships/printerSettings" Target="/xl/printerSettings/printerSettings73.bin" Id="rId1" /></Relationships>
</file>

<file path=xl/worksheets/_rels/sheet81.xml.rels>&#65279;<?xml version="1.0" encoding="utf-8"?><Relationships xmlns="http://schemas.openxmlformats.org/package/2006/relationships"><Relationship Type="http://schemas.openxmlformats.org/officeDocument/2006/relationships/table" Target="/xl/tables/table81.xml" Id="rId2" /><Relationship Type="http://schemas.openxmlformats.org/officeDocument/2006/relationships/printerSettings" Target="/xl/printerSettings/printerSettings81.bin" Id="rId1" /></Relationships>
</file>

<file path=xl/worksheets/_rels/sheet912.xml.rels>&#65279;<?xml version="1.0" encoding="utf-8"?><Relationships xmlns="http://schemas.openxmlformats.org/package/2006/relationships"><Relationship Type="http://schemas.openxmlformats.org/officeDocument/2006/relationships/table" Target="/xl/tables/table912.xml" Id="rId2" /><Relationship Type="http://schemas.openxmlformats.org/officeDocument/2006/relationships/printerSettings" Target="/xl/printerSettings/printerSettings912.bin" Id="rId1" /></Relationships>
</file>

<file path=xl/worksheets/sheet10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KoledarskoLeto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38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52">
        <f>IF(DAY(OktNed1)=1,OktNed1-6,OktNed1+1)</f>
        <v>44466</v>
      </c>
      <c r="D3" s="52">
        <f>IF(DAY(OktNed1)=1,OktNed1-5,OktNed1+2)</f>
        <v>44467</v>
      </c>
      <c r="E3" s="52">
        <f>IF(DAY(OktNed1)=1,OktNed1-4,OktNed1+3)</f>
        <v>44468</v>
      </c>
      <c r="F3" s="52">
        <f>IF(DAY(OktNed1)=1,OktNed1-3,OktNed1+4)</f>
        <v>44469</v>
      </c>
      <c r="G3" s="52">
        <f>IF(DAY(OktNed1)=1,OktNed1-2,OktNed1+5)</f>
        <v>44470</v>
      </c>
      <c r="H3" s="52">
        <f>IF(DAY(OktNed1)=1,OktNed1-1,OktNed1+6)</f>
        <v>44471</v>
      </c>
      <c r="I3" s="52">
        <f>IF(DAY(OktNed1)=1,OktNed1,OktNed1+7)</f>
        <v>44472</v>
      </c>
      <c r="J3" s="16"/>
      <c r="K3" s="3"/>
      <c r="L3" s="10"/>
    </row>
    <row r="4" spans="1:12" ht="30" customHeight="1" x14ac:dyDescent="0.25">
      <c r="A4" s="19"/>
      <c r="C4" s="52">
        <f>IF(DAY(OktNed1)=1,OktNed1+1,OktNed1+8)</f>
        <v>44473</v>
      </c>
      <c r="D4" s="52">
        <f>IF(DAY(OktNed1)=1,OktNed1+2,OktNed1+9)</f>
        <v>44474</v>
      </c>
      <c r="E4" s="52">
        <f>IF(DAY(OktNed1)=1,OktNed1+3,OktNed1+10)</f>
        <v>44475</v>
      </c>
      <c r="F4" s="52">
        <f>IF(DAY(OktNed1)=1,OktNed1+4,OktNed1+11)</f>
        <v>44476</v>
      </c>
      <c r="G4" s="52">
        <f>IF(DAY(OktNed1)=1,OktNed1+5,OktNed1+12)</f>
        <v>44477</v>
      </c>
      <c r="H4" s="52">
        <f>IF(DAY(OktNed1)=1,OktNed1+6,OktNed1+13)</f>
        <v>44478</v>
      </c>
      <c r="I4" s="52">
        <f>IF(DAY(OktNed1)=1,OktNed1+7,OktNed1+14)</f>
        <v>44479</v>
      </c>
      <c r="J4" s="16"/>
      <c r="K4" s="3"/>
      <c r="L4" s="10"/>
    </row>
    <row r="5" spans="1:12" ht="30" customHeight="1" x14ac:dyDescent="0.25">
      <c r="A5" s="19"/>
      <c r="C5" s="52">
        <f>IF(DAY(OktNed1)=1,OktNed1+8,OktNed1+15)</f>
        <v>44480</v>
      </c>
      <c r="D5" s="52">
        <f>IF(DAY(OktNed1)=1,OktNed1+9,OktNed1+16)</f>
        <v>44481</v>
      </c>
      <c r="E5" s="52">
        <f>IF(DAY(OktNed1)=1,OktNed1+10,OktNed1+17)</f>
        <v>44482</v>
      </c>
      <c r="F5" s="52">
        <f>IF(DAY(OktNed1)=1,OktNed1+11,OktNed1+18)</f>
        <v>44483</v>
      </c>
      <c r="G5" s="52">
        <f>IF(DAY(OktNed1)=1,OktNed1+12,OktNed1+19)</f>
        <v>44484</v>
      </c>
      <c r="H5" s="52">
        <f>IF(DAY(OktNed1)=1,OktNed1+13,OktNed1+20)</f>
        <v>44485</v>
      </c>
      <c r="I5" s="52">
        <f>IF(DAY(OktNed1)=1,OktNed1+14,OktNed1+21)</f>
        <v>44486</v>
      </c>
      <c r="J5" s="16"/>
      <c r="K5" s="3"/>
      <c r="L5" s="10"/>
    </row>
    <row r="6" spans="1:12" ht="30" customHeight="1" x14ac:dyDescent="0.25">
      <c r="A6" s="19"/>
      <c r="C6" s="52">
        <f>IF(DAY(OktNed1)=1,OktNed1+15,OktNed1+22)</f>
        <v>44487</v>
      </c>
      <c r="D6" s="52">
        <f>IF(DAY(OktNed1)=1,OktNed1+16,OktNed1+23)</f>
        <v>44488</v>
      </c>
      <c r="E6" s="52">
        <f>IF(DAY(OktNed1)=1,OktNed1+17,OktNed1+24)</f>
        <v>44489</v>
      </c>
      <c r="F6" s="52">
        <f>IF(DAY(OktNed1)=1,OktNed1+18,OktNed1+25)</f>
        <v>44490</v>
      </c>
      <c r="G6" s="52">
        <f>IF(DAY(OktNed1)=1,OktNed1+19,OktNed1+26)</f>
        <v>44491</v>
      </c>
      <c r="H6" s="52">
        <f>IF(DAY(OktNed1)=1,OktNed1+20,OktNed1+27)</f>
        <v>44492</v>
      </c>
      <c r="I6" s="52">
        <f>IF(DAY(OktNed1)=1,OktNed1+21,OktNed1+28)</f>
        <v>44493</v>
      </c>
      <c r="J6" s="16"/>
      <c r="K6" s="3"/>
      <c r="L6" s="10"/>
    </row>
    <row r="7" spans="1:12" ht="30" customHeight="1" x14ac:dyDescent="0.25">
      <c r="A7" s="19"/>
      <c r="C7" s="52">
        <f>IF(DAY(OktNed1)=1,OktNed1+22,OktNed1+29)</f>
        <v>44494</v>
      </c>
      <c r="D7" s="52">
        <f>IF(DAY(OktNed1)=1,OktNed1+23,OktNed1+30)</f>
        <v>44495</v>
      </c>
      <c r="E7" s="52">
        <f>IF(DAY(OktNed1)=1,OktNed1+24,OktNed1+31)</f>
        <v>44496</v>
      </c>
      <c r="F7" s="52">
        <f>IF(DAY(OktNed1)=1,OktNed1+25,OktNed1+32)</f>
        <v>44497</v>
      </c>
      <c r="G7" s="52">
        <f>IF(DAY(OktNed1)=1,OktNed1+26,OktNed1+33)</f>
        <v>44498</v>
      </c>
      <c r="H7" s="52">
        <f>IF(DAY(OktNed1)=1,OktNed1+27,OktNed1+34)</f>
        <v>44499</v>
      </c>
      <c r="I7" s="52">
        <f>IF(DAY(OktNed1)=1,OktNed1+28,OktNed1+35)</f>
        <v>44500</v>
      </c>
      <c r="J7" s="1"/>
      <c r="K7" s="31"/>
      <c r="L7" s="26"/>
    </row>
    <row r="8" spans="1:12" ht="30" customHeight="1" x14ac:dyDescent="0.25">
      <c r="A8" s="19"/>
      <c r="B8" s="25"/>
      <c r="C8" s="52">
        <f>IF(DAY(OktNed1)=1,OktNed1+29,OktNed1+36)</f>
        <v>44501</v>
      </c>
      <c r="D8" s="52">
        <f>IF(DAY(OktNed1)=1,OktNed1+30,OktNed1+37)</f>
        <v>44502</v>
      </c>
      <c r="E8" s="52">
        <f>IF(DAY(OktNed1)=1,OktNed1+31,OktNed1+38)</f>
        <v>44503</v>
      </c>
      <c r="F8" s="52">
        <f>IF(DAY(OktNed1)=1,OktNed1+32,OktNed1+39)</f>
        <v>44504</v>
      </c>
      <c r="G8" s="52">
        <f>IF(DAY(OktNed1)=1,OktNed1+33,OktNed1+40)</f>
        <v>44505</v>
      </c>
      <c r="H8" s="52">
        <f>IF(DAY(OktNed1)=1,OktNed1+34,OktNed1+41)</f>
        <v>44506</v>
      </c>
      <c r="I8" s="52">
        <f>IF(DAY(OktNed1)=1,OktNed1+35,OktNed1+42)</f>
        <v>44507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28</v>
      </c>
      <c r="B11" s="34" t="s">
        <v>5</v>
      </c>
      <c r="C11" s="58" t="s">
        <v>13</v>
      </c>
      <c r="D11" s="59"/>
      <c r="E11" s="58" t="s">
        <v>18</v>
      </c>
      <c r="F11" s="59"/>
      <c r="G11" s="58" t="s">
        <v>19</v>
      </c>
      <c r="H11" s="59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54" t="s">
        <v>6</v>
      </c>
      <c r="C12" s="63"/>
      <c r="D12" s="63"/>
      <c r="E12" s="63" t="s">
        <v>6</v>
      </c>
      <c r="F12" s="63"/>
      <c r="G12" s="63"/>
      <c r="H12" s="63"/>
      <c r="I12" s="56" t="s">
        <v>6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61"/>
      <c r="D13" s="61"/>
      <c r="E13" s="61" t="s">
        <v>7</v>
      </c>
      <c r="F13" s="61"/>
      <c r="G13" s="61"/>
      <c r="H13" s="61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4"/>
      <c r="C14" s="63" t="s">
        <v>14</v>
      </c>
      <c r="D14" s="63"/>
      <c r="E14" s="63"/>
      <c r="F14" s="63"/>
      <c r="G14" s="63" t="s">
        <v>14</v>
      </c>
      <c r="H14" s="63"/>
      <c r="I14" s="56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61" t="s">
        <v>15</v>
      </c>
      <c r="D15" s="61"/>
      <c r="E15" s="61"/>
      <c r="F15" s="61"/>
      <c r="G15" s="61" t="s">
        <v>15</v>
      </c>
      <c r="H15" s="61"/>
      <c r="I15" s="41"/>
      <c r="J15" s="16"/>
      <c r="K15" s="3"/>
      <c r="L15" s="10"/>
    </row>
    <row r="16" spans="1:12" ht="30" customHeight="1" x14ac:dyDescent="0.25">
      <c r="A16" s="35" t="s">
        <v>1</v>
      </c>
      <c r="B16" s="54" t="s">
        <v>8</v>
      </c>
      <c r="C16" s="63"/>
      <c r="D16" s="63"/>
      <c r="E16" s="63" t="s">
        <v>8</v>
      </c>
      <c r="F16" s="63"/>
      <c r="G16" s="63"/>
      <c r="H16" s="63"/>
      <c r="I16" s="57" t="s">
        <v>8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61"/>
      <c r="D17" s="61"/>
      <c r="E17" s="61" t="s">
        <v>9</v>
      </c>
      <c r="F17" s="61"/>
      <c r="G17" s="61"/>
      <c r="H17" s="61"/>
      <c r="I17" s="41" t="s">
        <v>9</v>
      </c>
      <c r="J17" s="16"/>
      <c r="K17" s="3"/>
      <c r="L17" s="10"/>
    </row>
    <row r="18" spans="1:12" ht="30" customHeight="1" x14ac:dyDescent="0.25">
      <c r="A18" s="35" t="s">
        <v>1</v>
      </c>
      <c r="B18" s="54"/>
      <c r="C18" s="63"/>
      <c r="D18" s="63"/>
      <c r="E18" s="63"/>
      <c r="F18" s="63"/>
      <c r="G18" s="63"/>
      <c r="H18" s="63"/>
      <c r="I18" s="56"/>
      <c r="J18" s="16"/>
      <c r="K18" s="3"/>
      <c r="L18" s="10"/>
    </row>
    <row r="19" spans="1:12" ht="30" customHeight="1" x14ac:dyDescent="0.25">
      <c r="A19" s="35" t="s">
        <v>2</v>
      </c>
      <c r="B19" s="36"/>
      <c r="C19" s="61"/>
      <c r="D19" s="61"/>
      <c r="E19" s="61"/>
      <c r="F19" s="61"/>
      <c r="G19" s="61"/>
      <c r="H19" s="61"/>
      <c r="I19" s="42"/>
      <c r="J19" s="1"/>
      <c r="K19" s="31"/>
      <c r="L19" s="32"/>
    </row>
    <row r="20" spans="1:12" ht="30" customHeight="1" x14ac:dyDescent="0.25">
      <c r="A20" s="35" t="s">
        <v>1</v>
      </c>
      <c r="B20" s="54"/>
      <c r="C20" s="63"/>
      <c r="D20" s="63"/>
      <c r="E20" s="63"/>
      <c r="F20" s="63"/>
      <c r="G20" s="63"/>
      <c r="H20" s="63"/>
      <c r="I20" s="56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61"/>
      <c r="D21" s="61"/>
      <c r="E21" s="61"/>
      <c r="F21" s="61"/>
      <c r="G21" s="61"/>
      <c r="H21" s="61"/>
      <c r="I21" s="41"/>
      <c r="J21" s="16"/>
      <c r="K21" s="3"/>
      <c r="L21" s="10"/>
    </row>
    <row r="22" spans="1:12" ht="30" customHeight="1" x14ac:dyDescent="0.25">
      <c r="A22" s="35" t="s">
        <v>1</v>
      </c>
      <c r="B22" s="54"/>
      <c r="C22" s="63"/>
      <c r="D22" s="63"/>
      <c r="E22" s="63"/>
      <c r="F22" s="63"/>
      <c r="G22" s="63"/>
      <c r="H22" s="63"/>
      <c r="I22" s="56"/>
      <c r="J22" s="16"/>
      <c r="K22" s="3"/>
      <c r="L22" s="10"/>
    </row>
    <row r="23" spans="1:12" ht="30" customHeight="1" x14ac:dyDescent="0.25">
      <c r="A23" s="35" t="s">
        <v>2</v>
      </c>
      <c r="B23" s="36"/>
      <c r="C23" s="61"/>
      <c r="D23" s="61"/>
      <c r="E23" s="61"/>
      <c r="F23" s="61"/>
      <c r="G23" s="61"/>
      <c r="H23" s="61"/>
      <c r="I23" s="41"/>
      <c r="J23" s="16"/>
      <c r="K23" s="3"/>
      <c r="L23" s="10"/>
    </row>
    <row r="24" spans="1:12" ht="30" customHeight="1" x14ac:dyDescent="0.25">
      <c r="A24" s="35" t="s">
        <v>1</v>
      </c>
      <c r="B24" s="54" t="s">
        <v>10</v>
      </c>
      <c r="C24" s="63"/>
      <c r="D24" s="63"/>
      <c r="E24" s="63" t="s">
        <v>10</v>
      </c>
      <c r="F24" s="63"/>
      <c r="G24" s="63"/>
      <c r="H24" s="63"/>
      <c r="I24" s="56" t="s">
        <v>10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61"/>
      <c r="D25" s="61"/>
      <c r="E25" s="61" t="s">
        <v>11</v>
      </c>
      <c r="F25" s="61"/>
      <c r="G25" s="61"/>
      <c r="H25" s="61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4"/>
      <c r="C26" s="63"/>
      <c r="D26" s="63"/>
      <c r="E26" s="63"/>
      <c r="F26" s="63"/>
      <c r="G26" s="63"/>
      <c r="H26" s="63"/>
      <c r="I26" s="56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61"/>
      <c r="D27" s="61"/>
      <c r="E27" s="61"/>
      <c r="F27" s="61"/>
      <c r="G27" s="61"/>
      <c r="H27" s="61"/>
      <c r="I27" s="41"/>
      <c r="J27" s="16"/>
      <c r="K27" s="3"/>
      <c r="L27" s="10"/>
    </row>
    <row r="28" spans="1:12" ht="30" customHeight="1" x14ac:dyDescent="0.25">
      <c r="A28" s="35" t="s">
        <v>1</v>
      </c>
      <c r="B28" s="54"/>
      <c r="C28" s="63" t="s">
        <v>16</v>
      </c>
      <c r="D28" s="63"/>
      <c r="E28" s="63"/>
      <c r="F28" s="63"/>
      <c r="G28" s="63" t="s">
        <v>16</v>
      </c>
      <c r="H28" s="63"/>
      <c r="I28" s="56"/>
      <c r="J28" s="16"/>
      <c r="K28" s="3"/>
      <c r="L28" s="10"/>
    </row>
    <row r="29" spans="1:12" ht="30" customHeight="1" x14ac:dyDescent="0.25">
      <c r="A29" s="35" t="s">
        <v>2</v>
      </c>
      <c r="B29" s="36"/>
      <c r="C29" s="61" t="s">
        <v>17</v>
      </c>
      <c r="D29" s="61"/>
      <c r="E29" s="61"/>
      <c r="F29" s="61"/>
      <c r="G29" s="61" t="s">
        <v>17</v>
      </c>
      <c r="H29" s="61"/>
      <c r="I29" s="41"/>
      <c r="J29" s="16"/>
      <c r="K29" s="3"/>
      <c r="L29" s="10"/>
    </row>
    <row r="30" spans="1:12" ht="30" customHeight="1" x14ac:dyDescent="0.25">
      <c r="A30" s="35" t="s">
        <v>1</v>
      </c>
      <c r="B30" s="54"/>
      <c r="C30" s="63"/>
      <c r="D30" s="63"/>
      <c r="E30" s="63"/>
      <c r="F30" s="63"/>
      <c r="G30" s="63"/>
      <c r="H30" s="63"/>
      <c r="I30" s="56"/>
      <c r="J30" s="16"/>
      <c r="K30" s="3"/>
      <c r="L30" s="10"/>
    </row>
    <row r="31" spans="1:12" ht="30" customHeight="1" x14ac:dyDescent="0.25">
      <c r="A31" s="35" t="s">
        <v>2</v>
      </c>
      <c r="B31" s="39"/>
      <c r="C31" s="62"/>
      <c r="D31" s="62"/>
      <c r="E31" s="62"/>
      <c r="F31" s="62"/>
      <c r="G31" s="62"/>
      <c r="H31" s="62"/>
      <c r="I31" s="40"/>
      <c r="J31" s="16"/>
      <c r="K31" s="27"/>
      <c r="L31" s="49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22" priority="8" stopIfTrue="1">
      <formula>DAY(C3)&gt;8</formula>
    </cfRule>
  </conditionalFormatting>
  <conditionalFormatting sqref="C7:I8">
    <cfRule type="expression" dxfId="21" priority="7" stopIfTrue="1">
      <formula>AND(DAY(C7)&gt;=1,DAY(C7)&lt;=15)</formula>
    </cfRule>
  </conditionalFormatting>
  <conditionalFormatting sqref="C3:I8">
    <cfRule type="expression" dxfId="20" priority="9">
      <formula>VLOOKUP(DAY(C3),DanOddajeNaloge,1,FALSE)=DAY(C3)</formula>
    </cfRule>
  </conditionalFormatting>
  <conditionalFormatting sqref="B13:I13 B15:I15 B17:I17 B19:I19 B21:I21 B23:I23 B25:I25 B27:I27 B29:I29 B31:I31">
    <cfRule type="expression" dxfId="19" priority="6">
      <formula>B13&lt;&gt;""</formula>
    </cfRule>
  </conditionalFormatting>
  <conditionalFormatting sqref="B12:I12 B14:I14 B16:I16 B18:I18 B20:I20 B22:I22 B24:I24 B26:I26 B28:I28 B30:I30">
    <cfRule type="expression" dxfId="18" priority="5">
      <formula>B12&lt;&gt;""</formula>
    </cfRule>
  </conditionalFormatting>
  <conditionalFormatting sqref="B13:I13 B15:I15 B17:I17 B19:I19 B21:I21 B23:I23 B25:I25 B27:I27 B29:I29">
    <cfRule type="expression" dxfId="17" priority="4">
      <formula>COLUMN(B11)&gt;2</formula>
    </cfRule>
    <cfRule type="expression" dxfId="16" priority="2">
      <formula>COLUMN(B13)&gt;=2</formula>
    </cfRule>
  </conditionalFormatting>
  <conditionalFormatting sqref="B31:I31">
    <cfRule type="expression" dxfId="15" priority="3">
      <formula>COLUMN(B12)&gt;2</formula>
    </cfRule>
  </conditionalFormatting>
  <conditionalFormatting sqref="B12:I31">
    <cfRule type="expression" dxfId="14" priority="1">
      <formula>COLUMN(B12)&gt;2</formula>
    </cfRule>
  </conditionalFormatting>
  <dataValidations count="13">
    <dataValidation allowBlank="1" showInputMessage="1" showErrorMessage="1" prompt="V koledarju za oktober so samodejno označeni vnosi s seznama nalog za ta mesec. Temnejše pisave so naloge. Svetlejše pisave so dnevi, ki sodijo v prejšnji ali naslednji mesec." sqref="B2" xr:uid="{00000000-0002-0000-0900-000000000000}"/>
    <dataValidation allowBlank="1" showInputMessage="1" showErrorMessage="1" prompt="Samodejno posodobljeno koledarsko leto. Če želite spremeniti leto, posodobite celico B1 na januarskem delovnem listu." sqref="B1" xr:uid="{00000000-0002-0000-0900-000001000000}"/>
    <dataValidation allowBlank="1" showInputMessage="1" showErrorMessage="1" prompt="Pripravite tedenski urnik in ustvarite seznam nalog na tem delovnem listu. Naloge so samodejno označene v mesečnem koledarju za leto, vneseno v celici B1 na januarskem delovnem listu." sqref="A1" xr:uid="{00000000-0002-0000-0900-000002000000}"/>
    <dataValidation allowBlank="1" showInputMessage="1" showErrorMessage="1" prompt="Celice C2:I2 vsebujejo dneve v tednu." sqref="C2" xr:uid="{00000000-0002-0000-0900-000003000000}"/>
    <dataValidation allowBlank="1" showInputMessage="1" showErrorMessage="1" prompt="Če v tej celici ni številke 1, potem gre za dan iz prejšnjega meseca. V celicah C3:I8 so datumi trenutnega meseca." sqref="C3" xr:uid="{00000000-0002-0000-0900-000004000000}"/>
    <dataValidation allowBlank="1" showInputMessage="1" showErrorMessage="1" prompt="Če je v tej vrstici število, ki je manjše od prejšnjega števila ali vrstice števil, potem ta vrstica vsebuje datume za naslednji koledarski mesec." sqref="C8" xr:uid="{00000000-0002-0000-0900-000005000000}"/>
    <dataValidation allowBlank="1" showInputMessage="1" showErrorMessage="1" prompt="V to vrstico vnesite čas, naveden v stolpcih B–I." sqref="B12" xr:uid="{00000000-0002-0000-0900-000006000000}"/>
    <dataValidation allowBlank="1" showInputMessage="1" showErrorMessage="1" prompt="V to vrstico vnesite predavanje, navedena v stolpcih B–I." sqref="B13" xr:uid="{00000000-0002-0000-0900-000007000000}"/>
    <dataValidation allowBlank="1" showInputMessage="1" showErrorMessage="1" prompt="Dnevi v tednu so združeni v tem stolpcu s 6 vrsticami za naloge za vsak združen delavnik v mesecu. Če želite dodati več nalog, vstavite nove vrstice. V koledarju na levi bodo elementi označeni." sqref="J1" xr:uid="{00000000-0002-0000-0900-000008000000}"/>
    <dataValidation allowBlank="1" showInputMessage="1" showErrorMessage="1" prompt="V ta stolpec vnesite podrobnosti naloge, ki ustrezajo delavniku v stolpcu J in dnevu v stolpcu K za koledarski mesec na levi." sqref="L1" xr:uid="{00000000-0002-0000-0900-000009000000}"/>
    <dataValidation allowBlank="1" showInputMessage="1" showErrorMessage="1" prompt="V ta stolpec vnesite dan v mesecu za dodeljeno nalogo, ki ustreza delavniku v stolpcu J. Na ta dan bo označena naloga v koledarju na levi." sqref="K1" xr:uid="{00000000-0002-0000-0900-00000A000000}"/>
    <dataValidation allowBlank="1" showInputMessage="1" showErrorMessage="1" prompt="V tej vrstici so delovni dnevi, od ponedeljka do petka." sqref="B11" xr:uid="{00000000-0002-0000-0900-00000B000000}"/>
    <dataValidation allowBlank="1" showInputMessage="1" showErrorMessage="1" prompt="Vnesite uro predavanja in pod njo, v novo vrstico, razredu, ime predavanja za vsak delovni dan v stolpce od B do I. Ta vzorec ponovite za vsa predavanja v naslednjih vrsticah." sqref="B10" xr:uid="{00000000-0002-0000-09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KoledarskoLeto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39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52">
        <f>IF(DAY(NovNed1)=1,NovNed1-6,NovNed1+1)</f>
        <v>44501</v>
      </c>
      <c r="D3" s="52">
        <f>IF(DAY(NovNed1)=1,NovNed1-5,NovNed1+2)</f>
        <v>44502</v>
      </c>
      <c r="E3" s="52">
        <f>IF(DAY(NovNed1)=1,NovNed1-4,NovNed1+3)</f>
        <v>44503</v>
      </c>
      <c r="F3" s="52">
        <f>IF(DAY(NovNed1)=1,NovNed1-3,NovNed1+4)</f>
        <v>44504</v>
      </c>
      <c r="G3" s="52">
        <f>IF(DAY(NovNed1)=1,NovNed1-2,NovNed1+5)</f>
        <v>44505</v>
      </c>
      <c r="H3" s="52">
        <f>IF(DAY(NovNed1)=1,NovNed1-1,NovNed1+6)</f>
        <v>44506</v>
      </c>
      <c r="I3" s="52">
        <f>IF(DAY(NovNed1)=1,NovNed1,NovNed1+7)</f>
        <v>44507</v>
      </c>
      <c r="J3" s="16"/>
      <c r="K3" s="3"/>
      <c r="L3" s="10"/>
    </row>
    <row r="4" spans="1:12" ht="30" customHeight="1" x14ac:dyDescent="0.25">
      <c r="A4" s="19"/>
      <c r="C4" s="52">
        <f>IF(DAY(NovNed1)=1,NovNed1+1,NovNed1+8)</f>
        <v>44508</v>
      </c>
      <c r="D4" s="52">
        <f>IF(DAY(NovNed1)=1,NovNed1+2,NovNed1+9)</f>
        <v>44509</v>
      </c>
      <c r="E4" s="52">
        <f>IF(DAY(NovNed1)=1,NovNed1+3,NovNed1+10)</f>
        <v>44510</v>
      </c>
      <c r="F4" s="52">
        <f>IF(DAY(NovNed1)=1,NovNed1+4,NovNed1+11)</f>
        <v>44511</v>
      </c>
      <c r="G4" s="52">
        <f>IF(DAY(NovNed1)=1,NovNed1+5,NovNed1+12)</f>
        <v>44512</v>
      </c>
      <c r="H4" s="52">
        <f>IF(DAY(NovNed1)=1,NovNed1+6,NovNed1+13)</f>
        <v>44513</v>
      </c>
      <c r="I4" s="52">
        <f>IF(DAY(NovNed1)=1,NovNed1+7,NovNed1+14)</f>
        <v>44514</v>
      </c>
      <c r="J4" s="16"/>
      <c r="K4" s="3"/>
      <c r="L4" s="10"/>
    </row>
    <row r="5" spans="1:12" ht="30" customHeight="1" x14ac:dyDescent="0.25">
      <c r="A5" s="19"/>
      <c r="C5" s="52">
        <f>IF(DAY(NovNed1)=1,NovNed1+8,NovNed1+15)</f>
        <v>44515</v>
      </c>
      <c r="D5" s="52">
        <f>IF(DAY(NovNed1)=1,NovNed1+9,NovNed1+16)</f>
        <v>44516</v>
      </c>
      <c r="E5" s="52">
        <f>IF(DAY(NovNed1)=1,NovNed1+10,NovNed1+17)</f>
        <v>44517</v>
      </c>
      <c r="F5" s="52">
        <f>IF(DAY(NovNed1)=1,NovNed1+11,NovNed1+18)</f>
        <v>44518</v>
      </c>
      <c r="G5" s="52">
        <f>IF(DAY(NovNed1)=1,NovNed1+12,NovNed1+19)</f>
        <v>44519</v>
      </c>
      <c r="H5" s="52">
        <f>IF(DAY(NovNed1)=1,NovNed1+13,NovNed1+20)</f>
        <v>44520</v>
      </c>
      <c r="I5" s="52">
        <f>IF(DAY(NovNed1)=1,NovNed1+14,NovNed1+21)</f>
        <v>44521</v>
      </c>
      <c r="J5" s="16"/>
      <c r="K5" s="3"/>
      <c r="L5" s="10"/>
    </row>
    <row r="6" spans="1:12" ht="30" customHeight="1" x14ac:dyDescent="0.25">
      <c r="A6" s="19"/>
      <c r="C6" s="52">
        <f>IF(DAY(NovNed1)=1,NovNed1+15,NovNed1+22)</f>
        <v>44522</v>
      </c>
      <c r="D6" s="52">
        <f>IF(DAY(NovNed1)=1,NovNed1+16,NovNed1+23)</f>
        <v>44523</v>
      </c>
      <c r="E6" s="52">
        <f>IF(DAY(NovNed1)=1,NovNed1+17,NovNed1+24)</f>
        <v>44524</v>
      </c>
      <c r="F6" s="52">
        <f>IF(DAY(NovNed1)=1,NovNed1+18,NovNed1+25)</f>
        <v>44525</v>
      </c>
      <c r="G6" s="52">
        <f>IF(DAY(NovNed1)=1,NovNed1+19,NovNed1+26)</f>
        <v>44526</v>
      </c>
      <c r="H6" s="52">
        <f>IF(DAY(NovNed1)=1,NovNed1+20,NovNed1+27)</f>
        <v>44527</v>
      </c>
      <c r="I6" s="52">
        <f>IF(DAY(NovNed1)=1,NovNed1+21,NovNed1+28)</f>
        <v>44528</v>
      </c>
      <c r="J6" s="16"/>
      <c r="K6" s="3"/>
      <c r="L6" s="10"/>
    </row>
    <row r="7" spans="1:12" ht="30" customHeight="1" x14ac:dyDescent="0.25">
      <c r="A7" s="19"/>
      <c r="C7" s="52">
        <f>IF(DAY(NovNed1)=1,NovNed1+22,NovNed1+29)</f>
        <v>44529</v>
      </c>
      <c r="D7" s="52">
        <f>IF(DAY(NovNed1)=1,NovNed1+23,NovNed1+30)</f>
        <v>44530</v>
      </c>
      <c r="E7" s="52">
        <f>IF(DAY(NovNed1)=1,NovNed1+24,NovNed1+31)</f>
        <v>44531</v>
      </c>
      <c r="F7" s="52">
        <f>IF(DAY(NovNed1)=1,NovNed1+25,NovNed1+32)</f>
        <v>44532</v>
      </c>
      <c r="G7" s="52">
        <f>IF(DAY(NovNed1)=1,NovNed1+26,NovNed1+33)</f>
        <v>44533</v>
      </c>
      <c r="H7" s="52">
        <f>IF(DAY(NovNed1)=1,NovNed1+27,NovNed1+34)</f>
        <v>44534</v>
      </c>
      <c r="I7" s="52">
        <f>IF(DAY(NovNed1)=1,NovNed1+28,NovNed1+35)</f>
        <v>44535</v>
      </c>
      <c r="J7" s="1"/>
      <c r="K7" s="31"/>
      <c r="L7" s="26"/>
    </row>
    <row r="8" spans="1:12" ht="30" customHeight="1" x14ac:dyDescent="0.25">
      <c r="A8" s="19"/>
      <c r="B8" s="25"/>
      <c r="C8" s="52">
        <f>IF(DAY(NovNed1)=1,NovNed1+29,NovNed1+36)</f>
        <v>44536</v>
      </c>
      <c r="D8" s="52">
        <f>IF(DAY(NovNed1)=1,NovNed1+30,NovNed1+37)</f>
        <v>44537</v>
      </c>
      <c r="E8" s="52">
        <f>IF(DAY(NovNed1)=1,NovNed1+31,NovNed1+38)</f>
        <v>44538</v>
      </c>
      <c r="F8" s="52">
        <f>IF(DAY(NovNed1)=1,NovNed1+32,NovNed1+39)</f>
        <v>44539</v>
      </c>
      <c r="G8" s="52">
        <f>IF(DAY(NovNed1)=1,NovNed1+33,NovNed1+40)</f>
        <v>44540</v>
      </c>
      <c r="H8" s="52">
        <f>IF(DAY(NovNed1)=1,NovNed1+34,NovNed1+41)</f>
        <v>44541</v>
      </c>
      <c r="I8" s="52">
        <f>IF(DAY(NovNed1)=1,NovNed1+35,NovNed1+42)</f>
        <v>44542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28</v>
      </c>
      <c r="B11" s="34" t="s">
        <v>5</v>
      </c>
      <c r="C11" s="58" t="s">
        <v>13</v>
      </c>
      <c r="D11" s="59"/>
      <c r="E11" s="58" t="s">
        <v>18</v>
      </c>
      <c r="F11" s="59"/>
      <c r="G11" s="58" t="s">
        <v>19</v>
      </c>
      <c r="H11" s="59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54" t="s">
        <v>6</v>
      </c>
      <c r="C12" s="60"/>
      <c r="D12" s="60"/>
      <c r="E12" s="60" t="s">
        <v>6</v>
      </c>
      <c r="F12" s="60"/>
      <c r="G12" s="60"/>
      <c r="H12" s="60"/>
      <c r="I12" s="56" t="s">
        <v>6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61"/>
      <c r="D13" s="61"/>
      <c r="E13" s="61" t="s">
        <v>7</v>
      </c>
      <c r="F13" s="61"/>
      <c r="G13" s="61"/>
      <c r="H13" s="61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4"/>
      <c r="C14" s="60" t="s">
        <v>14</v>
      </c>
      <c r="D14" s="60"/>
      <c r="E14" s="60"/>
      <c r="F14" s="60"/>
      <c r="G14" s="60" t="s">
        <v>14</v>
      </c>
      <c r="H14" s="60"/>
      <c r="I14" s="56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61" t="s">
        <v>15</v>
      </c>
      <c r="D15" s="61"/>
      <c r="E15" s="61"/>
      <c r="F15" s="61"/>
      <c r="G15" s="61" t="s">
        <v>15</v>
      </c>
      <c r="H15" s="61"/>
      <c r="I15" s="41"/>
      <c r="J15" s="16"/>
      <c r="K15" s="3"/>
      <c r="L15" s="10"/>
    </row>
    <row r="16" spans="1:12" ht="30" customHeight="1" x14ac:dyDescent="0.25">
      <c r="A16" s="35" t="s">
        <v>1</v>
      </c>
      <c r="B16" s="54" t="s">
        <v>8</v>
      </c>
      <c r="C16" s="60"/>
      <c r="D16" s="60"/>
      <c r="E16" s="60" t="s">
        <v>8</v>
      </c>
      <c r="F16" s="60"/>
      <c r="G16" s="60"/>
      <c r="H16" s="60"/>
      <c r="I16" s="57" t="s">
        <v>8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61"/>
      <c r="D17" s="61"/>
      <c r="E17" s="61" t="s">
        <v>9</v>
      </c>
      <c r="F17" s="61"/>
      <c r="G17" s="61"/>
      <c r="H17" s="61"/>
      <c r="I17" s="41" t="s">
        <v>9</v>
      </c>
      <c r="J17" s="16"/>
      <c r="K17" s="3"/>
      <c r="L17" s="10"/>
    </row>
    <row r="18" spans="1:12" ht="30" customHeight="1" x14ac:dyDescent="0.25">
      <c r="A18" s="35" t="s">
        <v>1</v>
      </c>
      <c r="B18" s="54"/>
      <c r="C18" s="60"/>
      <c r="D18" s="60"/>
      <c r="E18" s="60"/>
      <c r="F18" s="60"/>
      <c r="G18" s="60"/>
      <c r="H18" s="60"/>
      <c r="I18" s="56"/>
      <c r="J18" s="16"/>
      <c r="K18" s="3"/>
      <c r="L18" s="10"/>
    </row>
    <row r="19" spans="1:12" ht="30" customHeight="1" x14ac:dyDescent="0.25">
      <c r="A19" s="35" t="s">
        <v>2</v>
      </c>
      <c r="B19" s="36"/>
      <c r="C19" s="61"/>
      <c r="D19" s="61"/>
      <c r="E19" s="61"/>
      <c r="F19" s="61"/>
      <c r="G19" s="61"/>
      <c r="H19" s="61"/>
      <c r="I19" s="42"/>
      <c r="J19" s="1"/>
      <c r="K19" s="31"/>
      <c r="L19" s="32"/>
    </row>
    <row r="20" spans="1:12" ht="30" customHeight="1" x14ac:dyDescent="0.25">
      <c r="A20" s="35" t="s">
        <v>1</v>
      </c>
      <c r="B20" s="54"/>
      <c r="C20" s="60"/>
      <c r="D20" s="60"/>
      <c r="E20" s="60"/>
      <c r="F20" s="60"/>
      <c r="G20" s="60"/>
      <c r="H20" s="60"/>
      <c r="I20" s="56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61"/>
      <c r="D21" s="61"/>
      <c r="E21" s="61"/>
      <c r="F21" s="61"/>
      <c r="G21" s="61"/>
      <c r="H21" s="61"/>
      <c r="I21" s="41"/>
      <c r="J21" s="16"/>
      <c r="K21" s="3"/>
      <c r="L21" s="10"/>
    </row>
    <row r="22" spans="1:12" ht="30" customHeight="1" x14ac:dyDescent="0.25">
      <c r="A22" s="35" t="s">
        <v>1</v>
      </c>
      <c r="B22" s="54"/>
      <c r="C22" s="60"/>
      <c r="D22" s="60"/>
      <c r="E22" s="60"/>
      <c r="F22" s="60"/>
      <c r="G22" s="60"/>
      <c r="H22" s="60"/>
      <c r="I22" s="56"/>
      <c r="J22" s="16"/>
      <c r="K22" s="3"/>
      <c r="L22" s="10"/>
    </row>
    <row r="23" spans="1:12" ht="30" customHeight="1" x14ac:dyDescent="0.25">
      <c r="A23" s="35" t="s">
        <v>2</v>
      </c>
      <c r="B23" s="36"/>
      <c r="C23" s="61"/>
      <c r="D23" s="61"/>
      <c r="E23" s="61"/>
      <c r="F23" s="61"/>
      <c r="G23" s="61"/>
      <c r="H23" s="61"/>
      <c r="I23" s="41"/>
      <c r="J23" s="16"/>
      <c r="K23" s="3"/>
      <c r="L23" s="10"/>
    </row>
    <row r="24" spans="1:12" ht="30" customHeight="1" x14ac:dyDescent="0.25">
      <c r="A24" s="35" t="s">
        <v>1</v>
      </c>
      <c r="B24" s="54" t="s">
        <v>10</v>
      </c>
      <c r="C24" s="60"/>
      <c r="D24" s="60"/>
      <c r="E24" s="60" t="s">
        <v>10</v>
      </c>
      <c r="F24" s="60"/>
      <c r="G24" s="60"/>
      <c r="H24" s="60"/>
      <c r="I24" s="56" t="s">
        <v>10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61"/>
      <c r="D25" s="61"/>
      <c r="E25" s="61" t="s">
        <v>11</v>
      </c>
      <c r="F25" s="61"/>
      <c r="G25" s="61"/>
      <c r="H25" s="61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4"/>
      <c r="C26" s="60"/>
      <c r="D26" s="60"/>
      <c r="E26" s="60"/>
      <c r="F26" s="60"/>
      <c r="G26" s="60"/>
      <c r="H26" s="60"/>
      <c r="I26" s="56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61"/>
      <c r="D27" s="61"/>
      <c r="E27" s="61"/>
      <c r="F27" s="61"/>
      <c r="G27" s="61"/>
      <c r="H27" s="61"/>
      <c r="I27" s="41"/>
      <c r="J27" s="16"/>
      <c r="K27" s="3"/>
      <c r="L27" s="10"/>
    </row>
    <row r="28" spans="1:12" ht="30" customHeight="1" x14ac:dyDescent="0.25">
      <c r="A28" s="35" t="s">
        <v>1</v>
      </c>
      <c r="B28" s="54"/>
      <c r="C28" s="60" t="s">
        <v>16</v>
      </c>
      <c r="D28" s="60"/>
      <c r="E28" s="60"/>
      <c r="F28" s="60"/>
      <c r="G28" s="60" t="s">
        <v>16</v>
      </c>
      <c r="H28" s="60"/>
      <c r="I28" s="56"/>
      <c r="J28" s="16"/>
      <c r="K28" s="3"/>
      <c r="L28" s="10"/>
    </row>
    <row r="29" spans="1:12" ht="30" customHeight="1" x14ac:dyDescent="0.25">
      <c r="A29" s="35" t="s">
        <v>2</v>
      </c>
      <c r="B29" s="36"/>
      <c r="C29" s="61" t="s">
        <v>17</v>
      </c>
      <c r="D29" s="61"/>
      <c r="E29" s="61"/>
      <c r="F29" s="61"/>
      <c r="G29" s="61" t="s">
        <v>17</v>
      </c>
      <c r="H29" s="61"/>
      <c r="I29" s="41"/>
      <c r="J29" s="16"/>
      <c r="K29" s="3"/>
      <c r="L29" s="10"/>
    </row>
    <row r="30" spans="1:12" ht="30" customHeight="1" x14ac:dyDescent="0.25">
      <c r="A30" s="35" t="s">
        <v>1</v>
      </c>
      <c r="B30" s="54"/>
      <c r="C30" s="60"/>
      <c r="D30" s="60"/>
      <c r="E30" s="60"/>
      <c r="F30" s="60"/>
      <c r="G30" s="60"/>
      <c r="H30" s="60"/>
      <c r="I30" s="56"/>
      <c r="J30" s="16"/>
      <c r="K30" s="3"/>
      <c r="L30" s="10"/>
    </row>
    <row r="31" spans="1:12" ht="30" customHeight="1" x14ac:dyDescent="0.25">
      <c r="A31" s="35" t="s">
        <v>2</v>
      </c>
      <c r="B31" s="44"/>
      <c r="C31" s="65"/>
      <c r="D31" s="65"/>
      <c r="E31" s="65"/>
      <c r="F31" s="65"/>
      <c r="G31" s="65"/>
      <c r="H31" s="65"/>
      <c r="I31" s="45"/>
      <c r="J31" s="16"/>
      <c r="K31" s="27"/>
      <c r="L31" s="49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13" priority="6" stopIfTrue="1">
      <formula>DAY(C3)&gt;8</formula>
    </cfRule>
  </conditionalFormatting>
  <conditionalFormatting sqref="C7:I8">
    <cfRule type="expression" dxfId="12" priority="5" stopIfTrue="1">
      <formula>AND(DAY(C7)&gt;=1,DAY(C7)&lt;=15)</formula>
    </cfRule>
  </conditionalFormatting>
  <conditionalFormatting sqref="C3:I8">
    <cfRule type="expression" dxfId="11" priority="7">
      <formula>VLOOKUP(DAY(C3),DanOddajeNaloge,1,FALSE)=DAY(C3)</formula>
    </cfRule>
  </conditionalFormatting>
  <conditionalFormatting sqref="B13:I13 B15:I15 B17:I17 B19:I19 B21:I21 B23:I23 B25:I25 B27:I27 B29:I29 B31:I31">
    <cfRule type="expression" dxfId="10" priority="4">
      <formula>B13&lt;&gt;""</formula>
    </cfRule>
  </conditionalFormatting>
  <conditionalFormatting sqref="B12:I12 B14:I14 B16:I16 B18:I18 B20:I20 B22:I22 B24:I24 B26:I26 B28:I28 B30:I30">
    <cfRule type="expression" dxfId="9" priority="3">
      <formula>B12&lt;&gt;""</formula>
    </cfRule>
  </conditionalFormatting>
  <conditionalFormatting sqref="B13:I13 B15:I15 B17:I17 B19:I19 B21:I21 B23:I23 B25:I25 B27:I27 B29:I29">
    <cfRule type="expression" dxfId="8" priority="2">
      <formula>COLUMN(B13)&gt;=2</formula>
    </cfRule>
  </conditionalFormatting>
  <conditionalFormatting sqref="B12:I31">
    <cfRule type="expression" dxfId="7" priority="1">
      <formula>COLUMN(B12)&gt;2</formula>
    </cfRule>
  </conditionalFormatting>
  <dataValidations xWindow="136" yWindow="382" count="13">
    <dataValidation allowBlank="1" showInputMessage="1" showErrorMessage="1" prompt="V to vrstico vnesite predavanje, navedena v stolpcih B–I." sqref="B13" xr:uid="{00000000-0002-0000-0A00-000000000000}"/>
    <dataValidation allowBlank="1" showInputMessage="1" showErrorMessage="1" prompt="V to vrstico vnesite čas, naveden v stolpcih B–I." sqref="B12" xr:uid="{00000000-0002-0000-0A00-000001000000}"/>
    <dataValidation allowBlank="1" showInputMessage="1" showErrorMessage="1" prompt="Če je v tej vrstici število, ki je manjše od prejšnjega števila ali vrstice števil, potem ta vrstica vsebuje datume za naslednji koledarski mesec." sqref="C8" xr:uid="{00000000-0002-0000-0A00-000002000000}"/>
    <dataValidation allowBlank="1" showInputMessage="1" showErrorMessage="1" prompt="Če v tej celici ni številke 1, potem gre za dan iz prejšnjega meseca. V celicah C3:I8 so datumi trenutnega meseca." sqref="C3" xr:uid="{00000000-0002-0000-0A00-000003000000}"/>
    <dataValidation allowBlank="1" showInputMessage="1" showErrorMessage="1" prompt="Celice C2:I2 vsebujejo dneve v tednu." sqref="C2" xr:uid="{00000000-0002-0000-0A00-000004000000}"/>
    <dataValidation allowBlank="1" showInputMessage="1" showErrorMessage="1" prompt="Pripravite tedenski urnik in ustvarite seznam nalog na tem delovnem listu. Naloge so samodejno označene v mesečnem koledarju za leto, vneseno v celici B1 na januarskem delovnem listu." sqref="A1" xr:uid="{00000000-0002-0000-0A00-000005000000}"/>
    <dataValidation allowBlank="1" showInputMessage="1" showErrorMessage="1" prompt="Samodejno posodobljeno koledarsko leto. Če želite spremeniti leto, posodobite celico B1 na januarskem delovnem listu." sqref="B1" xr:uid="{00000000-0002-0000-0A00-000006000000}"/>
    <dataValidation allowBlank="1" showInputMessage="1" showErrorMessage="1" prompt="V koledarju za november so samodejno označeni vnosi s seznama nalog za ta mesec. Temnejše pisave so naloge. Svetlejše pisave so dnevi, ki sodijo v prejšnji ali naslednji mesec." sqref="B2" xr:uid="{00000000-0002-0000-0A00-000007000000}"/>
    <dataValidation allowBlank="1" showInputMessage="1" showErrorMessage="1" prompt="Dnevi v tednu so združeni v tem stolpcu s 6 vrsticami za naloge za vsak združen delavnik v mesecu. Če želite dodati več nalog, vstavite nove vrstice. V koledarju na levi bodo elementi označeni." sqref="J1" xr:uid="{00000000-0002-0000-0A00-000008000000}"/>
    <dataValidation allowBlank="1" showInputMessage="1" showErrorMessage="1" prompt="V ta stolpec vnesite podrobnosti naloge, ki ustrezajo delavniku v stolpcu J in dnevu v stolpcu K za koledarski mesec na levi." sqref="L1" xr:uid="{00000000-0002-0000-0A00-000009000000}"/>
    <dataValidation allowBlank="1" showInputMessage="1" showErrorMessage="1" prompt="V ta stolpec vnesite dan v mesecu za dodeljeno nalogo, ki ustreza delavniku v stolpcu J. Na ta dan bo označena naloga v koledarju na levi." sqref="K1" xr:uid="{00000000-0002-0000-0A00-00000A000000}"/>
    <dataValidation allowBlank="1" showInputMessage="1" showErrorMessage="1" prompt="V tej vrstici so delovni dnevi, od ponedeljka do petka." sqref="B11" xr:uid="{00000000-0002-0000-0A00-00000B000000}"/>
    <dataValidation allowBlank="1" showInputMessage="1" showErrorMessage="1" prompt="Vnesite uro predavanja in pod njo, v novo vrstico, razredu, ime predavanja za vsak delovni dan v stolpce od B do I. Ta vzorec ponovite za vsa predavanja v naslednjih vrsticah." sqref="B10" xr:uid="{00000000-0002-0000-0A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KoledarskoLeto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40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"/>
      <c r="L2" s="24"/>
    </row>
    <row r="3" spans="1:12" ht="30" customHeight="1" x14ac:dyDescent="0.25">
      <c r="A3" s="19"/>
      <c r="C3" s="52">
        <f>IF(DAY(DecNed1)=1,DecNed1-6,DecNed1+1)</f>
        <v>44529</v>
      </c>
      <c r="D3" s="52">
        <f>IF(DAY(DecNed1)=1,DecNed1-5,DecNed1+2)</f>
        <v>44530</v>
      </c>
      <c r="E3" s="52">
        <f>IF(DAY(DecNed1)=1,DecNed1-4,DecNed1+3)</f>
        <v>44531</v>
      </c>
      <c r="F3" s="52">
        <f>IF(DAY(DecNed1)=1,DecNed1-3,DecNed1+4)</f>
        <v>44532</v>
      </c>
      <c r="G3" s="52">
        <f>IF(DAY(DecNed1)=1,DecNed1-2,DecNed1+5)</f>
        <v>44533</v>
      </c>
      <c r="H3" s="52">
        <f>IF(DAY(DecNed1)=1,DecNed1-1,DecNed1+6)</f>
        <v>44534</v>
      </c>
      <c r="I3" s="52">
        <f>IF(DAY(DecNed1)=1,DecNed1,DecNed1+7)</f>
        <v>44535</v>
      </c>
      <c r="J3" s="16"/>
      <c r="K3" s="3"/>
      <c r="L3" s="24"/>
    </row>
    <row r="4" spans="1:12" ht="30" customHeight="1" x14ac:dyDescent="0.25">
      <c r="A4" s="19"/>
      <c r="C4" s="52">
        <f>IF(DAY(DecNed1)=1,DecNed1+1,DecNed1+8)</f>
        <v>44536</v>
      </c>
      <c r="D4" s="52">
        <f>IF(DAY(DecNed1)=1,DecNed1+2,DecNed1+9)</f>
        <v>44537</v>
      </c>
      <c r="E4" s="52">
        <f>IF(DAY(DecNed1)=1,DecNed1+3,DecNed1+10)</f>
        <v>44538</v>
      </c>
      <c r="F4" s="52">
        <f>IF(DAY(DecNed1)=1,DecNed1+4,DecNed1+11)</f>
        <v>44539</v>
      </c>
      <c r="G4" s="52">
        <f>IF(DAY(DecNed1)=1,DecNed1+5,DecNed1+12)</f>
        <v>44540</v>
      </c>
      <c r="H4" s="52">
        <f>IF(DAY(DecNed1)=1,DecNed1+6,DecNed1+13)</f>
        <v>44541</v>
      </c>
      <c r="I4" s="52">
        <f>IF(DAY(DecNed1)=1,DecNed1+7,DecNed1+14)</f>
        <v>44542</v>
      </c>
      <c r="J4" s="16"/>
      <c r="K4" s="3"/>
      <c r="L4" s="24"/>
    </row>
    <row r="5" spans="1:12" ht="30" customHeight="1" x14ac:dyDescent="0.25">
      <c r="A5" s="19"/>
      <c r="C5" s="52">
        <f>IF(DAY(DecNed1)=1,DecNed1+8,DecNed1+15)</f>
        <v>44543</v>
      </c>
      <c r="D5" s="52">
        <f>IF(DAY(DecNed1)=1,DecNed1+9,DecNed1+16)</f>
        <v>44544</v>
      </c>
      <c r="E5" s="52">
        <f>IF(DAY(DecNed1)=1,DecNed1+10,DecNed1+17)</f>
        <v>44545</v>
      </c>
      <c r="F5" s="52">
        <f>IF(DAY(DecNed1)=1,DecNed1+11,DecNed1+18)</f>
        <v>44546</v>
      </c>
      <c r="G5" s="52">
        <f>IF(DAY(DecNed1)=1,DecNed1+12,DecNed1+19)</f>
        <v>44547</v>
      </c>
      <c r="H5" s="52">
        <f>IF(DAY(DecNed1)=1,DecNed1+13,DecNed1+20)</f>
        <v>44548</v>
      </c>
      <c r="I5" s="52">
        <f>IF(DAY(DecNed1)=1,DecNed1+14,DecNed1+21)</f>
        <v>44549</v>
      </c>
      <c r="J5" s="16"/>
      <c r="K5" s="3"/>
      <c r="L5" s="24"/>
    </row>
    <row r="6" spans="1:12" ht="30" customHeight="1" x14ac:dyDescent="0.25">
      <c r="A6" s="19"/>
      <c r="C6" s="52">
        <f>IF(DAY(DecNed1)=1,DecNed1+15,DecNed1+22)</f>
        <v>44550</v>
      </c>
      <c r="D6" s="52">
        <f>IF(DAY(DecNed1)=1,DecNed1+16,DecNed1+23)</f>
        <v>44551</v>
      </c>
      <c r="E6" s="52">
        <f>IF(DAY(DecNed1)=1,DecNed1+17,DecNed1+24)</f>
        <v>44552</v>
      </c>
      <c r="F6" s="52">
        <f>IF(DAY(DecNed1)=1,DecNed1+18,DecNed1+25)</f>
        <v>44553</v>
      </c>
      <c r="G6" s="52">
        <f>IF(DAY(DecNed1)=1,DecNed1+19,DecNed1+26)</f>
        <v>44554</v>
      </c>
      <c r="H6" s="52">
        <f>IF(DAY(DecNed1)=1,DecNed1+20,DecNed1+27)</f>
        <v>44555</v>
      </c>
      <c r="I6" s="52">
        <f>IF(DAY(DecNed1)=1,DecNed1+21,DecNed1+28)</f>
        <v>44556</v>
      </c>
      <c r="J6" s="16"/>
      <c r="K6" s="3"/>
      <c r="L6" s="24"/>
    </row>
    <row r="7" spans="1:12" ht="30" customHeight="1" x14ac:dyDescent="0.25">
      <c r="A7" s="19"/>
      <c r="C7" s="52">
        <f>IF(DAY(DecNed1)=1,DecNed1+22,DecNed1+29)</f>
        <v>44557</v>
      </c>
      <c r="D7" s="52">
        <f>IF(DAY(DecNed1)=1,DecNed1+23,DecNed1+30)</f>
        <v>44558</v>
      </c>
      <c r="E7" s="52">
        <f>IF(DAY(DecNed1)=1,DecNed1+24,DecNed1+31)</f>
        <v>44559</v>
      </c>
      <c r="F7" s="52">
        <f>IF(DAY(DecNed1)=1,DecNed1+25,DecNed1+32)</f>
        <v>44560</v>
      </c>
      <c r="G7" s="52">
        <f>IF(DAY(DecNed1)=1,DecNed1+26,DecNed1+33)</f>
        <v>44561</v>
      </c>
      <c r="H7" s="52">
        <f>IF(DAY(DecNed1)=1,DecNed1+27,DecNed1+34)</f>
        <v>44562</v>
      </c>
      <c r="I7" s="52">
        <f>IF(DAY(DecNed1)=1,DecNed1+28,DecNed1+35)</f>
        <v>44563</v>
      </c>
      <c r="J7" s="29"/>
      <c r="K7" s="27"/>
      <c r="L7" s="25"/>
    </row>
    <row r="8" spans="1:12" ht="30" customHeight="1" x14ac:dyDescent="0.25">
      <c r="A8" s="19"/>
      <c r="B8" s="25"/>
      <c r="C8" s="52">
        <f>IF(DAY(DecNed1)=1,DecNed1+29,DecNed1+36)</f>
        <v>44564</v>
      </c>
      <c r="D8" s="52">
        <f>IF(DAY(DecNed1)=1,DecNed1+30,DecNed1+37)</f>
        <v>44565</v>
      </c>
      <c r="E8" s="52">
        <f>IF(DAY(DecNed1)=1,DecNed1+31,DecNed1+38)</f>
        <v>44566</v>
      </c>
      <c r="F8" s="52">
        <f>IF(DAY(DecNed1)=1,DecNed1+32,DecNed1+39)</f>
        <v>44567</v>
      </c>
      <c r="G8" s="52">
        <f>IF(DAY(DecNed1)=1,DecNed1+33,DecNed1+40)</f>
        <v>44568</v>
      </c>
      <c r="H8" s="52">
        <f>IF(DAY(DecNed1)=1,DecNed1+34,DecNed1+41)</f>
        <v>44569</v>
      </c>
      <c r="I8" s="52">
        <f>IF(DAY(DecNed1)=1,DecNed1+35,DecNed1+42)</f>
        <v>44570</v>
      </c>
      <c r="J8" s="16" t="s">
        <v>13</v>
      </c>
      <c r="K8" s="3"/>
      <c r="L8" s="24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24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24"/>
    </row>
    <row r="11" spans="1:12" ht="30" customHeight="1" x14ac:dyDescent="0.25">
      <c r="A11" s="35" t="s">
        <v>28</v>
      </c>
      <c r="B11" s="34" t="s">
        <v>5</v>
      </c>
      <c r="C11" s="58" t="s">
        <v>13</v>
      </c>
      <c r="D11" s="59"/>
      <c r="E11" s="58" t="s">
        <v>18</v>
      </c>
      <c r="F11" s="59"/>
      <c r="G11" s="58" t="s">
        <v>19</v>
      </c>
      <c r="H11" s="59"/>
      <c r="I11" s="9" t="s">
        <v>20</v>
      </c>
      <c r="J11" s="16"/>
      <c r="K11" s="3"/>
      <c r="L11" s="24"/>
    </row>
    <row r="12" spans="1:12" ht="30" customHeight="1" x14ac:dyDescent="0.25">
      <c r="A12" s="35" t="s">
        <v>1</v>
      </c>
      <c r="B12" s="54" t="s">
        <v>6</v>
      </c>
      <c r="C12" s="60"/>
      <c r="D12" s="60"/>
      <c r="E12" s="60" t="s">
        <v>6</v>
      </c>
      <c r="F12" s="60"/>
      <c r="G12" s="60"/>
      <c r="H12" s="60"/>
      <c r="I12" s="56" t="s">
        <v>6</v>
      </c>
      <c r="J12" s="16"/>
      <c r="K12" s="3"/>
      <c r="L12" s="24"/>
    </row>
    <row r="13" spans="1:12" ht="30" customHeight="1" x14ac:dyDescent="0.25">
      <c r="A13" s="35" t="s">
        <v>2</v>
      </c>
      <c r="B13" s="36" t="s">
        <v>7</v>
      </c>
      <c r="C13" s="61"/>
      <c r="D13" s="61"/>
      <c r="E13" s="61" t="s">
        <v>7</v>
      </c>
      <c r="F13" s="61"/>
      <c r="G13" s="61"/>
      <c r="H13" s="61"/>
      <c r="I13" s="41" t="s">
        <v>7</v>
      </c>
      <c r="J13" s="29"/>
      <c r="K13" s="27"/>
      <c r="L13" s="25"/>
    </row>
    <row r="14" spans="1:12" ht="30" customHeight="1" x14ac:dyDescent="0.25">
      <c r="A14" s="35" t="s">
        <v>1</v>
      </c>
      <c r="B14" s="54"/>
      <c r="C14" s="60" t="s">
        <v>14</v>
      </c>
      <c r="D14" s="60"/>
      <c r="E14" s="60"/>
      <c r="F14" s="60"/>
      <c r="G14" s="60" t="s">
        <v>14</v>
      </c>
      <c r="H14" s="60"/>
      <c r="I14" s="56"/>
      <c r="J14" s="16" t="s">
        <v>18</v>
      </c>
      <c r="K14" s="3"/>
      <c r="L14" s="24"/>
    </row>
    <row r="15" spans="1:12" ht="30" customHeight="1" x14ac:dyDescent="0.25">
      <c r="A15" s="35" t="s">
        <v>2</v>
      </c>
      <c r="B15" s="36"/>
      <c r="C15" s="61" t="s">
        <v>15</v>
      </c>
      <c r="D15" s="61"/>
      <c r="E15" s="61"/>
      <c r="F15" s="61"/>
      <c r="G15" s="61" t="s">
        <v>15</v>
      </c>
      <c r="H15" s="61"/>
      <c r="I15" s="41"/>
      <c r="J15" s="16"/>
      <c r="K15" s="3"/>
      <c r="L15" s="24"/>
    </row>
    <row r="16" spans="1:12" ht="30" customHeight="1" x14ac:dyDescent="0.25">
      <c r="A16" s="35" t="s">
        <v>1</v>
      </c>
      <c r="B16" s="54" t="s">
        <v>8</v>
      </c>
      <c r="C16" s="60"/>
      <c r="D16" s="60"/>
      <c r="E16" s="60" t="s">
        <v>8</v>
      </c>
      <c r="F16" s="60"/>
      <c r="G16" s="60"/>
      <c r="H16" s="60"/>
      <c r="I16" s="57" t="s">
        <v>8</v>
      </c>
      <c r="J16" s="16"/>
      <c r="K16" s="3"/>
      <c r="L16" s="24"/>
    </row>
    <row r="17" spans="1:12" ht="30" customHeight="1" x14ac:dyDescent="0.25">
      <c r="A17" s="35" t="s">
        <v>2</v>
      </c>
      <c r="B17" s="36" t="s">
        <v>9</v>
      </c>
      <c r="C17" s="61"/>
      <c r="D17" s="61"/>
      <c r="E17" s="61" t="s">
        <v>9</v>
      </c>
      <c r="F17" s="61"/>
      <c r="G17" s="61"/>
      <c r="H17" s="61"/>
      <c r="I17" s="41" t="s">
        <v>9</v>
      </c>
      <c r="J17" s="16"/>
      <c r="K17" s="3"/>
      <c r="L17" s="24"/>
    </row>
    <row r="18" spans="1:12" ht="30" customHeight="1" x14ac:dyDescent="0.25">
      <c r="A18" s="35" t="s">
        <v>1</v>
      </c>
      <c r="B18" s="54"/>
      <c r="C18" s="60"/>
      <c r="D18" s="60"/>
      <c r="E18" s="60"/>
      <c r="F18" s="60"/>
      <c r="G18" s="60"/>
      <c r="H18" s="60"/>
      <c r="I18" s="56"/>
      <c r="J18" s="16"/>
      <c r="K18" s="3"/>
      <c r="L18" s="24"/>
    </row>
    <row r="19" spans="1:12" ht="30" customHeight="1" x14ac:dyDescent="0.25">
      <c r="A19" s="35" t="s">
        <v>2</v>
      </c>
      <c r="B19" s="36"/>
      <c r="C19" s="61"/>
      <c r="D19" s="61"/>
      <c r="E19" s="61"/>
      <c r="F19" s="61"/>
      <c r="G19" s="61"/>
      <c r="H19" s="61"/>
      <c r="I19" s="42"/>
      <c r="J19" s="29"/>
      <c r="K19" s="27"/>
      <c r="L19" s="25"/>
    </row>
    <row r="20" spans="1:12" ht="30" customHeight="1" x14ac:dyDescent="0.25">
      <c r="A20" s="35" t="s">
        <v>1</v>
      </c>
      <c r="B20" s="54"/>
      <c r="C20" s="60"/>
      <c r="D20" s="60"/>
      <c r="E20" s="60"/>
      <c r="F20" s="60"/>
      <c r="G20" s="60"/>
      <c r="H20" s="60"/>
      <c r="I20" s="56"/>
      <c r="J20" s="16" t="s">
        <v>19</v>
      </c>
      <c r="K20" s="3"/>
      <c r="L20" s="24"/>
    </row>
    <row r="21" spans="1:12" ht="30" customHeight="1" x14ac:dyDescent="0.25">
      <c r="A21" s="35" t="s">
        <v>2</v>
      </c>
      <c r="B21" s="36"/>
      <c r="C21" s="61"/>
      <c r="D21" s="61"/>
      <c r="E21" s="61"/>
      <c r="F21" s="61"/>
      <c r="G21" s="61"/>
      <c r="H21" s="61"/>
      <c r="I21" s="41"/>
      <c r="J21" s="16"/>
      <c r="K21" s="3"/>
      <c r="L21" s="24"/>
    </row>
    <row r="22" spans="1:12" ht="30" customHeight="1" x14ac:dyDescent="0.25">
      <c r="A22" s="35" t="s">
        <v>1</v>
      </c>
      <c r="B22" s="54"/>
      <c r="C22" s="60"/>
      <c r="D22" s="60"/>
      <c r="E22" s="60"/>
      <c r="F22" s="60"/>
      <c r="G22" s="60"/>
      <c r="H22" s="60"/>
      <c r="I22" s="56"/>
      <c r="J22" s="16"/>
      <c r="K22" s="3"/>
      <c r="L22" s="24"/>
    </row>
    <row r="23" spans="1:12" ht="30" customHeight="1" x14ac:dyDescent="0.25">
      <c r="A23" s="35" t="s">
        <v>2</v>
      </c>
      <c r="B23" s="36"/>
      <c r="C23" s="61"/>
      <c r="D23" s="61"/>
      <c r="E23" s="61"/>
      <c r="F23" s="61"/>
      <c r="G23" s="61"/>
      <c r="H23" s="61"/>
      <c r="I23" s="41"/>
      <c r="J23" s="16"/>
      <c r="K23" s="3"/>
      <c r="L23" s="24"/>
    </row>
    <row r="24" spans="1:12" ht="30" customHeight="1" x14ac:dyDescent="0.25">
      <c r="A24" s="35" t="s">
        <v>1</v>
      </c>
      <c r="B24" s="54" t="s">
        <v>10</v>
      </c>
      <c r="C24" s="60"/>
      <c r="D24" s="60"/>
      <c r="E24" s="60" t="s">
        <v>10</v>
      </c>
      <c r="F24" s="60"/>
      <c r="G24" s="60"/>
      <c r="H24" s="60"/>
      <c r="I24" s="56" t="s">
        <v>10</v>
      </c>
      <c r="J24" s="16"/>
      <c r="K24" s="3"/>
      <c r="L24" s="24"/>
    </row>
    <row r="25" spans="1:12" ht="30" customHeight="1" x14ac:dyDescent="0.25">
      <c r="A25" s="35" t="s">
        <v>2</v>
      </c>
      <c r="B25" s="36" t="s">
        <v>11</v>
      </c>
      <c r="C25" s="61"/>
      <c r="D25" s="61"/>
      <c r="E25" s="61" t="s">
        <v>11</v>
      </c>
      <c r="F25" s="61"/>
      <c r="G25" s="61"/>
      <c r="H25" s="61"/>
      <c r="I25" s="41" t="s">
        <v>11</v>
      </c>
      <c r="J25" s="29"/>
      <c r="K25" s="27"/>
      <c r="L25" s="25"/>
    </row>
    <row r="26" spans="1:12" ht="30" customHeight="1" x14ac:dyDescent="0.25">
      <c r="A26" s="35" t="s">
        <v>1</v>
      </c>
      <c r="B26" s="54"/>
      <c r="C26" s="60"/>
      <c r="D26" s="60"/>
      <c r="E26" s="60"/>
      <c r="F26" s="60"/>
      <c r="G26" s="60"/>
      <c r="H26" s="60"/>
      <c r="I26" s="56"/>
      <c r="J26" s="16" t="s">
        <v>20</v>
      </c>
      <c r="K26" s="3"/>
      <c r="L26" s="24"/>
    </row>
    <row r="27" spans="1:12" ht="30" customHeight="1" x14ac:dyDescent="0.25">
      <c r="A27" s="35" t="s">
        <v>2</v>
      </c>
      <c r="B27" s="36"/>
      <c r="C27" s="61"/>
      <c r="D27" s="61"/>
      <c r="E27" s="61"/>
      <c r="F27" s="61"/>
      <c r="G27" s="61"/>
      <c r="H27" s="61"/>
      <c r="I27" s="41"/>
      <c r="J27" s="16"/>
      <c r="K27" s="3"/>
      <c r="L27" s="24"/>
    </row>
    <row r="28" spans="1:12" ht="30" customHeight="1" x14ac:dyDescent="0.25">
      <c r="A28" s="35" t="s">
        <v>1</v>
      </c>
      <c r="B28" s="54"/>
      <c r="C28" s="60" t="s">
        <v>16</v>
      </c>
      <c r="D28" s="60"/>
      <c r="E28" s="60"/>
      <c r="F28" s="60"/>
      <c r="G28" s="60" t="s">
        <v>16</v>
      </c>
      <c r="H28" s="60"/>
      <c r="I28" s="56"/>
      <c r="J28" s="16"/>
      <c r="K28" s="3"/>
      <c r="L28" s="24"/>
    </row>
    <row r="29" spans="1:12" ht="30" customHeight="1" x14ac:dyDescent="0.25">
      <c r="A29" s="35" t="s">
        <v>2</v>
      </c>
      <c r="B29" s="36"/>
      <c r="C29" s="61" t="s">
        <v>17</v>
      </c>
      <c r="D29" s="61"/>
      <c r="E29" s="61"/>
      <c r="F29" s="61"/>
      <c r="G29" s="61" t="s">
        <v>17</v>
      </c>
      <c r="H29" s="61"/>
      <c r="I29" s="41"/>
      <c r="J29" s="16"/>
      <c r="K29" s="3"/>
      <c r="L29" s="24"/>
    </row>
    <row r="30" spans="1:12" ht="30" customHeight="1" x14ac:dyDescent="0.25">
      <c r="A30" s="35" t="s">
        <v>1</v>
      </c>
      <c r="B30" s="54"/>
      <c r="C30" s="60"/>
      <c r="D30" s="60"/>
      <c r="E30" s="60"/>
      <c r="F30" s="60"/>
      <c r="G30" s="60"/>
      <c r="H30" s="60"/>
      <c r="I30" s="56"/>
      <c r="J30" s="16"/>
      <c r="K30" s="3"/>
      <c r="L30" s="24"/>
    </row>
    <row r="31" spans="1:12" ht="30" customHeight="1" x14ac:dyDescent="0.25">
      <c r="A31" s="35" t="s">
        <v>2</v>
      </c>
      <c r="B31" s="39"/>
      <c r="C31" s="62"/>
      <c r="D31" s="62"/>
      <c r="E31" s="62"/>
      <c r="F31" s="62"/>
      <c r="G31" s="62"/>
      <c r="H31" s="62"/>
      <c r="I31" s="40"/>
      <c r="J31" s="29"/>
      <c r="K31" s="27"/>
      <c r="L31" s="25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6" priority="6" stopIfTrue="1">
      <formula>DAY(C3)&gt;8</formula>
    </cfRule>
  </conditionalFormatting>
  <conditionalFormatting sqref="C7:I8">
    <cfRule type="expression" dxfId="5" priority="5" stopIfTrue="1">
      <formula>AND(DAY(C7)&gt;=1,DAY(C7)&lt;=15)</formula>
    </cfRule>
  </conditionalFormatting>
  <conditionalFormatting sqref="C3:I8">
    <cfRule type="expression" dxfId="4" priority="7">
      <formula>VLOOKUP(DAY(C3),DanOddajeNaloge,1,FALSE)=DAY(C3)</formula>
    </cfRule>
  </conditionalFormatting>
  <conditionalFormatting sqref="B13:I13 B15:I15 B17:I17 B19:I19 B21:I21 B23:I23 B25:I25 B27:I27 B29:I29 B31:I31">
    <cfRule type="expression" dxfId="3" priority="4">
      <formula>B13&lt;&gt;""</formula>
    </cfRule>
  </conditionalFormatting>
  <conditionalFormatting sqref="B12:I12 B14:I14 B16:I16 B18:I18 B20:I20 B22:I22 B24:I24 B26:I26 B28:I28 B30:I30">
    <cfRule type="expression" dxfId="2" priority="3">
      <formula>B12&lt;&gt;""</formula>
    </cfRule>
  </conditionalFormatting>
  <conditionalFormatting sqref="B13:I13 B15:I15 B17:I17 B19:I19 B21:I21 B23:I23 B25:I25 B27:I27 B29:I29">
    <cfRule type="expression" dxfId="1" priority="2">
      <formula>COLUMN(B13)&gt;=2</formula>
    </cfRule>
  </conditionalFormatting>
  <conditionalFormatting sqref="B12:I31">
    <cfRule type="expression" dxfId="0" priority="1">
      <formula>COLUMN(B12)&gt;2</formula>
    </cfRule>
  </conditionalFormatting>
  <dataValidations xWindow="282" yWindow="695" count="13">
    <dataValidation allowBlank="1" showInputMessage="1" showErrorMessage="1" prompt="V koledarju za december so samodejno označeni vnosi s seznama nalog za ta mesec. Temnejše pisave so naloge. Svetlejše pisave so dnevi, ki sodijo v prejšnji ali naslednji mesec." sqref="B2" xr:uid="{00000000-0002-0000-0B00-000000000000}"/>
    <dataValidation allowBlank="1" showInputMessage="1" showErrorMessage="1" prompt="Samodejno posodobljeno koledarsko leto. Če želite spremeniti leto, posodobite celico B1 na januarskem delovnem listu." sqref="B1" xr:uid="{00000000-0002-0000-0B00-000001000000}"/>
    <dataValidation allowBlank="1" showInputMessage="1" showErrorMessage="1" prompt="Pripravite tedenski urnik in ustvarite seznam nalog na tem delovnem listu. Naloge so samodejno označene v mesečnem koledarju za leto, vneseno v celici B1 na januarskem delovnem listu." sqref="A1" xr:uid="{00000000-0002-0000-0B00-000002000000}"/>
    <dataValidation allowBlank="1" showInputMessage="1" showErrorMessage="1" prompt="Celice C2:I2 vsebujejo dneve v tednu." sqref="C2" xr:uid="{00000000-0002-0000-0B00-000003000000}"/>
    <dataValidation allowBlank="1" showInputMessage="1" showErrorMessage="1" prompt="Če v tej celici ni številke 1, potem gre za dan iz prejšnjega meseca. V celicah C3:I8 so datumi trenutnega meseca." sqref="C3" xr:uid="{00000000-0002-0000-0B00-000004000000}"/>
    <dataValidation allowBlank="1" showInputMessage="1" showErrorMessage="1" prompt="Če je v tej vrstici število, ki je manjše od prejšnjega števila ali vrstice števil, potem ta vrstica vsebuje datume za naslednji koledarski mesec." sqref="C8" xr:uid="{00000000-0002-0000-0B00-000005000000}"/>
    <dataValidation allowBlank="1" showInputMessage="1" showErrorMessage="1" prompt="V to vrstico vnesite čas, naveden v stolpcih B–I." sqref="B12" xr:uid="{00000000-0002-0000-0B00-000006000000}"/>
    <dataValidation allowBlank="1" showInputMessage="1" showErrorMessage="1" prompt="V to vrstico vnesite predavanje, navedena v stolpcih B–I." sqref="B13" xr:uid="{00000000-0002-0000-0B00-000007000000}"/>
    <dataValidation allowBlank="1" showInputMessage="1" showErrorMessage="1" prompt="Dnevi v tednu so združeni v tem stolpcu s 6 vrsticami za naloge za vsak združen delavnik v mesecu. Če želite dodati več nalog, vstavite nove vrstice. V koledarju na levi bodo elementi označeni." sqref="J1" xr:uid="{00000000-0002-0000-0B00-000008000000}"/>
    <dataValidation allowBlank="1" showInputMessage="1" showErrorMessage="1" prompt="V ta stolpec vnesite podrobnosti naloge, ki ustrezajo delavniku v stolpcu J in dnevu v stolpcu K za koledarski mesec na levi." sqref="L1" xr:uid="{00000000-0002-0000-0B00-000009000000}"/>
    <dataValidation allowBlank="1" showInputMessage="1" showErrorMessage="1" prompt="V ta stolpec vnesite dan v mesecu za dodeljeno nalogo, ki ustreza delavniku v stolpcu J. Na ta dan bo označena naloga v koledarju na levi." sqref="K1" xr:uid="{00000000-0002-0000-0B00-00000A000000}"/>
    <dataValidation allowBlank="1" showInputMessage="1" showErrorMessage="1" prompt="V tej vrstici so delovni dnevi, od ponedeljka do petka." sqref="B11" xr:uid="{00000000-0002-0000-0B00-00000B000000}"/>
    <dataValidation allowBlank="1" showInputMessage="1" showErrorMessage="1" prompt="Vnesite uro predavanja in pod njo, v novo vrstico, razredu, ime predavanja za vsak delovni dan v stolpce od B do I. Ta vzorec ponovite za vsa predavanja v naslednjih vrsticah." sqref="B10" xr:uid="{00000000-0002-0000-0B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L31"/>
  <sheetViews>
    <sheetView showGridLines="0" tabSelected="1" zoomScaleNormal="100" zoomScalePageLayoutView="84" workbookViewId="0"/>
  </sheetViews>
  <sheetFormatPr defaultColWidth="8.625" defaultRowHeight="30" customHeight="1" x14ac:dyDescent="0.2"/>
  <cols>
    <col min="1" max="1" width="2.625" customWidth="1"/>
    <col min="2" max="2" width="20.625" customWidth="1"/>
    <col min="3" max="8" width="10.625" customWidth="1"/>
    <col min="9" max="9" width="20.625" customWidth="1"/>
    <col min="10" max="11" width="10.625" customWidth="1"/>
    <col min="12" max="12" width="70.625" customWidth="1"/>
    <col min="13" max="13" width="2.625" customWidth="1"/>
    <col min="14" max="14" width="8.625" customWidth="1"/>
  </cols>
  <sheetData>
    <row r="1" spans="1:12" ht="30" customHeight="1" x14ac:dyDescent="0.2">
      <c r="A1" s="24"/>
      <c r="B1" s="14">
        <v>2021</v>
      </c>
      <c r="C1" s="12" t="s">
        <v>12</v>
      </c>
      <c r="D1" s="2"/>
      <c r="E1" s="2"/>
      <c r="F1" s="2"/>
      <c r="G1" s="2"/>
      <c r="H1" s="2"/>
      <c r="I1" s="2"/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7" t="s">
        <v>3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">
        <v>4</v>
      </c>
      <c r="L2" s="21" t="s">
        <v>26</v>
      </c>
    </row>
    <row r="3" spans="1:12" ht="30" customHeight="1" x14ac:dyDescent="0.25">
      <c r="A3" s="19"/>
      <c r="B3" s="24"/>
      <c r="C3" s="52">
        <f>IF(DAY(JanNed1)=1,JanNed1-6,JanNed1+1)</f>
        <v>44193</v>
      </c>
      <c r="D3" s="52">
        <f>IF(DAY(JanNed1)=1,JanNed1-5,JanNed1+2)</f>
        <v>44194</v>
      </c>
      <c r="E3" s="52">
        <f>IF(DAY(JanNed1)=1,JanNed1-4,JanNed1+3)</f>
        <v>44195</v>
      </c>
      <c r="F3" s="52">
        <f>IF(DAY(JanNed1)=1,JanNed1-3,JanNed1+4)</f>
        <v>44196</v>
      </c>
      <c r="G3" s="52">
        <f>IF(DAY(JanNed1)=1,JanNed1-2,JanNed1+5)</f>
        <v>44197</v>
      </c>
      <c r="H3" s="52">
        <f>IF(DAY(JanNed1)=1,JanNed1-1,JanNed1+6)</f>
        <v>44198</v>
      </c>
      <c r="I3" s="52">
        <f>IF(DAY(JanNed1)=1,JanNed1,JanNed1+7)</f>
        <v>44199</v>
      </c>
      <c r="J3" s="16"/>
      <c r="K3" s="3"/>
      <c r="L3" s="21"/>
    </row>
    <row r="4" spans="1:12" ht="30" customHeight="1" x14ac:dyDescent="0.25">
      <c r="A4" s="19"/>
      <c r="B4" s="24"/>
      <c r="C4" s="52">
        <f>IF(DAY(JanNed1)=1,JanNed1+1,JanNed1+8)</f>
        <v>44200</v>
      </c>
      <c r="D4" s="52">
        <f>IF(DAY(JanNed1)=1,JanNed1+2,JanNed1+9)</f>
        <v>44201</v>
      </c>
      <c r="E4" s="52">
        <f>IF(DAY(JanNed1)=1,JanNed1+3,JanNed1+10)</f>
        <v>44202</v>
      </c>
      <c r="F4" s="52">
        <f>IF(DAY(JanNed1)=1,JanNed1+4,JanNed1+11)</f>
        <v>44203</v>
      </c>
      <c r="G4" s="52">
        <f>IF(DAY(JanNed1)=1,JanNed1+5,JanNed1+12)</f>
        <v>44204</v>
      </c>
      <c r="H4" s="52">
        <f>IF(DAY(JanNed1)=1,JanNed1+6,JanNed1+13)</f>
        <v>44205</v>
      </c>
      <c r="I4" s="52">
        <f>IF(DAY(JanNed1)=1,JanNed1+7,JanNed1+14)</f>
        <v>44206</v>
      </c>
      <c r="J4" s="16"/>
      <c r="K4" s="3"/>
      <c r="L4" s="21"/>
    </row>
    <row r="5" spans="1:12" ht="30" customHeight="1" x14ac:dyDescent="0.25">
      <c r="A5" s="19"/>
      <c r="B5" s="24"/>
      <c r="C5" s="52">
        <f>IF(DAY(JanNed1)=1,JanNed1+8,JanNed1+15)</f>
        <v>44207</v>
      </c>
      <c r="D5" s="52">
        <f>IF(DAY(JanNed1)=1,JanNed1+9,JanNed1+16)</f>
        <v>44208</v>
      </c>
      <c r="E5" s="52">
        <f>IF(DAY(JanNed1)=1,JanNed1+10,JanNed1+17)</f>
        <v>44209</v>
      </c>
      <c r="F5" s="52">
        <f>IF(DAY(JanNed1)=1,JanNed1+11,JanNed1+18)</f>
        <v>44210</v>
      </c>
      <c r="G5" s="52">
        <f>IF(DAY(JanNed1)=1,JanNed1+12,JanNed1+19)</f>
        <v>44211</v>
      </c>
      <c r="H5" s="52">
        <f>IF(DAY(JanNed1)=1,JanNed1+13,JanNed1+20)</f>
        <v>44212</v>
      </c>
      <c r="I5" s="52">
        <f>IF(DAY(JanNed1)=1,JanNed1+14,JanNed1+21)</f>
        <v>44213</v>
      </c>
      <c r="J5" s="16"/>
      <c r="K5" s="3"/>
      <c r="L5" s="21"/>
    </row>
    <row r="6" spans="1:12" ht="30" customHeight="1" x14ac:dyDescent="0.25">
      <c r="A6" s="19"/>
      <c r="B6" s="24"/>
      <c r="C6" s="52">
        <f>IF(DAY(JanNed1)=1,JanNed1+15,JanNed1+22)</f>
        <v>44214</v>
      </c>
      <c r="D6" s="52">
        <f>IF(DAY(JanNed1)=1,JanNed1+16,JanNed1+23)</f>
        <v>44215</v>
      </c>
      <c r="E6" s="52">
        <f>IF(DAY(JanNed1)=1,JanNed1+17,JanNed1+24)</f>
        <v>44216</v>
      </c>
      <c r="F6" s="52">
        <f>IF(DAY(JanNed1)=1,JanNed1+18,JanNed1+25)</f>
        <v>44217</v>
      </c>
      <c r="G6" s="52">
        <f>IF(DAY(JanNed1)=1,JanNed1+19,JanNed1+26)</f>
        <v>44218</v>
      </c>
      <c r="H6" s="52">
        <f>IF(DAY(JanNed1)=1,JanNed1+20,JanNed1+27)</f>
        <v>44219</v>
      </c>
      <c r="I6" s="52">
        <f>IF(DAY(JanNed1)=1,JanNed1+21,JanNed1+28)</f>
        <v>44220</v>
      </c>
      <c r="J6" s="16"/>
      <c r="K6" s="3"/>
      <c r="L6" s="21"/>
    </row>
    <row r="7" spans="1:12" ht="30" customHeight="1" x14ac:dyDescent="0.25">
      <c r="A7" s="19"/>
      <c r="B7" s="24"/>
      <c r="C7" s="52">
        <f>IF(DAY(JanNed1)=1,JanNed1+22,JanNed1+29)</f>
        <v>44221</v>
      </c>
      <c r="D7" s="52">
        <f>IF(DAY(JanNed1)=1,JanNed1+23,JanNed1+30)</f>
        <v>44222</v>
      </c>
      <c r="E7" s="52">
        <f>IF(DAY(JanNed1)=1,JanNed1+24,JanNed1+31)</f>
        <v>44223</v>
      </c>
      <c r="F7" s="52">
        <f>IF(DAY(JanNed1)=1,JanNed1+25,JanNed1+32)</f>
        <v>44224</v>
      </c>
      <c r="G7" s="52">
        <f>IF(DAY(JanNed1)=1,JanNed1+26,JanNed1+33)</f>
        <v>44225</v>
      </c>
      <c r="H7" s="52">
        <f>IF(DAY(JanNed1)=1,JanNed1+27,JanNed1+34)</f>
        <v>44226</v>
      </c>
      <c r="I7" s="52">
        <f>IF(DAY(JanNed1)=1,JanNed1+28,JanNed1+35)</f>
        <v>44227</v>
      </c>
      <c r="J7" s="29"/>
      <c r="K7" s="27"/>
      <c r="L7" s="25"/>
    </row>
    <row r="8" spans="1:12" ht="30" customHeight="1" x14ac:dyDescent="0.25">
      <c r="A8" s="19"/>
      <c r="B8" s="25"/>
      <c r="C8" s="53">
        <f>IF(DAY(JanNed1)=1,JanNed1+29,JanNed1+36)</f>
        <v>44228</v>
      </c>
      <c r="D8" s="53">
        <f>IF(DAY(JanNed1)=1,JanNed1+30,JanNed1+37)</f>
        <v>44229</v>
      </c>
      <c r="E8" s="53">
        <f>IF(DAY(JanNed1)=1,JanNed1+31,JanNed1+38)</f>
        <v>44230</v>
      </c>
      <c r="F8" s="53">
        <f>IF(DAY(JanNed1)=1,JanNed1+32,JanNed1+39)</f>
        <v>44231</v>
      </c>
      <c r="G8" s="53">
        <f>IF(DAY(JanNed1)=1,JanNed1+33,JanNed1+40)</f>
        <v>44232</v>
      </c>
      <c r="H8" s="53">
        <f>IF(DAY(JanNed1)=1,JanNed1+34,JanNed1+41)</f>
        <v>44233</v>
      </c>
      <c r="I8" s="53">
        <f>IF(DAY(JanNed1)=1,JanNed1+35,JanNed1+42)</f>
        <v>44234</v>
      </c>
      <c r="J8" s="16" t="s">
        <v>13</v>
      </c>
      <c r="K8" s="3">
        <v>19</v>
      </c>
      <c r="L8" s="21" t="s">
        <v>27</v>
      </c>
    </row>
    <row r="9" spans="1:12" ht="30" customHeight="1" x14ac:dyDescent="0.25">
      <c r="A9" s="19"/>
      <c r="B9" s="24"/>
      <c r="J9" s="16"/>
      <c r="K9" s="3"/>
      <c r="L9" s="21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21"/>
    </row>
    <row r="11" spans="1:12" ht="30" customHeight="1" x14ac:dyDescent="0.25">
      <c r="A11" s="35" t="s">
        <v>0</v>
      </c>
      <c r="B11" s="20" t="s">
        <v>5</v>
      </c>
      <c r="C11" s="58" t="s">
        <v>13</v>
      </c>
      <c r="D11" s="59"/>
      <c r="E11" s="58" t="s">
        <v>18</v>
      </c>
      <c r="F11" s="59"/>
      <c r="G11" s="58" t="s">
        <v>19</v>
      </c>
      <c r="H11" s="59"/>
      <c r="I11" s="9" t="s">
        <v>20</v>
      </c>
      <c r="J11" s="16"/>
      <c r="K11" s="3"/>
      <c r="L11" s="21"/>
    </row>
    <row r="12" spans="1:12" ht="30" customHeight="1" x14ac:dyDescent="0.25">
      <c r="A12" s="35" t="s">
        <v>1</v>
      </c>
      <c r="B12" s="54" t="s">
        <v>6</v>
      </c>
      <c r="C12" s="60"/>
      <c r="D12" s="60"/>
      <c r="E12" s="60" t="s">
        <v>6</v>
      </c>
      <c r="F12" s="60"/>
      <c r="G12" s="60"/>
      <c r="H12" s="60"/>
      <c r="I12" s="55" t="s">
        <v>6</v>
      </c>
      <c r="J12" s="16"/>
      <c r="K12" s="3"/>
      <c r="L12" s="21"/>
    </row>
    <row r="13" spans="1:12" ht="30" customHeight="1" x14ac:dyDescent="0.25">
      <c r="A13" s="35" t="s">
        <v>2</v>
      </c>
      <c r="B13" s="36" t="s">
        <v>7</v>
      </c>
      <c r="C13" s="61"/>
      <c r="D13" s="61"/>
      <c r="E13" s="61" t="s">
        <v>7</v>
      </c>
      <c r="F13" s="61"/>
      <c r="G13" s="61"/>
      <c r="H13" s="61"/>
      <c r="I13" s="37" t="s">
        <v>7</v>
      </c>
      <c r="J13" s="29"/>
      <c r="K13" s="27"/>
      <c r="L13" s="25"/>
    </row>
    <row r="14" spans="1:12" ht="30" customHeight="1" x14ac:dyDescent="0.25">
      <c r="A14" s="35" t="s">
        <v>1</v>
      </c>
      <c r="B14" s="54"/>
      <c r="C14" s="60" t="s">
        <v>14</v>
      </c>
      <c r="D14" s="60"/>
      <c r="E14" s="60"/>
      <c r="F14" s="60"/>
      <c r="G14" s="60" t="s">
        <v>14</v>
      </c>
      <c r="H14" s="60"/>
      <c r="I14" s="55"/>
      <c r="J14" s="16" t="s">
        <v>18</v>
      </c>
      <c r="K14" s="3"/>
      <c r="L14" s="21"/>
    </row>
    <row r="15" spans="1:12" ht="30" customHeight="1" x14ac:dyDescent="0.25">
      <c r="A15" s="35" t="s">
        <v>2</v>
      </c>
      <c r="B15" s="36"/>
      <c r="C15" s="61" t="s">
        <v>15</v>
      </c>
      <c r="D15" s="61"/>
      <c r="E15" s="61"/>
      <c r="F15" s="61"/>
      <c r="G15" s="61" t="s">
        <v>15</v>
      </c>
      <c r="H15" s="61"/>
      <c r="I15" s="37"/>
      <c r="J15" s="16"/>
      <c r="K15" s="3"/>
      <c r="L15" s="21"/>
    </row>
    <row r="16" spans="1:12" ht="30" customHeight="1" x14ac:dyDescent="0.25">
      <c r="A16" s="35" t="s">
        <v>1</v>
      </c>
      <c r="B16" s="54" t="s">
        <v>8</v>
      </c>
      <c r="C16" s="60"/>
      <c r="D16" s="60"/>
      <c r="E16" s="60" t="s">
        <v>8</v>
      </c>
      <c r="F16" s="60"/>
      <c r="G16" s="60"/>
      <c r="H16" s="60"/>
      <c r="I16" s="55" t="s">
        <v>8</v>
      </c>
      <c r="J16" s="16"/>
      <c r="K16" s="3"/>
      <c r="L16" s="21"/>
    </row>
    <row r="17" spans="1:12" ht="30" customHeight="1" x14ac:dyDescent="0.25">
      <c r="A17" s="35" t="s">
        <v>2</v>
      </c>
      <c r="B17" s="36" t="s">
        <v>9</v>
      </c>
      <c r="C17" s="61"/>
      <c r="D17" s="61"/>
      <c r="E17" s="61" t="s">
        <v>9</v>
      </c>
      <c r="F17" s="61"/>
      <c r="G17" s="61"/>
      <c r="H17" s="61"/>
      <c r="I17" s="37" t="s">
        <v>9</v>
      </c>
      <c r="J17" s="16"/>
      <c r="K17" s="3"/>
      <c r="L17" s="21"/>
    </row>
    <row r="18" spans="1:12" ht="30" customHeight="1" x14ac:dyDescent="0.25">
      <c r="A18" s="35" t="s">
        <v>1</v>
      </c>
      <c r="B18" s="54"/>
      <c r="C18" s="60"/>
      <c r="D18" s="60"/>
      <c r="E18" s="60"/>
      <c r="F18" s="60"/>
      <c r="G18" s="60"/>
      <c r="H18" s="60"/>
      <c r="I18" s="55"/>
      <c r="J18" s="16"/>
      <c r="K18" s="3"/>
      <c r="L18" s="21"/>
    </row>
    <row r="19" spans="1:12" ht="30" customHeight="1" x14ac:dyDescent="0.25">
      <c r="A19" s="35" t="s">
        <v>2</v>
      </c>
      <c r="B19" s="36"/>
      <c r="C19" s="61"/>
      <c r="D19" s="61"/>
      <c r="E19" s="61"/>
      <c r="F19" s="61"/>
      <c r="G19" s="61"/>
      <c r="H19" s="61"/>
      <c r="I19" s="38"/>
      <c r="J19" s="29"/>
      <c r="K19" s="27"/>
      <c r="L19" s="26"/>
    </row>
    <row r="20" spans="1:12" ht="30" customHeight="1" x14ac:dyDescent="0.25">
      <c r="A20" s="35" t="s">
        <v>1</v>
      </c>
      <c r="B20" s="54"/>
      <c r="C20" s="60"/>
      <c r="D20" s="60"/>
      <c r="E20" s="60"/>
      <c r="F20" s="60"/>
      <c r="G20" s="60"/>
      <c r="H20" s="60"/>
      <c r="I20" s="55"/>
      <c r="J20" s="16" t="s">
        <v>19</v>
      </c>
      <c r="K20" s="3"/>
      <c r="L20" s="21"/>
    </row>
    <row r="21" spans="1:12" ht="30" customHeight="1" x14ac:dyDescent="0.25">
      <c r="A21" s="35" t="s">
        <v>2</v>
      </c>
      <c r="B21" s="36"/>
      <c r="C21" s="61"/>
      <c r="D21" s="61"/>
      <c r="E21" s="61"/>
      <c r="F21" s="61"/>
      <c r="G21" s="61"/>
      <c r="H21" s="61"/>
      <c r="I21" s="37"/>
      <c r="J21" s="16"/>
      <c r="K21" s="3"/>
      <c r="L21" s="21"/>
    </row>
    <row r="22" spans="1:12" ht="30" customHeight="1" x14ac:dyDescent="0.25">
      <c r="A22" s="35" t="s">
        <v>1</v>
      </c>
      <c r="B22" s="54"/>
      <c r="C22" s="60"/>
      <c r="D22" s="60"/>
      <c r="E22" s="60"/>
      <c r="F22" s="60"/>
      <c r="G22" s="60"/>
      <c r="H22" s="60"/>
      <c r="I22" s="55"/>
      <c r="J22" s="16"/>
      <c r="K22" s="3"/>
      <c r="L22" s="21"/>
    </row>
    <row r="23" spans="1:12" ht="30" customHeight="1" x14ac:dyDescent="0.25">
      <c r="A23" s="35" t="s">
        <v>2</v>
      </c>
      <c r="B23" s="36"/>
      <c r="C23" s="61"/>
      <c r="D23" s="61"/>
      <c r="E23" s="61"/>
      <c r="F23" s="61"/>
      <c r="G23" s="61"/>
      <c r="H23" s="61"/>
      <c r="I23" s="37"/>
      <c r="J23" s="16"/>
      <c r="K23" s="3"/>
      <c r="L23" s="21"/>
    </row>
    <row r="24" spans="1:12" ht="30" customHeight="1" x14ac:dyDescent="0.25">
      <c r="A24" s="35" t="s">
        <v>1</v>
      </c>
      <c r="B24" s="54" t="s">
        <v>10</v>
      </c>
      <c r="C24" s="60"/>
      <c r="D24" s="60"/>
      <c r="E24" s="60" t="s">
        <v>10</v>
      </c>
      <c r="F24" s="60"/>
      <c r="G24" s="60"/>
      <c r="H24" s="60"/>
      <c r="I24" s="55" t="s">
        <v>10</v>
      </c>
      <c r="J24" s="16"/>
      <c r="K24" s="3"/>
      <c r="L24" s="21"/>
    </row>
    <row r="25" spans="1:12" ht="30" customHeight="1" x14ac:dyDescent="0.25">
      <c r="A25" s="35" t="s">
        <v>2</v>
      </c>
      <c r="B25" s="36" t="s">
        <v>11</v>
      </c>
      <c r="C25" s="61"/>
      <c r="D25" s="61"/>
      <c r="E25" s="61" t="s">
        <v>11</v>
      </c>
      <c r="F25" s="61"/>
      <c r="G25" s="61"/>
      <c r="H25" s="61"/>
      <c r="I25" s="37" t="s">
        <v>11</v>
      </c>
      <c r="J25" s="29"/>
      <c r="K25" s="27"/>
      <c r="L25" s="26"/>
    </row>
    <row r="26" spans="1:12" ht="30" customHeight="1" x14ac:dyDescent="0.25">
      <c r="A26" s="35" t="s">
        <v>1</v>
      </c>
      <c r="B26" s="54"/>
      <c r="C26" s="60"/>
      <c r="D26" s="60"/>
      <c r="E26" s="60"/>
      <c r="F26" s="60"/>
      <c r="G26" s="60"/>
      <c r="H26" s="60"/>
      <c r="I26" s="55"/>
      <c r="J26" s="16" t="s">
        <v>20</v>
      </c>
      <c r="K26" s="3"/>
      <c r="L26" s="21"/>
    </row>
    <row r="27" spans="1:12" ht="30" customHeight="1" x14ac:dyDescent="0.25">
      <c r="A27" s="35" t="s">
        <v>2</v>
      </c>
      <c r="B27" s="36"/>
      <c r="C27" s="61"/>
      <c r="D27" s="61"/>
      <c r="E27" s="61"/>
      <c r="F27" s="61"/>
      <c r="G27" s="61"/>
      <c r="H27" s="61"/>
      <c r="I27" s="37"/>
      <c r="J27" s="16"/>
      <c r="K27" s="3"/>
      <c r="L27" s="21"/>
    </row>
    <row r="28" spans="1:12" ht="30" customHeight="1" x14ac:dyDescent="0.25">
      <c r="A28" s="35" t="s">
        <v>1</v>
      </c>
      <c r="B28" s="54"/>
      <c r="C28" s="60" t="s">
        <v>16</v>
      </c>
      <c r="D28" s="60"/>
      <c r="E28" s="60"/>
      <c r="F28" s="60"/>
      <c r="G28" s="60" t="s">
        <v>16</v>
      </c>
      <c r="H28" s="60"/>
      <c r="I28" s="55"/>
      <c r="J28" s="16"/>
      <c r="K28" s="3"/>
      <c r="L28" s="21"/>
    </row>
    <row r="29" spans="1:12" ht="30" customHeight="1" x14ac:dyDescent="0.25">
      <c r="A29" s="35" t="s">
        <v>2</v>
      </c>
      <c r="B29" s="36"/>
      <c r="C29" s="61" t="s">
        <v>17</v>
      </c>
      <c r="D29" s="61"/>
      <c r="E29" s="61"/>
      <c r="F29" s="61"/>
      <c r="G29" s="61" t="s">
        <v>17</v>
      </c>
      <c r="H29" s="61"/>
      <c r="I29" s="37"/>
      <c r="J29" s="16"/>
      <c r="K29" s="3"/>
      <c r="L29" s="21"/>
    </row>
    <row r="30" spans="1:12" ht="30" customHeight="1" x14ac:dyDescent="0.25">
      <c r="A30" s="35" t="s">
        <v>1</v>
      </c>
      <c r="B30" s="54"/>
      <c r="C30" s="63"/>
      <c r="D30" s="63"/>
      <c r="E30" s="63"/>
      <c r="F30" s="63"/>
      <c r="G30" s="63"/>
      <c r="H30" s="63"/>
      <c r="I30" s="55"/>
      <c r="J30" s="16"/>
      <c r="K30" s="3"/>
      <c r="L30" s="21"/>
    </row>
    <row r="31" spans="1:12" ht="30" customHeight="1" x14ac:dyDescent="0.25">
      <c r="A31" s="35" t="s">
        <v>2</v>
      </c>
      <c r="B31" s="39"/>
      <c r="C31" s="62"/>
      <c r="D31" s="62"/>
      <c r="E31" s="62"/>
      <c r="F31" s="62"/>
      <c r="G31" s="62"/>
      <c r="H31" s="62"/>
      <c r="I31" s="40"/>
      <c r="J31" s="22"/>
      <c r="K31" s="3"/>
      <c r="L31" s="21"/>
    </row>
  </sheetData>
  <dataConsolidate/>
  <mergeCells count="63">
    <mergeCell ref="E11:F11"/>
    <mergeCell ref="C11:D11"/>
    <mergeCell ref="C17:D17"/>
    <mergeCell ref="C12:D12"/>
    <mergeCell ref="C13:D13"/>
    <mergeCell ref="C14:D14"/>
    <mergeCell ref="C15:D15"/>
    <mergeCell ref="C16:D16"/>
    <mergeCell ref="E14:F14"/>
    <mergeCell ref="E13:F13"/>
    <mergeCell ref="E12:F12"/>
    <mergeCell ref="C31:D3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8:D18"/>
    <mergeCell ref="C19:D19"/>
    <mergeCell ref="C20:D20"/>
    <mergeCell ref="C21:D21"/>
    <mergeCell ref="E31:F31"/>
    <mergeCell ref="E30:F30"/>
    <mergeCell ref="E29:F29"/>
    <mergeCell ref="E28:F28"/>
    <mergeCell ref="E27:F27"/>
    <mergeCell ref="E26:F26"/>
    <mergeCell ref="E25:F25"/>
    <mergeCell ref="E24:F24"/>
    <mergeCell ref="E23:F23"/>
    <mergeCell ref="E22:F22"/>
    <mergeCell ref="E21:F21"/>
    <mergeCell ref="E20:F20"/>
    <mergeCell ref="E19:F19"/>
    <mergeCell ref="E18:F18"/>
    <mergeCell ref="E17:F17"/>
    <mergeCell ref="E16:F16"/>
    <mergeCell ref="E15:F15"/>
    <mergeCell ref="G31:H31"/>
    <mergeCell ref="G20:H20"/>
    <mergeCell ref="G21:H21"/>
    <mergeCell ref="G22:H22"/>
    <mergeCell ref="G28:H28"/>
    <mergeCell ref="G29:H29"/>
    <mergeCell ref="G30:H30"/>
    <mergeCell ref="G23:H23"/>
    <mergeCell ref="G24:H24"/>
    <mergeCell ref="G25:H25"/>
    <mergeCell ref="G26:H26"/>
    <mergeCell ref="G18:H18"/>
    <mergeCell ref="G19:H19"/>
    <mergeCell ref="G14:H14"/>
    <mergeCell ref="G15:H15"/>
    <mergeCell ref="G27:H27"/>
    <mergeCell ref="G11:H11"/>
    <mergeCell ref="G12:H12"/>
    <mergeCell ref="G13:H13"/>
    <mergeCell ref="G16:H16"/>
    <mergeCell ref="G17:H17"/>
  </mergeCells>
  <phoneticPr fontId="2" type="noConversion"/>
  <conditionalFormatting sqref="C3:H3">
    <cfRule type="expression" dxfId="85" priority="9" stopIfTrue="1">
      <formula>DAY(C3)&gt;8</formula>
    </cfRule>
  </conditionalFormatting>
  <conditionalFormatting sqref="C7:I8">
    <cfRule type="expression" dxfId="84" priority="8" stopIfTrue="1">
      <formula>AND(DAY(C7)&gt;=1,DAY(C7)&lt;=15)</formula>
    </cfRule>
  </conditionalFormatting>
  <conditionalFormatting sqref="C3:I8">
    <cfRule type="expression" dxfId="83" priority="20">
      <formula>VLOOKUP(DAY(C3),DanOddajeNaloge,1,FALSE)=DAY(C3)</formula>
    </cfRule>
  </conditionalFormatting>
  <conditionalFormatting sqref="B12:I12 B14:I14 B16:I16 B18:I18 B20:I20 B22:I22 B24:I24 B26:I26 B28:I28 B30:I30">
    <cfRule type="expression" dxfId="82" priority="6">
      <formula>B12&lt;&gt;""</formula>
    </cfRule>
  </conditionalFormatting>
  <conditionalFormatting sqref="B13:I13 B15:I15 B17:I17 B19:I19 B21:I21 B23:I23 B25:I25 B27:I27 B29:I29 B31:I31">
    <cfRule type="expression" dxfId="81" priority="4">
      <formula>B13&lt;&gt;""</formula>
    </cfRule>
  </conditionalFormatting>
  <conditionalFormatting sqref="B13:I13 B15:I15 B17:I17 B19:I19 B21:I21 B23:I23 B25:I25 B27:I27 B29:I29">
    <cfRule type="expression" dxfId="80" priority="3">
      <formula>COLUMN(B12)&gt;=2</formula>
    </cfRule>
  </conditionalFormatting>
  <conditionalFormatting sqref="B12:I31">
    <cfRule type="expression" dxfId="79" priority="1">
      <formula>COLUMN(B11)&gt;2</formula>
    </cfRule>
  </conditionalFormatting>
  <dataValidations xWindow="250" yWindow="581" count="13">
    <dataValidation allowBlank="1" showInputMessage="1" showErrorMessage="1" prompt="V to celico vnesite leto" sqref="B1" xr:uid="{00000000-0002-0000-0000-000000000000}"/>
    <dataValidation allowBlank="1" showInputMessage="1" showErrorMessage="1" prompt="Pripravite tedenski urnik in ustvarite seznam nalog na tem delovnem listu. Vnosi na seznamu nalog so samodejno označeni v mesečnem koledarju. Vnesite koledarsko leto v celico B1." sqref="A1" xr:uid="{00000000-0002-0000-0000-000001000000}"/>
    <dataValidation allowBlank="1" showInputMessage="1" showErrorMessage="1" prompt="V koledarju za januar so samodejno označeni vnosi s seznama nalog za ta mesec. Temnejše pisave so naloge. Svetlejše pisave so dnevi, ki sodijo v prejšnji ali naslednji mesec." sqref="B2" xr:uid="{00000000-0002-0000-0000-000002000000}"/>
    <dataValidation allowBlank="1" showInputMessage="1" showErrorMessage="1" prompt="Celice C2:I2 vsebujejo dneve v tednu." sqref="C2" xr:uid="{00000000-0002-0000-0000-000003000000}"/>
    <dataValidation allowBlank="1" showInputMessage="1" showErrorMessage="1" prompt="Če v tej celici ni številke 1, potem gre za dan iz prejšnjega meseca. V celicah C3:I8 so datumi trenutnega meseca." sqref="C3" xr:uid="{00000000-0002-0000-0000-000004000000}"/>
    <dataValidation allowBlank="1" showInputMessage="1" showErrorMessage="1" prompt="Vnesite uro predavanja in pod njo, v novo vrstico, razredu, ime predavanja za vsak delovni dan v stolpce od B do I. Ta vzorec ponovite za vsa predavanja v naslednjih vrsticah." sqref="B10" xr:uid="{00000000-0002-0000-0000-000005000000}"/>
    <dataValidation allowBlank="1" showInputMessage="1" showErrorMessage="1" prompt="V to vrstico vnesite predavanje, navedena v stolpcih B–I." sqref="B13" xr:uid="{00000000-0002-0000-0000-000006000000}"/>
    <dataValidation allowBlank="1" showInputMessage="1" showErrorMessage="1" prompt="V ta stolpec vnesite dan v mesecu za dodeljeno nalogo, ki ustreza delavniku v stolpcu J. Na ta dan bo označena naloga v koledarju na levi." sqref="K1" xr:uid="{00000000-0002-0000-0000-000007000000}"/>
    <dataValidation allowBlank="1" showInputMessage="1" showErrorMessage="1" prompt="V to vrstico vnesite čas, naveden v stolpcih B–I." sqref="B12" xr:uid="{00000000-0002-0000-0000-000008000000}"/>
    <dataValidation allowBlank="1" showInputMessage="1" showErrorMessage="1" prompt="V ta stolpec vnesite podrobnosti naloge, ki ustrezajo delavniku v stolpcu J in dnevu v stolpcu K za koledarski mesec na levi." sqref="L1" xr:uid="{00000000-0002-0000-0000-000009000000}"/>
    <dataValidation allowBlank="1" showInputMessage="1" showErrorMessage="1" prompt="Če je v tej vrstici število, ki je manjše od prejšnjega števila ali vrstice števil, potem ta vrstica vsebuje datume za naslednji koledarski mesec." sqref="C8" xr:uid="{00000000-0002-0000-0000-00000A000000}"/>
    <dataValidation allowBlank="1" showInputMessage="1" showErrorMessage="1" prompt="Dnevi v tednu so združeni v tem stolpcu s 6 vrsticami za naloge za vsak združen delavnik v mesecu. Če želite dodati več nalog, vstavite nove vrstice. V koledarju na levi bodo elementi označeni." sqref="J1" xr:uid="{00000000-0002-0000-0000-00000B000000}"/>
    <dataValidation allowBlank="1" showInputMessage="1" showErrorMessage="1" prompt="V tej vrstici so delovni dnevi, od ponedeljka do petka." sqref="B11" xr:uid="{00000000-0002-0000-0000-00000C000000}"/>
  </dataValidations>
  <printOptions horizontalCentered="1" verticalCentered="1"/>
  <pageMargins left="0.5" right="0.5" top="0.5" bottom="0.5" header="0.3" footer="0.3"/>
  <pageSetup paperSize="9" scale="58" orientation="landscape" r:id="rId1"/>
  <headerFooter differentFirst="1">
    <oddFooter>Page &amp;P of &amp;N</oddFooter>
  </headerFooter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" customWidth="1"/>
    <col min="11" max="11" width="10.625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KoledarskoLeto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33" t="s">
        <v>29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24"/>
    </row>
    <row r="3" spans="1:12" ht="30" customHeight="1" x14ac:dyDescent="0.25">
      <c r="A3" s="19"/>
      <c r="C3" s="52">
        <f>IF(DAY(FebNed1)=1,FebNed1-6,FebNed1+1)</f>
        <v>44228</v>
      </c>
      <c r="D3" s="52">
        <f>IF(DAY(FebNed1)=1,FebNed1-5,FebNed1+2)</f>
        <v>44229</v>
      </c>
      <c r="E3" s="52">
        <f>IF(DAY(FebNed1)=1,FebNed1-4,FebNed1+3)</f>
        <v>44230</v>
      </c>
      <c r="F3" s="52">
        <f>IF(DAY(FebNed1)=1,FebNed1-3,FebNed1+4)</f>
        <v>44231</v>
      </c>
      <c r="G3" s="52">
        <f>IF(DAY(FebNed1)=1,FebNed1-2,FebNed1+5)</f>
        <v>44232</v>
      </c>
      <c r="H3" s="52">
        <f>IF(DAY(FebNed1)=1,FebNed1-1,FebNed1+6)</f>
        <v>44233</v>
      </c>
      <c r="I3" s="52">
        <f>IF(DAY(FebNed1)=1,FebNed1,FebNed1+7)</f>
        <v>44234</v>
      </c>
      <c r="J3" s="16"/>
      <c r="K3" s="3"/>
      <c r="L3" s="24"/>
    </row>
    <row r="4" spans="1:12" ht="30" customHeight="1" x14ac:dyDescent="0.25">
      <c r="A4" s="19"/>
      <c r="C4" s="52">
        <f>IF(DAY(FebNed1)=1,FebNed1+1,FebNed1+8)</f>
        <v>44235</v>
      </c>
      <c r="D4" s="52">
        <f>IF(DAY(FebNed1)=1,FebNed1+2,FebNed1+9)</f>
        <v>44236</v>
      </c>
      <c r="E4" s="52">
        <f>IF(DAY(FebNed1)=1,FebNed1+3,FebNed1+10)</f>
        <v>44237</v>
      </c>
      <c r="F4" s="52">
        <f>IF(DAY(FebNed1)=1,FebNed1+4,FebNed1+11)</f>
        <v>44238</v>
      </c>
      <c r="G4" s="52">
        <f>IF(DAY(FebNed1)=1,FebNed1+5,FebNed1+12)</f>
        <v>44239</v>
      </c>
      <c r="H4" s="52">
        <f>IF(DAY(FebNed1)=1,FebNed1+6,FebNed1+13)</f>
        <v>44240</v>
      </c>
      <c r="I4" s="52">
        <f>IF(DAY(FebNed1)=1,FebNed1+7,FebNed1+14)</f>
        <v>44241</v>
      </c>
      <c r="J4" s="16"/>
      <c r="K4" s="3"/>
      <c r="L4" s="24"/>
    </row>
    <row r="5" spans="1:12" ht="30" customHeight="1" x14ac:dyDescent="0.25">
      <c r="A5" s="19"/>
      <c r="C5" s="52">
        <f>IF(DAY(FebNed1)=1,FebNed1+8,FebNed1+15)</f>
        <v>44242</v>
      </c>
      <c r="D5" s="52">
        <f>IF(DAY(FebNed1)=1,FebNed1+9,FebNed1+16)</f>
        <v>44243</v>
      </c>
      <c r="E5" s="52">
        <f>IF(DAY(FebNed1)=1,FebNed1+10,FebNed1+17)</f>
        <v>44244</v>
      </c>
      <c r="F5" s="52">
        <f>IF(DAY(FebNed1)=1,FebNed1+11,FebNed1+18)</f>
        <v>44245</v>
      </c>
      <c r="G5" s="52">
        <f>IF(DAY(FebNed1)=1,FebNed1+12,FebNed1+19)</f>
        <v>44246</v>
      </c>
      <c r="H5" s="52">
        <f>IF(DAY(FebNed1)=1,FebNed1+13,FebNed1+20)</f>
        <v>44247</v>
      </c>
      <c r="I5" s="52">
        <f>IF(DAY(FebNed1)=1,FebNed1+14,FebNed1+21)</f>
        <v>44248</v>
      </c>
      <c r="J5" s="16"/>
      <c r="K5" s="3"/>
      <c r="L5" s="24"/>
    </row>
    <row r="6" spans="1:12" ht="30" customHeight="1" x14ac:dyDescent="0.25">
      <c r="A6" s="19"/>
      <c r="C6" s="52">
        <f>IF(DAY(FebNed1)=1,FebNed1+15,FebNed1+22)</f>
        <v>44249</v>
      </c>
      <c r="D6" s="52">
        <f>IF(DAY(FebNed1)=1,FebNed1+16,FebNed1+23)</f>
        <v>44250</v>
      </c>
      <c r="E6" s="52">
        <f>IF(DAY(FebNed1)=1,FebNed1+17,FebNed1+24)</f>
        <v>44251</v>
      </c>
      <c r="F6" s="52">
        <f>IF(DAY(FebNed1)=1,FebNed1+18,FebNed1+25)</f>
        <v>44252</v>
      </c>
      <c r="G6" s="52">
        <f>IF(DAY(FebNed1)=1,FebNed1+19,FebNed1+26)</f>
        <v>44253</v>
      </c>
      <c r="H6" s="52">
        <f>IF(DAY(FebNed1)=1,FebNed1+20,FebNed1+27)</f>
        <v>44254</v>
      </c>
      <c r="I6" s="52">
        <f>IF(DAY(FebNed1)=1,FebNed1+21,FebNed1+28)</f>
        <v>44255</v>
      </c>
      <c r="J6" s="16"/>
      <c r="K6" s="3"/>
      <c r="L6" s="24"/>
    </row>
    <row r="7" spans="1:12" ht="30" customHeight="1" x14ac:dyDescent="0.25">
      <c r="A7" s="19"/>
      <c r="C7" s="52">
        <f>IF(DAY(FebNed1)=1,FebNed1+22,FebNed1+29)</f>
        <v>44256</v>
      </c>
      <c r="D7" s="52">
        <f>IF(DAY(FebNed1)=1,FebNed1+23,FebNed1+30)</f>
        <v>44257</v>
      </c>
      <c r="E7" s="52">
        <f>IF(DAY(FebNed1)=1,FebNed1+24,FebNed1+31)</f>
        <v>44258</v>
      </c>
      <c r="F7" s="52">
        <f>IF(DAY(FebNed1)=1,FebNed1+25,FebNed1+32)</f>
        <v>44259</v>
      </c>
      <c r="G7" s="52">
        <f>IF(DAY(FebNed1)=1,FebNed1+26,FebNed1+33)</f>
        <v>44260</v>
      </c>
      <c r="H7" s="52">
        <f>IF(DAY(FebNed1)=1,FebNed1+27,FebNed1+34)</f>
        <v>44261</v>
      </c>
      <c r="I7" s="52">
        <f>IF(DAY(FebNed1)=1,FebNed1+28,FebNed1+35)</f>
        <v>44262</v>
      </c>
      <c r="J7" s="29"/>
      <c r="K7" s="27"/>
      <c r="L7" s="25"/>
    </row>
    <row r="8" spans="1:12" ht="30" customHeight="1" x14ac:dyDescent="0.25">
      <c r="A8" s="19"/>
      <c r="B8" s="25"/>
      <c r="C8" s="52">
        <f>IF(DAY(FebNed1)=1,FebNed1+29,FebNed1+36)</f>
        <v>44263</v>
      </c>
      <c r="D8" s="52">
        <f>IF(DAY(FebNed1)=1,FebNed1+30,FebNed1+37)</f>
        <v>44264</v>
      </c>
      <c r="E8" s="52">
        <f>IF(DAY(FebNed1)=1,FebNed1+31,FebNed1+38)</f>
        <v>44265</v>
      </c>
      <c r="F8" s="52">
        <f>IF(DAY(FebNed1)=1,FebNed1+32,FebNed1+39)</f>
        <v>44266</v>
      </c>
      <c r="G8" s="52">
        <f>IF(DAY(FebNed1)=1,FebNed1+33,FebNed1+40)</f>
        <v>44267</v>
      </c>
      <c r="H8" s="52">
        <f>IF(DAY(FebNed1)=1,FebNed1+34,FebNed1+41)</f>
        <v>44268</v>
      </c>
      <c r="I8" s="52">
        <f>IF(DAY(FebNed1)=1,FebNed1+35,FebNed1+42)</f>
        <v>44269</v>
      </c>
      <c r="J8" s="16" t="s">
        <v>13</v>
      </c>
      <c r="K8" s="30"/>
      <c r="L8" s="24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24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24"/>
    </row>
    <row r="11" spans="1:12" ht="30" customHeight="1" x14ac:dyDescent="0.25">
      <c r="A11" s="35" t="s">
        <v>28</v>
      </c>
      <c r="B11" s="34" t="s">
        <v>5</v>
      </c>
      <c r="C11" s="58" t="s">
        <v>13</v>
      </c>
      <c r="D11" s="59"/>
      <c r="E11" s="58" t="s">
        <v>18</v>
      </c>
      <c r="F11" s="59"/>
      <c r="G11" s="58" t="s">
        <v>19</v>
      </c>
      <c r="H11" s="59"/>
      <c r="I11" s="9" t="s">
        <v>20</v>
      </c>
      <c r="J11" s="16"/>
      <c r="K11" s="3"/>
      <c r="L11" s="24"/>
    </row>
    <row r="12" spans="1:12" ht="30" customHeight="1" x14ac:dyDescent="0.25">
      <c r="A12" s="35" t="s">
        <v>1</v>
      </c>
      <c r="B12" s="54" t="s">
        <v>6</v>
      </c>
      <c r="C12" s="60"/>
      <c r="D12" s="60"/>
      <c r="E12" s="60" t="s">
        <v>6</v>
      </c>
      <c r="F12" s="60"/>
      <c r="G12" s="60"/>
      <c r="H12" s="60"/>
      <c r="I12" s="56" t="s">
        <v>6</v>
      </c>
      <c r="J12" s="16"/>
      <c r="K12" s="3"/>
      <c r="L12" s="24"/>
    </row>
    <row r="13" spans="1:12" ht="30" customHeight="1" x14ac:dyDescent="0.25">
      <c r="A13" s="35" t="s">
        <v>2</v>
      </c>
      <c r="B13" s="36" t="s">
        <v>7</v>
      </c>
      <c r="C13" s="61"/>
      <c r="D13" s="61"/>
      <c r="E13" s="61" t="s">
        <v>7</v>
      </c>
      <c r="F13" s="61"/>
      <c r="G13" s="61"/>
      <c r="H13" s="61"/>
      <c r="I13" s="41" t="s">
        <v>7</v>
      </c>
      <c r="J13" s="29"/>
      <c r="K13" s="27"/>
      <c r="L13" s="25"/>
    </row>
    <row r="14" spans="1:12" ht="30" customHeight="1" x14ac:dyDescent="0.25">
      <c r="A14" s="35" t="s">
        <v>1</v>
      </c>
      <c r="B14" s="54"/>
      <c r="C14" s="63" t="s">
        <v>14</v>
      </c>
      <c r="D14" s="63"/>
      <c r="E14" s="63"/>
      <c r="F14" s="63"/>
      <c r="G14" s="63" t="s">
        <v>14</v>
      </c>
      <c r="H14" s="63"/>
      <c r="I14" s="56"/>
      <c r="J14" s="16" t="s">
        <v>18</v>
      </c>
      <c r="K14" s="30"/>
      <c r="L14" s="24"/>
    </row>
    <row r="15" spans="1:12" ht="30" customHeight="1" x14ac:dyDescent="0.25">
      <c r="A15" s="35" t="s">
        <v>2</v>
      </c>
      <c r="B15" s="36"/>
      <c r="C15" s="61" t="s">
        <v>15</v>
      </c>
      <c r="D15" s="61"/>
      <c r="E15" s="61"/>
      <c r="F15" s="61"/>
      <c r="G15" s="61" t="s">
        <v>15</v>
      </c>
      <c r="H15" s="61"/>
      <c r="I15" s="41"/>
      <c r="J15" s="16"/>
      <c r="K15" s="3"/>
      <c r="L15" s="24"/>
    </row>
    <row r="16" spans="1:12" ht="30" customHeight="1" x14ac:dyDescent="0.25">
      <c r="A16" s="35" t="s">
        <v>1</v>
      </c>
      <c r="B16" s="54" t="s">
        <v>8</v>
      </c>
      <c r="C16" s="63"/>
      <c r="D16" s="63"/>
      <c r="E16" s="63" t="s">
        <v>8</v>
      </c>
      <c r="F16" s="63"/>
      <c r="G16" s="63"/>
      <c r="H16" s="63"/>
      <c r="I16" s="57" t="s">
        <v>8</v>
      </c>
      <c r="J16" s="16"/>
      <c r="K16" s="3"/>
      <c r="L16" s="24"/>
    </row>
    <row r="17" spans="1:12" ht="30" customHeight="1" x14ac:dyDescent="0.25">
      <c r="A17" s="35" t="s">
        <v>2</v>
      </c>
      <c r="B17" s="36" t="s">
        <v>9</v>
      </c>
      <c r="C17" s="61"/>
      <c r="D17" s="61"/>
      <c r="E17" s="61" t="s">
        <v>9</v>
      </c>
      <c r="F17" s="61"/>
      <c r="G17" s="61"/>
      <c r="H17" s="61"/>
      <c r="I17" s="41" t="s">
        <v>9</v>
      </c>
      <c r="J17" s="16"/>
      <c r="K17" s="3"/>
      <c r="L17" s="24"/>
    </row>
    <row r="18" spans="1:12" ht="30" customHeight="1" x14ac:dyDescent="0.25">
      <c r="A18" s="35" t="s">
        <v>1</v>
      </c>
      <c r="B18" s="54"/>
      <c r="C18" s="63"/>
      <c r="D18" s="63"/>
      <c r="E18" s="63"/>
      <c r="F18" s="63"/>
      <c r="G18" s="63"/>
      <c r="H18" s="63"/>
      <c r="I18" s="56"/>
      <c r="J18" s="16"/>
      <c r="K18" s="3"/>
      <c r="L18" s="24"/>
    </row>
    <row r="19" spans="1:12" ht="30" customHeight="1" x14ac:dyDescent="0.25">
      <c r="A19" s="35" t="s">
        <v>2</v>
      </c>
      <c r="B19" s="36"/>
      <c r="C19" s="61"/>
      <c r="D19" s="61"/>
      <c r="E19" s="61"/>
      <c r="F19" s="61"/>
      <c r="G19" s="61"/>
      <c r="H19" s="61"/>
      <c r="I19" s="42"/>
      <c r="J19" s="29"/>
      <c r="K19" s="27"/>
      <c r="L19" s="25"/>
    </row>
    <row r="20" spans="1:12" ht="30" customHeight="1" x14ac:dyDescent="0.25">
      <c r="A20" s="35" t="s">
        <v>1</v>
      </c>
      <c r="B20" s="54"/>
      <c r="C20" s="63"/>
      <c r="D20" s="63"/>
      <c r="E20" s="63"/>
      <c r="F20" s="63"/>
      <c r="G20" s="63"/>
      <c r="H20" s="63"/>
      <c r="I20" s="56"/>
      <c r="J20" s="16" t="s">
        <v>19</v>
      </c>
      <c r="K20" s="30"/>
      <c r="L20" s="24"/>
    </row>
    <row r="21" spans="1:12" ht="30" customHeight="1" x14ac:dyDescent="0.25">
      <c r="A21" s="35" t="s">
        <v>2</v>
      </c>
      <c r="B21" s="36"/>
      <c r="C21" s="61"/>
      <c r="D21" s="61"/>
      <c r="E21" s="61"/>
      <c r="F21" s="61"/>
      <c r="G21" s="61"/>
      <c r="H21" s="61"/>
      <c r="I21" s="41"/>
      <c r="J21" s="16"/>
      <c r="K21" s="3"/>
      <c r="L21" s="24"/>
    </row>
    <row r="22" spans="1:12" ht="30" customHeight="1" x14ac:dyDescent="0.25">
      <c r="A22" s="35" t="s">
        <v>1</v>
      </c>
      <c r="B22" s="54"/>
      <c r="C22" s="63"/>
      <c r="D22" s="63"/>
      <c r="E22" s="63"/>
      <c r="F22" s="63"/>
      <c r="G22" s="63"/>
      <c r="H22" s="63"/>
      <c r="I22" s="56"/>
      <c r="J22" s="16"/>
      <c r="K22" s="3"/>
      <c r="L22" s="24"/>
    </row>
    <row r="23" spans="1:12" ht="30" customHeight="1" x14ac:dyDescent="0.25">
      <c r="A23" s="35" t="s">
        <v>2</v>
      </c>
      <c r="B23" s="36"/>
      <c r="C23" s="61"/>
      <c r="D23" s="61"/>
      <c r="E23" s="61"/>
      <c r="F23" s="61"/>
      <c r="G23" s="61"/>
      <c r="H23" s="61"/>
      <c r="I23" s="41"/>
      <c r="J23" s="16"/>
      <c r="K23" s="3"/>
      <c r="L23" s="24"/>
    </row>
    <row r="24" spans="1:12" ht="30" customHeight="1" x14ac:dyDescent="0.25">
      <c r="A24" s="35" t="s">
        <v>1</v>
      </c>
      <c r="B24" s="54" t="s">
        <v>10</v>
      </c>
      <c r="C24" s="63"/>
      <c r="D24" s="63"/>
      <c r="E24" s="63" t="s">
        <v>10</v>
      </c>
      <c r="F24" s="63"/>
      <c r="G24" s="63"/>
      <c r="H24" s="63"/>
      <c r="I24" s="56" t="s">
        <v>10</v>
      </c>
      <c r="J24" s="16"/>
      <c r="K24" s="3"/>
      <c r="L24" s="24"/>
    </row>
    <row r="25" spans="1:12" ht="30" customHeight="1" x14ac:dyDescent="0.25">
      <c r="A25" s="35" t="s">
        <v>2</v>
      </c>
      <c r="B25" s="36" t="s">
        <v>11</v>
      </c>
      <c r="C25" s="61"/>
      <c r="D25" s="61"/>
      <c r="E25" s="61" t="s">
        <v>11</v>
      </c>
      <c r="F25" s="61"/>
      <c r="G25" s="61"/>
      <c r="H25" s="61"/>
      <c r="I25" s="41" t="s">
        <v>11</v>
      </c>
      <c r="J25" s="29"/>
      <c r="K25" s="27"/>
      <c r="L25" s="25"/>
    </row>
    <row r="26" spans="1:12" ht="30" customHeight="1" x14ac:dyDescent="0.25">
      <c r="A26" s="35" t="s">
        <v>1</v>
      </c>
      <c r="B26" s="54"/>
      <c r="C26" s="63"/>
      <c r="D26" s="63"/>
      <c r="E26" s="63"/>
      <c r="F26" s="63"/>
      <c r="G26" s="63"/>
      <c r="H26" s="63"/>
      <c r="I26" s="56"/>
      <c r="J26" s="16" t="s">
        <v>20</v>
      </c>
      <c r="K26" s="30"/>
      <c r="L26" s="24"/>
    </row>
    <row r="27" spans="1:12" ht="30" customHeight="1" x14ac:dyDescent="0.25">
      <c r="A27" s="35" t="s">
        <v>2</v>
      </c>
      <c r="B27" s="36"/>
      <c r="C27" s="61"/>
      <c r="D27" s="61"/>
      <c r="E27" s="61"/>
      <c r="F27" s="61"/>
      <c r="G27" s="61"/>
      <c r="H27" s="61"/>
      <c r="I27" s="41"/>
      <c r="J27" s="16"/>
      <c r="K27" s="3"/>
      <c r="L27" s="24"/>
    </row>
    <row r="28" spans="1:12" ht="30" customHeight="1" x14ac:dyDescent="0.25">
      <c r="A28" s="35" t="s">
        <v>1</v>
      </c>
      <c r="B28" s="54"/>
      <c r="C28" s="63" t="s">
        <v>16</v>
      </c>
      <c r="D28" s="63"/>
      <c r="E28" s="63"/>
      <c r="F28" s="63"/>
      <c r="G28" s="63" t="s">
        <v>16</v>
      </c>
      <c r="H28" s="63"/>
      <c r="I28" s="56"/>
      <c r="J28" s="16"/>
      <c r="K28" s="3"/>
      <c r="L28" s="24"/>
    </row>
    <row r="29" spans="1:12" ht="30" customHeight="1" x14ac:dyDescent="0.25">
      <c r="A29" s="35" t="s">
        <v>2</v>
      </c>
      <c r="B29" s="36"/>
      <c r="C29" s="61" t="s">
        <v>17</v>
      </c>
      <c r="D29" s="61"/>
      <c r="E29" s="61"/>
      <c r="F29" s="61"/>
      <c r="G29" s="61" t="s">
        <v>17</v>
      </c>
      <c r="H29" s="61"/>
      <c r="I29" s="41"/>
      <c r="J29" s="16"/>
      <c r="K29" s="3"/>
      <c r="L29" s="24"/>
    </row>
    <row r="30" spans="1:12" ht="30" customHeight="1" x14ac:dyDescent="0.25">
      <c r="A30" s="35" t="s">
        <v>1</v>
      </c>
      <c r="B30" s="54"/>
      <c r="C30" s="63"/>
      <c r="D30" s="63"/>
      <c r="E30" s="63"/>
      <c r="F30" s="63"/>
      <c r="G30" s="63"/>
      <c r="H30" s="63"/>
      <c r="I30" s="56"/>
      <c r="J30" s="16"/>
      <c r="K30" s="3"/>
      <c r="L30" s="24"/>
    </row>
    <row r="31" spans="1:12" ht="30" customHeight="1" x14ac:dyDescent="0.25">
      <c r="A31" s="35" t="s">
        <v>2</v>
      </c>
      <c r="B31" s="43"/>
      <c r="C31" s="64"/>
      <c r="D31" s="64"/>
      <c r="E31" s="64"/>
      <c r="F31" s="64"/>
      <c r="G31" s="64"/>
      <c r="H31" s="64"/>
      <c r="I31" s="40"/>
      <c r="J31" s="16"/>
      <c r="K31" s="27"/>
      <c r="L31" s="24"/>
    </row>
  </sheetData>
  <mergeCells count="63">
    <mergeCell ref="C11:D11"/>
    <mergeCell ref="E11:F11"/>
    <mergeCell ref="G11:H11"/>
    <mergeCell ref="C12:D12"/>
    <mergeCell ref="E12:F12"/>
    <mergeCell ref="G12:H12"/>
    <mergeCell ref="C13:D13"/>
    <mergeCell ref="E13:F13"/>
    <mergeCell ref="G13:H13"/>
    <mergeCell ref="C16:D16"/>
    <mergeCell ref="E16:F16"/>
    <mergeCell ref="G16:H16"/>
    <mergeCell ref="C14:D14"/>
    <mergeCell ref="E14:F14"/>
    <mergeCell ref="G14:H14"/>
    <mergeCell ref="C15:D15"/>
    <mergeCell ref="E15:F15"/>
    <mergeCell ref="G15:H15"/>
    <mergeCell ref="C17:D17"/>
    <mergeCell ref="E17:F17"/>
    <mergeCell ref="G17:H17"/>
    <mergeCell ref="C18:D18"/>
    <mergeCell ref="E18:F18"/>
    <mergeCell ref="G18:H18"/>
    <mergeCell ref="C21:D21"/>
    <mergeCell ref="E21:F21"/>
    <mergeCell ref="G21:H21"/>
    <mergeCell ref="C19:D19"/>
    <mergeCell ref="E19:F19"/>
    <mergeCell ref="G19:H19"/>
    <mergeCell ref="C20:D20"/>
    <mergeCell ref="E20:F20"/>
    <mergeCell ref="G20:H20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8:D28"/>
    <mergeCell ref="E28:F28"/>
    <mergeCell ref="G28:H28"/>
    <mergeCell ref="C26:D26"/>
    <mergeCell ref="E26:F26"/>
    <mergeCell ref="G26:H26"/>
    <mergeCell ref="C27:D27"/>
    <mergeCell ref="E27:F27"/>
    <mergeCell ref="G27:H27"/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</mergeCells>
  <conditionalFormatting sqref="C3:H3">
    <cfRule type="expression" dxfId="78" priority="9" stopIfTrue="1">
      <formula>DAY(C3)&gt;8</formula>
    </cfRule>
  </conditionalFormatting>
  <conditionalFormatting sqref="C7:I8">
    <cfRule type="expression" dxfId="77" priority="8" stopIfTrue="1">
      <formula>AND(DAY(C7)&gt;=1,DAY(C7)&lt;=15)</formula>
    </cfRule>
  </conditionalFormatting>
  <conditionalFormatting sqref="C3:I8">
    <cfRule type="expression" dxfId="76" priority="10">
      <formula>VLOOKUP(DAY(C3),DanOddajeNaloge,1,FALSE)=DAY(C3)</formula>
    </cfRule>
  </conditionalFormatting>
  <conditionalFormatting sqref="B13:I13 B15:I15 B17:I17 B19:I19 B21:I21 B23:I23 B25:I25 B27:I27 B29:I29 B31:I31">
    <cfRule type="expression" dxfId="75" priority="7">
      <formula>B13&lt;&gt;""</formula>
    </cfRule>
  </conditionalFormatting>
  <conditionalFormatting sqref="B12:I12 B14:I14 B16:I16 B18:I18 B20:I20 B22:I22 B24:I24 B26:I26 B28:I28 B30:I30">
    <cfRule type="expression" dxfId="74" priority="6">
      <formula>B12&lt;&gt;""</formula>
    </cfRule>
  </conditionalFormatting>
  <conditionalFormatting sqref="B13:I13 B15:I15 B17:I17 B19:I19 B21:I21 B23:I23 B25:I25 B27:I27 B29:I29">
    <cfRule type="expression" dxfId="73" priority="4">
      <formula>COLUMN(B12)&gt;=2</formula>
    </cfRule>
  </conditionalFormatting>
  <conditionalFormatting sqref="B12:I31">
    <cfRule type="expression" dxfId="72" priority="1">
      <formula>COLUMN(B12)&gt;2</formula>
    </cfRule>
  </conditionalFormatting>
  <dataValidations xWindow="95" yWindow="532" count="13">
    <dataValidation allowBlank="1" showInputMessage="1" showErrorMessage="1" prompt="V koledarju za februar so samodejno označeni vnosi s seznama nalog za ta mesec. Temnejše pisave so naloge. Svetlejše pisave so dnevi, ki sodijo v prejšnji ali naslednji mesec." sqref="B2" xr:uid="{00000000-0002-0000-0100-000000000000}"/>
    <dataValidation allowBlank="1" showInputMessage="1" showErrorMessage="1" prompt="Samodejno posodobljeno koledarsko leto. Če želite spremeniti leto, posodobite celico B1 na januarskem delovnem listu." sqref="B1" xr:uid="{00000000-0002-0000-0100-000001000000}"/>
    <dataValidation allowBlank="1" showInputMessage="1" showErrorMessage="1" prompt="Pripravite tedenski urnik in ustvarite seznam nalog na tem delovnem listu. Naloge so samodejno označene v mesečnem koledarju za leto, vneseno v celici B1 na januarskem delovnem listu." sqref="A1" xr:uid="{00000000-0002-0000-0100-000002000000}"/>
    <dataValidation allowBlank="1" showInputMessage="1" showErrorMessage="1" prompt="Celice C2:I2 vsebujejo dneve v tednu." sqref="C2" xr:uid="{00000000-0002-0000-0100-000003000000}"/>
    <dataValidation allowBlank="1" showInputMessage="1" showErrorMessage="1" prompt="Če v tej celici ni številke 1, potem gre za dan iz prejšnjega meseca. V celicah C3:I8 so datumi trenutnega meseca." sqref="C3" xr:uid="{00000000-0002-0000-0100-000004000000}"/>
    <dataValidation allowBlank="1" showInputMessage="1" showErrorMessage="1" prompt="Če je v tej vrstici število, ki je manjše od prejšnjega števila ali vrstice števil, potem ta vrstica vsebuje datume za naslednji koledarski mesec." sqref="C8" xr:uid="{00000000-0002-0000-0100-000005000000}"/>
    <dataValidation allowBlank="1" showInputMessage="1" showErrorMessage="1" prompt="V to vrstico vnesite čas, naveden v stolpcih B–I." sqref="B12" xr:uid="{00000000-0002-0000-0100-000006000000}"/>
    <dataValidation allowBlank="1" showInputMessage="1" showErrorMessage="1" prompt="V to vrstico vnesite predavanje, navedena v stolpcih B–I." sqref="B13" xr:uid="{00000000-0002-0000-0100-000007000000}"/>
    <dataValidation allowBlank="1" showInputMessage="1" showErrorMessage="1" prompt="Dnevi v tednu so združeni v tem stolpcu s 6 vrsticami za naloge za vsak združen delavnik v mesecu. Če želite dodati več nalog, vstavite nove vrstice. V koledarju na levi bodo elementi označeni." sqref="J1" xr:uid="{00000000-0002-0000-0100-000008000000}"/>
    <dataValidation allowBlank="1" showInputMessage="1" showErrorMessage="1" prompt="V ta stolpec vnesite podrobnosti naloge, ki ustrezajo delavniku v stolpcu J in dnevu v stolpcu K za koledarski mesec na levi." sqref="L1" xr:uid="{00000000-0002-0000-0100-000009000000}"/>
    <dataValidation allowBlank="1" showInputMessage="1" showErrorMessage="1" prompt="V ta stolpec vnesite dan v mesecu za dodeljeno nalogo, ki ustreza delavniku v stolpcu J. Na ta dan bo označena naloga v koledarju na levi." sqref="K1" xr:uid="{00000000-0002-0000-0100-00000A000000}"/>
    <dataValidation allowBlank="1" showInputMessage="1" showErrorMessage="1" prompt="V tej vrstici so delovni dnevi, od ponedeljka do petka." sqref="B11" xr:uid="{00000000-0002-0000-0100-00000B000000}"/>
    <dataValidation allowBlank="1" showInputMessage="1" showErrorMessage="1" prompt="Vnesite uro predavanja in pod njo, v novo vrstico, razredu, ime predavanja za vsak delovni dan v stolpce od B do I. Ta vzorec ponovite za vsa predavanja v naslednjih vrsticah." sqref="B10" xr:uid="{00000000-0002-0000-01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KoledarskoLeto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30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52">
        <f>IF(DAY(MarNed1)=1,MarNed1-6,MarNed1+1)</f>
        <v>44256</v>
      </c>
      <c r="D3" s="52">
        <f>IF(DAY(MarNed1)=1,MarNed1-5,MarNed1+2)</f>
        <v>44257</v>
      </c>
      <c r="E3" s="52">
        <f>IF(DAY(MarNed1)=1,MarNed1-4,MarNed1+3)</f>
        <v>44258</v>
      </c>
      <c r="F3" s="52">
        <f>IF(DAY(MarNed1)=1,MarNed1-3,MarNed1+4)</f>
        <v>44259</v>
      </c>
      <c r="G3" s="52">
        <f>IF(DAY(MarNed1)=1,MarNed1-2,MarNed1+5)</f>
        <v>44260</v>
      </c>
      <c r="H3" s="52">
        <f>IF(DAY(MarNed1)=1,MarNed1-1,MarNed1+6)</f>
        <v>44261</v>
      </c>
      <c r="I3" s="52">
        <f>IF(DAY(MarNed1)=1,MarNed1,MarNed1+7)</f>
        <v>44262</v>
      </c>
      <c r="J3" s="16"/>
      <c r="K3" s="3"/>
      <c r="L3" s="10"/>
    </row>
    <row r="4" spans="1:12" ht="30" customHeight="1" x14ac:dyDescent="0.25">
      <c r="A4" s="19"/>
      <c r="C4" s="52">
        <f>IF(DAY(MarNed1)=1,MarNed1+1,MarNed1+8)</f>
        <v>44263</v>
      </c>
      <c r="D4" s="52">
        <f>IF(DAY(MarNed1)=1,MarNed1+2,MarNed1+9)</f>
        <v>44264</v>
      </c>
      <c r="E4" s="52">
        <f>IF(DAY(MarNed1)=1,MarNed1+3,MarNed1+10)</f>
        <v>44265</v>
      </c>
      <c r="F4" s="52">
        <f>IF(DAY(MarNed1)=1,MarNed1+4,MarNed1+11)</f>
        <v>44266</v>
      </c>
      <c r="G4" s="52">
        <f>IF(DAY(MarNed1)=1,MarNed1+5,MarNed1+12)</f>
        <v>44267</v>
      </c>
      <c r="H4" s="52">
        <f>IF(DAY(MarNed1)=1,MarNed1+6,MarNed1+13)</f>
        <v>44268</v>
      </c>
      <c r="I4" s="52">
        <f>IF(DAY(MarNed1)=1,MarNed1+7,MarNed1+14)</f>
        <v>44269</v>
      </c>
      <c r="J4" s="16"/>
      <c r="K4" s="3"/>
      <c r="L4" s="10"/>
    </row>
    <row r="5" spans="1:12" ht="30" customHeight="1" x14ac:dyDescent="0.25">
      <c r="A5" s="19"/>
      <c r="C5" s="52">
        <f>IF(DAY(MarNed1)=1,MarNed1+8,MarNed1+15)</f>
        <v>44270</v>
      </c>
      <c r="D5" s="52">
        <f>IF(DAY(MarNed1)=1,MarNed1+9,MarNed1+16)</f>
        <v>44271</v>
      </c>
      <c r="E5" s="52">
        <f>IF(DAY(MarNed1)=1,MarNed1+10,MarNed1+17)</f>
        <v>44272</v>
      </c>
      <c r="F5" s="52">
        <f>IF(DAY(MarNed1)=1,MarNed1+11,MarNed1+18)</f>
        <v>44273</v>
      </c>
      <c r="G5" s="52">
        <f>IF(DAY(MarNed1)=1,MarNed1+12,MarNed1+19)</f>
        <v>44274</v>
      </c>
      <c r="H5" s="52">
        <f>IF(DAY(MarNed1)=1,MarNed1+13,MarNed1+20)</f>
        <v>44275</v>
      </c>
      <c r="I5" s="52">
        <f>IF(DAY(MarNed1)=1,MarNed1+14,MarNed1+21)</f>
        <v>44276</v>
      </c>
      <c r="J5" s="16"/>
      <c r="K5" s="3"/>
      <c r="L5" s="10"/>
    </row>
    <row r="6" spans="1:12" ht="30" customHeight="1" x14ac:dyDescent="0.25">
      <c r="A6" s="19"/>
      <c r="C6" s="52">
        <f>IF(DAY(MarNed1)=1,MarNed1+15,MarNed1+22)</f>
        <v>44277</v>
      </c>
      <c r="D6" s="52">
        <f>IF(DAY(MarNed1)=1,MarNed1+16,MarNed1+23)</f>
        <v>44278</v>
      </c>
      <c r="E6" s="52">
        <f>IF(DAY(MarNed1)=1,MarNed1+17,MarNed1+24)</f>
        <v>44279</v>
      </c>
      <c r="F6" s="52">
        <f>IF(DAY(MarNed1)=1,MarNed1+18,MarNed1+25)</f>
        <v>44280</v>
      </c>
      <c r="G6" s="52">
        <f>IF(DAY(MarNed1)=1,MarNed1+19,MarNed1+26)</f>
        <v>44281</v>
      </c>
      <c r="H6" s="52">
        <f>IF(DAY(MarNed1)=1,MarNed1+20,MarNed1+27)</f>
        <v>44282</v>
      </c>
      <c r="I6" s="52">
        <f>IF(DAY(MarNed1)=1,MarNed1+21,MarNed1+28)</f>
        <v>44283</v>
      </c>
      <c r="J6" s="16"/>
      <c r="K6" s="3"/>
      <c r="L6" s="10"/>
    </row>
    <row r="7" spans="1:12" ht="30" customHeight="1" x14ac:dyDescent="0.25">
      <c r="A7" s="19"/>
      <c r="C7" s="52">
        <f>IF(DAY(MarNed1)=1,MarNed1+22,MarNed1+29)</f>
        <v>44284</v>
      </c>
      <c r="D7" s="52">
        <f>IF(DAY(MarNed1)=1,MarNed1+23,MarNed1+30)</f>
        <v>44285</v>
      </c>
      <c r="E7" s="52">
        <f>IF(DAY(MarNed1)=1,MarNed1+24,MarNed1+31)</f>
        <v>44286</v>
      </c>
      <c r="F7" s="52">
        <f>IF(DAY(MarNed1)=1,MarNed1+25,MarNed1+32)</f>
        <v>44287</v>
      </c>
      <c r="G7" s="52">
        <f>IF(DAY(MarNed1)=1,MarNed1+26,MarNed1+33)</f>
        <v>44288</v>
      </c>
      <c r="H7" s="52">
        <f>IF(DAY(MarNed1)=1,MarNed1+27,MarNed1+34)</f>
        <v>44289</v>
      </c>
      <c r="I7" s="52">
        <f>IF(DAY(MarNed1)=1,MarNed1+28,MarNed1+35)</f>
        <v>44290</v>
      </c>
      <c r="J7" s="1"/>
      <c r="K7" s="31"/>
      <c r="L7" s="26"/>
    </row>
    <row r="8" spans="1:12" ht="30" customHeight="1" x14ac:dyDescent="0.25">
      <c r="A8" s="19"/>
      <c r="B8" s="25"/>
      <c r="C8" s="52">
        <f>IF(DAY(MarNed1)=1,MarNed1+29,MarNed1+36)</f>
        <v>44291</v>
      </c>
      <c r="D8" s="52">
        <f>IF(DAY(MarNed1)=1,MarNed1+30,MarNed1+37)</f>
        <v>44292</v>
      </c>
      <c r="E8" s="52">
        <f>IF(DAY(MarNed1)=1,MarNed1+31,MarNed1+38)</f>
        <v>44293</v>
      </c>
      <c r="F8" s="52">
        <f>IF(DAY(MarNed1)=1,MarNed1+32,MarNed1+39)</f>
        <v>44294</v>
      </c>
      <c r="G8" s="52">
        <f>IF(DAY(MarNed1)=1,MarNed1+33,MarNed1+40)</f>
        <v>44295</v>
      </c>
      <c r="H8" s="52">
        <f>IF(DAY(MarNed1)=1,MarNed1+34,MarNed1+41)</f>
        <v>44296</v>
      </c>
      <c r="I8" s="52">
        <f>IF(DAY(MarNed1)=1,MarNed1+35,MarNed1+42)</f>
        <v>44297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28</v>
      </c>
      <c r="B11" s="34" t="s">
        <v>5</v>
      </c>
      <c r="C11" s="58" t="s">
        <v>13</v>
      </c>
      <c r="D11" s="59"/>
      <c r="E11" s="58" t="s">
        <v>18</v>
      </c>
      <c r="F11" s="59"/>
      <c r="G11" s="58" t="s">
        <v>19</v>
      </c>
      <c r="H11" s="59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54" t="s">
        <v>6</v>
      </c>
      <c r="C12" s="60"/>
      <c r="D12" s="60"/>
      <c r="E12" s="60" t="s">
        <v>6</v>
      </c>
      <c r="F12" s="60"/>
      <c r="G12" s="60"/>
      <c r="H12" s="60"/>
      <c r="I12" s="56" t="s">
        <v>6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61"/>
      <c r="D13" s="61"/>
      <c r="E13" s="61" t="s">
        <v>7</v>
      </c>
      <c r="F13" s="61"/>
      <c r="G13" s="61"/>
      <c r="H13" s="61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4"/>
      <c r="C14" s="60" t="s">
        <v>14</v>
      </c>
      <c r="D14" s="60"/>
      <c r="E14" s="60"/>
      <c r="F14" s="60"/>
      <c r="G14" s="60" t="s">
        <v>14</v>
      </c>
      <c r="H14" s="60"/>
      <c r="I14" s="56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61" t="s">
        <v>15</v>
      </c>
      <c r="D15" s="61"/>
      <c r="E15" s="61"/>
      <c r="F15" s="61"/>
      <c r="G15" s="61" t="s">
        <v>15</v>
      </c>
      <c r="H15" s="61"/>
      <c r="I15" s="41"/>
      <c r="J15" s="16"/>
      <c r="K15" s="3"/>
      <c r="L15" s="10"/>
    </row>
    <row r="16" spans="1:12" ht="30" customHeight="1" x14ac:dyDescent="0.25">
      <c r="A16" s="35" t="s">
        <v>1</v>
      </c>
      <c r="B16" s="54" t="s">
        <v>8</v>
      </c>
      <c r="C16" s="60"/>
      <c r="D16" s="60"/>
      <c r="E16" s="60" t="s">
        <v>8</v>
      </c>
      <c r="F16" s="60"/>
      <c r="G16" s="60"/>
      <c r="H16" s="60"/>
      <c r="I16" s="57" t="s">
        <v>8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61"/>
      <c r="D17" s="61"/>
      <c r="E17" s="61" t="s">
        <v>9</v>
      </c>
      <c r="F17" s="61"/>
      <c r="G17" s="61"/>
      <c r="H17" s="61"/>
      <c r="I17" s="41" t="s">
        <v>9</v>
      </c>
      <c r="J17" s="16"/>
      <c r="K17" s="3"/>
      <c r="L17" s="10"/>
    </row>
    <row r="18" spans="1:12" ht="30" customHeight="1" x14ac:dyDescent="0.25">
      <c r="A18" s="35" t="s">
        <v>1</v>
      </c>
      <c r="B18" s="54"/>
      <c r="C18" s="60"/>
      <c r="D18" s="60"/>
      <c r="E18" s="60"/>
      <c r="F18" s="60"/>
      <c r="G18" s="60"/>
      <c r="H18" s="60"/>
      <c r="I18" s="56"/>
      <c r="J18" s="16"/>
      <c r="K18" s="3"/>
      <c r="L18" s="10"/>
    </row>
    <row r="19" spans="1:12" ht="30" customHeight="1" x14ac:dyDescent="0.25">
      <c r="A19" s="35" t="s">
        <v>2</v>
      </c>
      <c r="B19" s="36"/>
      <c r="C19" s="61"/>
      <c r="D19" s="61"/>
      <c r="E19" s="61"/>
      <c r="F19" s="61"/>
      <c r="G19" s="61"/>
      <c r="H19" s="61"/>
      <c r="I19" s="42"/>
      <c r="J19" s="1"/>
      <c r="K19" s="31"/>
      <c r="L19" s="32"/>
    </row>
    <row r="20" spans="1:12" ht="30" customHeight="1" x14ac:dyDescent="0.25">
      <c r="A20" s="35" t="s">
        <v>1</v>
      </c>
      <c r="B20" s="54"/>
      <c r="C20" s="60"/>
      <c r="D20" s="60"/>
      <c r="E20" s="60"/>
      <c r="F20" s="60"/>
      <c r="G20" s="60"/>
      <c r="H20" s="60"/>
      <c r="I20" s="56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61"/>
      <c r="D21" s="61"/>
      <c r="E21" s="61"/>
      <c r="F21" s="61"/>
      <c r="G21" s="61"/>
      <c r="H21" s="61"/>
      <c r="I21" s="41"/>
      <c r="J21" s="16"/>
      <c r="K21" s="3"/>
      <c r="L21" s="10"/>
    </row>
    <row r="22" spans="1:12" ht="30" customHeight="1" x14ac:dyDescent="0.25">
      <c r="A22" s="35" t="s">
        <v>1</v>
      </c>
      <c r="B22" s="54"/>
      <c r="C22" s="60"/>
      <c r="D22" s="60"/>
      <c r="E22" s="60"/>
      <c r="F22" s="60"/>
      <c r="G22" s="60"/>
      <c r="H22" s="60"/>
      <c r="I22" s="56"/>
      <c r="J22" s="16"/>
      <c r="K22" s="3"/>
      <c r="L22" s="10"/>
    </row>
    <row r="23" spans="1:12" ht="30" customHeight="1" x14ac:dyDescent="0.25">
      <c r="A23" s="35" t="s">
        <v>2</v>
      </c>
      <c r="B23" s="36"/>
      <c r="C23" s="61"/>
      <c r="D23" s="61"/>
      <c r="E23" s="61"/>
      <c r="F23" s="61"/>
      <c r="G23" s="61"/>
      <c r="H23" s="61"/>
      <c r="I23" s="41"/>
      <c r="J23" s="16"/>
      <c r="K23" s="3"/>
      <c r="L23" s="10"/>
    </row>
    <row r="24" spans="1:12" ht="30" customHeight="1" x14ac:dyDescent="0.25">
      <c r="A24" s="35" t="s">
        <v>1</v>
      </c>
      <c r="B24" s="54" t="s">
        <v>10</v>
      </c>
      <c r="C24" s="60"/>
      <c r="D24" s="60"/>
      <c r="E24" s="60" t="s">
        <v>10</v>
      </c>
      <c r="F24" s="60"/>
      <c r="G24" s="60"/>
      <c r="H24" s="60"/>
      <c r="I24" s="56" t="s">
        <v>10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61"/>
      <c r="D25" s="61"/>
      <c r="E25" s="61" t="s">
        <v>11</v>
      </c>
      <c r="F25" s="61"/>
      <c r="G25" s="61"/>
      <c r="H25" s="61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4"/>
      <c r="C26" s="60"/>
      <c r="D26" s="60"/>
      <c r="E26" s="60"/>
      <c r="F26" s="60"/>
      <c r="G26" s="60"/>
      <c r="H26" s="60"/>
      <c r="I26" s="56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61"/>
      <c r="D27" s="61"/>
      <c r="E27" s="61"/>
      <c r="F27" s="61"/>
      <c r="G27" s="61"/>
      <c r="H27" s="61"/>
      <c r="I27" s="41"/>
      <c r="J27" s="16"/>
      <c r="K27" s="3"/>
      <c r="L27" s="10"/>
    </row>
    <row r="28" spans="1:12" ht="30" customHeight="1" x14ac:dyDescent="0.25">
      <c r="A28" s="35" t="s">
        <v>1</v>
      </c>
      <c r="B28" s="54"/>
      <c r="C28" s="60" t="s">
        <v>16</v>
      </c>
      <c r="D28" s="60"/>
      <c r="E28" s="60"/>
      <c r="F28" s="60"/>
      <c r="G28" s="60" t="s">
        <v>16</v>
      </c>
      <c r="H28" s="60"/>
      <c r="I28" s="56"/>
      <c r="J28" s="16"/>
      <c r="K28" s="3"/>
      <c r="L28" s="10"/>
    </row>
    <row r="29" spans="1:12" ht="30" customHeight="1" x14ac:dyDescent="0.25">
      <c r="A29" s="35" t="s">
        <v>2</v>
      </c>
      <c r="B29" s="36"/>
      <c r="C29" s="61" t="s">
        <v>17</v>
      </c>
      <c r="D29" s="61"/>
      <c r="E29" s="61"/>
      <c r="F29" s="61"/>
      <c r="G29" s="61" t="s">
        <v>17</v>
      </c>
      <c r="H29" s="61"/>
      <c r="I29" s="41"/>
      <c r="J29" s="16"/>
      <c r="K29" s="3"/>
      <c r="L29" s="10"/>
    </row>
    <row r="30" spans="1:12" ht="30" customHeight="1" x14ac:dyDescent="0.25">
      <c r="A30" s="35" t="s">
        <v>1</v>
      </c>
      <c r="B30" s="54"/>
      <c r="C30" s="60"/>
      <c r="D30" s="60"/>
      <c r="E30" s="60"/>
      <c r="F30" s="60"/>
      <c r="G30" s="60"/>
      <c r="H30" s="60"/>
      <c r="I30" s="56"/>
      <c r="J30" s="16"/>
      <c r="K30" s="3"/>
      <c r="L30" s="10"/>
    </row>
    <row r="31" spans="1:12" ht="30" customHeight="1" x14ac:dyDescent="0.25">
      <c r="A31" s="35" t="s">
        <v>2</v>
      </c>
      <c r="B31" s="39"/>
      <c r="C31" s="62"/>
      <c r="D31" s="62"/>
      <c r="E31" s="62"/>
      <c r="F31" s="62"/>
      <c r="G31" s="62"/>
      <c r="H31" s="62"/>
      <c r="I31" s="40"/>
      <c r="J31" s="16"/>
      <c r="K31" s="27"/>
      <c r="L31" s="49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71" priority="6" stopIfTrue="1">
      <formula>DAY(C3)&gt;8</formula>
    </cfRule>
  </conditionalFormatting>
  <conditionalFormatting sqref="C7:I8">
    <cfRule type="expression" dxfId="70" priority="5" stopIfTrue="1">
      <formula>AND(DAY(C7)&gt;=1,DAY(C7)&lt;=15)</formula>
    </cfRule>
  </conditionalFormatting>
  <conditionalFormatting sqref="C3:I8">
    <cfRule type="expression" dxfId="69" priority="7">
      <formula>VLOOKUP(DAY(C3),DanOddajeNaloge,1,FALSE)=DAY(C3)</formula>
    </cfRule>
  </conditionalFormatting>
  <conditionalFormatting sqref="B13:I13 B15:I15 B17:I17 B19:I19 B21:I21 B23:I23 B25:I25 B27:I27 B29:I29 B31:I31">
    <cfRule type="expression" dxfId="68" priority="4">
      <formula>B13&lt;&gt;""</formula>
    </cfRule>
  </conditionalFormatting>
  <conditionalFormatting sqref="B12:I12 B14:I14 B16:I16 B18:I18 B20:I20 B22:I22 B24:I24 B26:I26 B28:I28 B30:I30">
    <cfRule type="expression" dxfId="67" priority="3">
      <formula>B12&lt;&gt;""</formula>
    </cfRule>
  </conditionalFormatting>
  <conditionalFormatting sqref="B13:I13 B15:I15 B17:I17 B19:I19 B21:I21 B23:I23 B25:I25 B27:I27 B29:I29">
    <cfRule type="expression" dxfId="66" priority="2">
      <formula>COLUMN(B12)&gt;=2</formula>
    </cfRule>
  </conditionalFormatting>
  <conditionalFormatting sqref="B12:I31">
    <cfRule type="expression" dxfId="65" priority="1">
      <formula>COLUMN(B12)&gt;2</formula>
    </cfRule>
  </conditionalFormatting>
  <dataValidations count="13">
    <dataValidation allowBlank="1" showInputMessage="1" showErrorMessage="1" prompt="V to vrstico vnesite predavanje, navedena v stolpcih B–I." sqref="B13" xr:uid="{00000000-0002-0000-0200-000000000000}"/>
    <dataValidation allowBlank="1" showInputMessage="1" showErrorMessage="1" prompt="V to vrstico vnesite čas, naveden v stolpcih B–I." sqref="B12" xr:uid="{00000000-0002-0000-0200-000001000000}"/>
    <dataValidation allowBlank="1" showInputMessage="1" showErrorMessage="1" prompt="Če je v tej vrstici število, ki je manjše od prejšnjega števila ali vrstice števil, potem ta vrstica vsebuje datume za naslednji koledarski mesec." sqref="C8" xr:uid="{00000000-0002-0000-0200-000002000000}"/>
    <dataValidation allowBlank="1" showInputMessage="1" showErrorMessage="1" prompt="Če v tej celici ni številke 1, potem gre za dan iz prejšnjega meseca. V celicah C3:I8 so datumi trenutnega meseca." sqref="C3" xr:uid="{00000000-0002-0000-0200-000003000000}"/>
    <dataValidation allowBlank="1" showInputMessage="1" showErrorMessage="1" prompt="Celice C2:I2 vsebujejo dneve v tednu." sqref="C2" xr:uid="{00000000-0002-0000-0200-000004000000}"/>
    <dataValidation allowBlank="1" showInputMessage="1" showErrorMessage="1" prompt="Pripravite tedenski urnik in ustvarite seznam nalog na tem delovnem listu. Naloge so samodejno označene v mesečnem koledarju za leto, vneseno v celici B1 na januarskem delovnem listu." sqref="A1" xr:uid="{00000000-0002-0000-0200-000005000000}"/>
    <dataValidation allowBlank="1" showInputMessage="1" showErrorMessage="1" prompt="Samodejno posodobljeno koledarsko leto. Če želite spremeniti leto, posodobite celico B1 na januarskem delovnem listu." sqref="B1" xr:uid="{00000000-0002-0000-0200-000006000000}"/>
    <dataValidation allowBlank="1" showInputMessage="1" showErrorMessage="1" prompt="V koledarju za marec so samodejno označeni vnosi s seznama nalog za ta mesec. Temnejše pisave so naloge. Svetlejše pisave so dnevi, ki sodijo v prejšnji ali naslednji mesec." sqref="B2" xr:uid="{00000000-0002-0000-0200-000007000000}"/>
    <dataValidation allowBlank="1" showInputMessage="1" showErrorMessage="1" prompt="Dnevi v tednu so združeni v tem stolpcu s 6 vrsticami za naloge za vsak združen delavnik v mesecu. Če želite dodati več nalog, vstavite nove vrstice. V koledarju na levi bodo elementi označeni." sqref="J1" xr:uid="{00000000-0002-0000-0200-000008000000}"/>
    <dataValidation allowBlank="1" showInputMessage="1" showErrorMessage="1" prompt="V ta stolpec vnesite podrobnosti naloge, ki ustrezajo delavniku v stolpcu J in dnevu v stolpcu K za koledarski mesec na levi." sqref="L1" xr:uid="{00000000-0002-0000-0200-000009000000}"/>
    <dataValidation allowBlank="1" showInputMessage="1" showErrorMessage="1" prompt="V ta stolpec vnesite dan v mesecu za dodeljeno nalogo, ki ustreza delavniku v stolpcu J. Na ta dan bo označena naloga v koledarju na levi." sqref="K1" xr:uid="{00000000-0002-0000-0200-00000A000000}"/>
    <dataValidation allowBlank="1" showInputMessage="1" showErrorMessage="1" prompt="V tej vrstici so delovni dnevi, od ponedeljka do petka." sqref="B11" xr:uid="{00000000-0002-0000-0200-00000B000000}"/>
    <dataValidation allowBlank="1" showInputMessage="1" showErrorMessage="1" prompt="Vnesite uro predavanja in pod njo, v novo vrstico, razredu, ime predavanja za vsak delovni dan v stolpce od B do I. Ta vzorec ponovite za vsa predavanja v naslednjih vrsticah." sqref="B10" xr:uid="{00000000-0002-0000-02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4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5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16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KoledarskoLeto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50" t="s">
        <v>31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52">
        <f>IF(DAY(AprNed1)=1,AprNed1-6,AprNed1+1)</f>
        <v>44284</v>
      </c>
      <c r="D3" s="52">
        <f>IF(DAY(AprNed1)=1,AprNed1-5,AprNed1+2)</f>
        <v>44285</v>
      </c>
      <c r="E3" s="52">
        <f>IF(DAY(AprNed1)=1,AprNed1-4,AprNed1+3)</f>
        <v>44286</v>
      </c>
      <c r="F3" s="52">
        <f>IF(DAY(AprNed1)=1,AprNed1-3,AprNed1+4)</f>
        <v>44287</v>
      </c>
      <c r="G3" s="52">
        <f>IF(DAY(AprNed1)=1,AprNed1-2,AprNed1+5)</f>
        <v>44288</v>
      </c>
      <c r="H3" s="52">
        <f>IF(DAY(AprNed1)=1,AprNed1-1,AprNed1+6)</f>
        <v>44289</v>
      </c>
      <c r="I3" s="52">
        <f>IF(DAY(AprNed1)=1,AprNed1,AprNed1+7)</f>
        <v>44290</v>
      </c>
      <c r="K3" s="3"/>
      <c r="L3" s="10"/>
    </row>
    <row r="4" spans="1:12" ht="30" customHeight="1" x14ac:dyDescent="0.25">
      <c r="A4" s="19"/>
      <c r="C4" s="52">
        <f>IF(DAY(AprNed1)=1,AprNed1+1,AprNed1+8)</f>
        <v>44291</v>
      </c>
      <c r="D4" s="52">
        <f>IF(DAY(AprNed1)=1,AprNed1+2,AprNed1+9)</f>
        <v>44292</v>
      </c>
      <c r="E4" s="52">
        <f>IF(DAY(AprNed1)=1,AprNed1+3,AprNed1+10)</f>
        <v>44293</v>
      </c>
      <c r="F4" s="52">
        <f>IF(DAY(AprNed1)=1,AprNed1+4,AprNed1+11)</f>
        <v>44294</v>
      </c>
      <c r="G4" s="52">
        <f>IF(DAY(AprNed1)=1,AprNed1+5,AprNed1+12)</f>
        <v>44295</v>
      </c>
      <c r="H4" s="52">
        <f>IF(DAY(AprNed1)=1,AprNed1+6,AprNed1+13)</f>
        <v>44296</v>
      </c>
      <c r="I4" s="52">
        <f>IF(DAY(AprNed1)=1,AprNed1+7,AprNed1+14)</f>
        <v>44297</v>
      </c>
      <c r="K4" s="3"/>
      <c r="L4" s="10"/>
    </row>
    <row r="5" spans="1:12" ht="30" customHeight="1" x14ac:dyDescent="0.25">
      <c r="A5" s="19"/>
      <c r="C5" s="52">
        <f>IF(DAY(AprNed1)=1,AprNed1+8,AprNed1+15)</f>
        <v>44298</v>
      </c>
      <c r="D5" s="52">
        <f>IF(DAY(AprNed1)=1,AprNed1+9,AprNed1+16)</f>
        <v>44299</v>
      </c>
      <c r="E5" s="52">
        <f>IF(DAY(AprNed1)=1,AprNed1+10,AprNed1+17)</f>
        <v>44300</v>
      </c>
      <c r="F5" s="52">
        <f>IF(DAY(AprNed1)=1,AprNed1+11,AprNed1+18)</f>
        <v>44301</v>
      </c>
      <c r="G5" s="52">
        <f>IF(DAY(AprNed1)=1,AprNed1+12,AprNed1+19)</f>
        <v>44302</v>
      </c>
      <c r="H5" s="52">
        <f>IF(DAY(AprNed1)=1,AprNed1+13,AprNed1+20)</f>
        <v>44303</v>
      </c>
      <c r="I5" s="52">
        <f>IF(DAY(AprNed1)=1,AprNed1+14,AprNed1+21)</f>
        <v>44304</v>
      </c>
      <c r="K5" s="3"/>
      <c r="L5" s="10"/>
    </row>
    <row r="6" spans="1:12" ht="30" customHeight="1" x14ac:dyDescent="0.25">
      <c r="A6" s="19"/>
      <c r="C6" s="52">
        <f>IF(DAY(AprNed1)=1,AprNed1+15,AprNed1+22)</f>
        <v>44305</v>
      </c>
      <c r="D6" s="52">
        <f>IF(DAY(AprNed1)=1,AprNed1+16,AprNed1+23)</f>
        <v>44306</v>
      </c>
      <c r="E6" s="52">
        <f>IF(DAY(AprNed1)=1,AprNed1+17,AprNed1+24)</f>
        <v>44307</v>
      </c>
      <c r="F6" s="52">
        <f>IF(DAY(AprNed1)=1,AprNed1+18,AprNed1+25)</f>
        <v>44308</v>
      </c>
      <c r="G6" s="52">
        <f>IF(DAY(AprNed1)=1,AprNed1+19,AprNed1+26)</f>
        <v>44309</v>
      </c>
      <c r="H6" s="52">
        <f>IF(DAY(AprNed1)=1,AprNed1+20,AprNed1+27)</f>
        <v>44310</v>
      </c>
      <c r="I6" s="52">
        <f>IF(DAY(AprNed1)=1,AprNed1+21,AprNed1+28)</f>
        <v>44311</v>
      </c>
      <c r="K6" s="3"/>
      <c r="L6" s="10"/>
    </row>
    <row r="7" spans="1:12" ht="30" customHeight="1" x14ac:dyDescent="0.25">
      <c r="A7" s="19"/>
      <c r="C7" s="52">
        <f>IF(DAY(AprNed1)=1,AprNed1+22,AprNed1+29)</f>
        <v>44312</v>
      </c>
      <c r="D7" s="52">
        <f>IF(DAY(AprNed1)=1,AprNed1+23,AprNed1+30)</f>
        <v>44313</v>
      </c>
      <c r="E7" s="52">
        <f>IF(DAY(AprNed1)=1,AprNed1+24,AprNed1+31)</f>
        <v>44314</v>
      </c>
      <c r="F7" s="52">
        <f>IF(DAY(AprNed1)=1,AprNed1+25,AprNed1+32)</f>
        <v>44315</v>
      </c>
      <c r="G7" s="52">
        <f>IF(DAY(AprNed1)=1,AprNed1+26,AprNed1+33)</f>
        <v>44316</v>
      </c>
      <c r="H7" s="52">
        <f>IF(DAY(AprNed1)=1,AprNed1+27,AprNed1+34)</f>
        <v>44317</v>
      </c>
      <c r="I7" s="52">
        <f>IF(DAY(AprNed1)=1,AprNed1+28,AprNed1+35)</f>
        <v>44318</v>
      </c>
      <c r="J7" s="1"/>
      <c r="K7" s="31"/>
      <c r="L7" s="26"/>
    </row>
    <row r="8" spans="1:12" ht="30" customHeight="1" x14ac:dyDescent="0.25">
      <c r="A8" s="19"/>
      <c r="B8" s="25"/>
      <c r="C8" s="52">
        <f>IF(DAY(AprNed1)=1,AprNed1+29,AprNed1+36)</f>
        <v>44319</v>
      </c>
      <c r="D8" s="52">
        <f>IF(DAY(AprNed1)=1,AprNed1+30,AprNed1+37)</f>
        <v>44320</v>
      </c>
      <c r="E8" s="52">
        <f>IF(DAY(AprNed1)=1,AprNed1+31,AprNed1+38)</f>
        <v>44321</v>
      </c>
      <c r="F8" s="52">
        <f>IF(DAY(AprNed1)=1,AprNed1+32,AprNed1+39)</f>
        <v>44322</v>
      </c>
      <c r="G8" s="52">
        <f>IF(DAY(AprNed1)=1,AprNed1+33,AprNed1+40)</f>
        <v>44323</v>
      </c>
      <c r="H8" s="52">
        <f>IF(DAY(AprNed1)=1,AprNed1+34,AprNed1+41)</f>
        <v>44324</v>
      </c>
      <c r="I8" s="52">
        <f>IF(DAY(AprNed1)=1,AprNed1+35,AprNed1+42)</f>
        <v>44325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K10" s="3"/>
      <c r="L10" s="10"/>
    </row>
    <row r="11" spans="1:12" ht="30" customHeight="1" x14ac:dyDescent="0.25">
      <c r="A11" s="35" t="s">
        <v>28</v>
      </c>
      <c r="B11" s="34" t="s">
        <v>5</v>
      </c>
      <c r="C11" s="58" t="s">
        <v>13</v>
      </c>
      <c r="D11" s="59"/>
      <c r="E11" s="58" t="s">
        <v>18</v>
      </c>
      <c r="F11" s="59"/>
      <c r="G11" s="58" t="s">
        <v>19</v>
      </c>
      <c r="H11" s="59"/>
      <c r="I11" s="9" t="s">
        <v>20</v>
      </c>
      <c r="K11" s="3"/>
      <c r="L11" s="10"/>
    </row>
    <row r="12" spans="1:12" ht="30" customHeight="1" x14ac:dyDescent="0.25">
      <c r="A12" s="35" t="s">
        <v>1</v>
      </c>
      <c r="B12" s="54" t="s">
        <v>6</v>
      </c>
      <c r="C12" s="60"/>
      <c r="D12" s="60"/>
      <c r="E12" s="60" t="s">
        <v>6</v>
      </c>
      <c r="F12" s="60"/>
      <c r="G12" s="60"/>
      <c r="H12" s="60"/>
      <c r="I12" s="56" t="s">
        <v>6</v>
      </c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61"/>
      <c r="D13" s="61"/>
      <c r="E13" s="61" t="s">
        <v>7</v>
      </c>
      <c r="F13" s="61"/>
      <c r="G13" s="61"/>
      <c r="H13" s="61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4"/>
      <c r="C14" s="60" t="s">
        <v>14</v>
      </c>
      <c r="D14" s="60"/>
      <c r="E14" s="60"/>
      <c r="F14" s="60"/>
      <c r="G14" s="60" t="s">
        <v>14</v>
      </c>
      <c r="H14" s="60"/>
      <c r="I14" s="56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61" t="s">
        <v>15</v>
      </c>
      <c r="D15" s="61"/>
      <c r="E15" s="61"/>
      <c r="F15" s="61"/>
      <c r="G15" s="61" t="s">
        <v>15</v>
      </c>
      <c r="H15" s="61"/>
      <c r="I15" s="41"/>
      <c r="K15" s="3"/>
      <c r="L15" s="10"/>
    </row>
    <row r="16" spans="1:12" ht="30" customHeight="1" x14ac:dyDescent="0.25">
      <c r="A16" s="35" t="s">
        <v>1</v>
      </c>
      <c r="B16" s="54" t="s">
        <v>8</v>
      </c>
      <c r="C16" s="60"/>
      <c r="D16" s="60"/>
      <c r="E16" s="60" t="s">
        <v>8</v>
      </c>
      <c r="F16" s="60"/>
      <c r="G16" s="60"/>
      <c r="H16" s="60"/>
      <c r="I16" s="57" t="s">
        <v>8</v>
      </c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61"/>
      <c r="D17" s="61"/>
      <c r="E17" s="61" t="s">
        <v>9</v>
      </c>
      <c r="F17" s="61"/>
      <c r="G17" s="61"/>
      <c r="H17" s="61"/>
      <c r="I17" s="41" t="s">
        <v>9</v>
      </c>
      <c r="K17" s="3"/>
      <c r="L17" s="10"/>
    </row>
    <row r="18" spans="1:12" ht="30" customHeight="1" x14ac:dyDescent="0.25">
      <c r="A18" s="35" t="s">
        <v>1</v>
      </c>
      <c r="B18" s="54"/>
      <c r="C18" s="60"/>
      <c r="D18" s="60"/>
      <c r="E18" s="60"/>
      <c r="F18" s="60"/>
      <c r="G18" s="60"/>
      <c r="H18" s="60"/>
      <c r="I18" s="56"/>
      <c r="K18" s="3"/>
      <c r="L18" s="10"/>
    </row>
    <row r="19" spans="1:12" ht="30" customHeight="1" x14ac:dyDescent="0.25">
      <c r="A19" s="35" t="s">
        <v>2</v>
      </c>
      <c r="B19" s="36"/>
      <c r="C19" s="61"/>
      <c r="D19" s="61"/>
      <c r="E19" s="61"/>
      <c r="F19" s="61"/>
      <c r="G19" s="61"/>
      <c r="H19" s="61"/>
      <c r="I19" s="42"/>
      <c r="J19" s="1"/>
      <c r="K19" s="31"/>
      <c r="L19" s="32"/>
    </row>
    <row r="20" spans="1:12" ht="30" customHeight="1" x14ac:dyDescent="0.25">
      <c r="A20" s="35" t="s">
        <v>1</v>
      </c>
      <c r="B20" s="54"/>
      <c r="C20" s="60"/>
      <c r="D20" s="60"/>
      <c r="E20" s="60"/>
      <c r="F20" s="60"/>
      <c r="G20" s="60"/>
      <c r="H20" s="60"/>
      <c r="I20" s="56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61"/>
      <c r="D21" s="61"/>
      <c r="E21" s="61"/>
      <c r="F21" s="61"/>
      <c r="G21" s="61"/>
      <c r="H21" s="61"/>
      <c r="I21" s="41"/>
      <c r="K21" s="3"/>
      <c r="L21" s="10"/>
    </row>
    <row r="22" spans="1:12" ht="30" customHeight="1" x14ac:dyDescent="0.25">
      <c r="A22" s="35" t="s">
        <v>1</v>
      </c>
      <c r="B22" s="54"/>
      <c r="C22" s="60"/>
      <c r="D22" s="60"/>
      <c r="E22" s="60"/>
      <c r="F22" s="60"/>
      <c r="G22" s="60"/>
      <c r="H22" s="60"/>
      <c r="I22" s="56"/>
      <c r="K22" s="3"/>
      <c r="L22" s="10"/>
    </row>
    <row r="23" spans="1:12" ht="30" customHeight="1" x14ac:dyDescent="0.25">
      <c r="A23" s="35" t="s">
        <v>2</v>
      </c>
      <c r="B23" s="36"/>
      <c r="C23" s="61"/>
      <c r="D23" s="61"/>
      <c r="E23" s="61"/>
      <c r="F23" s="61"/>
      <c r="G23" s="61"/>
      <c r="H23" s="61"/>
      <c r="I23" s="41"/>
      <c r="K23" s="3"/>
      <c r="L23" s="10"/>
    </row>
    <row r="24" spans="1:12" ht="30" customHeight="1" x14ac:dyDescent="0.25">
      <c r="A24" s="35" t="s">
        <v>1</v>
      </c>
      <c r="B24" s="54" t="s">
        <v>10</v>
      </c>
      <c r="C24" s="60"/>
      <c r="D24" s="60"/>
      <c r="E24" s="60" t="s">
        <v>10</v>
      </c>
      <c r="F24" s="60"/>
      <c r="G24" s="60"/>
      <c r="H24" s="60"/>
      <c r="I24" s="56" t="s">
        <v>10</v>
      </c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61"/>
      <c r="D25" s="61"/>
      <c r="E25" s="61" t="s">
        <v>11</v>
      </c>
      <c r="F25" s="61"/>
      <c r="G25" s="61"/>
      <c r="H25" s="61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4"/>
      <c r="C26" s="60"/>
      <c r="D26" s="60"/>
      <c r="E26" s="60"/>
      <c r="F26" s="60"/>
      <c r="G26" s="60"/>
      <c r="H26" s="60"/>
      <c r="I26" s="56"/>
      <c r="J26" s="16" t="s">
        <v>20</v>
      </c>
      <c r="K26" s="30"/>
      <c r="L26" s="10" t="s">
        <v>32</v>
      </c>
    </row>
    <row r="27" spans="1:12" ht="30" customHeight="1" x14ac:dyDescent="0.25">
      <c r="A27" s="35" t="s">
        <v>2</v>
      </c>
      <c r="B27" s="36"/>
      <c r="C27" s="61"/>
      <c r="D27" s="61"/>
      <c r="E27" s="61"/>
      <c r="F27" s="61"/>
      <c r="G27" s="61"/>
      <c r="H27" s="61"/>
      <c r="I27" s="41"/>
      <c r="K27" s="3"/>
      <c r="L27" s="10"/>
    </row>
    <row r="28" spans="1:12" ht="30" customHeight="1" x14ac:dyDescent="0.25">
      <c r="A28" s="35" t="s">
        <v>1</v>
      </c>
      <c r="B28" s="54"/>
      <c r="C28" s="60" t="s">
        <v>16</v>
      </c>
      <c r="D28" s="60"/>
      <c r="E28" s="60"/>
      <c r="F28" s="60"/>
      <c r="G28" s="60" t="s">
        <v>16</v>
      </c>
      <c r="H28" s="60"/>
      <c r="I28" s="56"/>
      <c r="K28" s="3"/>
      <c r="L28" s="10"/>
    </row>
    <row r="29" spans="1:12" ht="30" customHeight="1" x14ac:dyDescent="0.25">
      <c r="A29" s="35" t="s">
        <v>2</v>
      </c>
      <c r="B29" s="36"/>
      <c r="C29" s="61" t="s">
        <v>17</v>
      </c>
      <c r="D29" s="61"/>
      <c r="E29" s="61"/>
      <c r="F29" s="61"/>
      <c r="G29" s="61" t="s">
        <v>17</v>
      </c>
      <c r="H29" s="61"/>
      <c r="I29" s="41"/>
      <c r="K29" s="3"/>
      <c r="L29" s="10"/>
    </row>
    <row r="30" spans="1:12" ht="30" customHeight="1" x14ac:dyDescent="0.25">
      <c r="A30" s="35" t="s">
        <v>1</v>
      </c>
      <c r="B30" s="54"/>
      <c r="C30" s="60"/>
      <c r="D30" s="60"/>
      <c r="E30" s="60"/>
      <c r="F30" s="60"/>
      <c r="G30" s="60"/>
      <c r="H30" s="60"/>
      <c r="I30" s="56"/>
      <c r="K30" s="3"/>
      <c r="L30" s="10"/>
    </row>
    <row r="31" spans="1:12" ht="30" customHeight="1" x14ac:dyDescent="0.25">
      <c r="A31" s="35" t="s">
        <v>2</v>
      </c>
      <c r="B31" s="39"/>
      <c r="C31" s="62"/>
      <c r="D31" s="62"/>
      <c r="E31" s="62"/>
      <c r="F31" s="62"/>
      <c r="G31" s="62"/>
      <c r="H31" s="62"/>
      <c r="I31" s="40"/>
      <c r="K31" s="27"/>
      <c r="L31" s="49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64" priority="6" stopIfTrue="1">
      <formula>DAY(C3)&gt;8</formula>
    </cfRule>
  </conditionalFormatting>
  <conditionalFormatting sqref="C7:I8">
    <cfRule type="expression" dxfId="63" priority="5" stopIfTrue="1">
      <formula>AND(DAY(C7)&gt;=1,DAY(C7)&lt;=15)</formula>
    </cfRule>
  </conditionalFormatting>
  <conditionalFormatting sqref="C3:I8">
    <cfRule type="expression" dxfId="62" priority="7">
      <formula>VLOOKUP(DAY(C3),DanOddajeNaloge,1,FALSE)=DAY(C3)</formula>
    </cfRule>
  </conditionalFormatting>
  <conditionalFormatting sqref="B13:I13 B15:I15 B17:I17 B19:I19 B21:I21 B23:I23 B25:I25 B27:I27 B29:I29 B31:I31">
    <cfRule type="expression" dxfId="61" priority="4">
      <formula>B13&lt;&gt;""</formula>
    </cfRule>
  </conditionalFormatting>
  <conditionalFormatting sqref="B12:I12 B14:I14 B16:I16 B18:I18 B20:I20 B22:I22 B24:I24 B26:I26 B28:I28 B30:I30">
    <cfRule type="expression" dxfId="60" priority="3">
      <formula>B12&lt;&gt;""</formula>
    </cfRule>
  </conditionalFormatting>
  <conditionalFormatting sqref="B13:I13 B15:I15 B17:I17 B19:I19 B21:I21 B23:I23 B25:I25 B27:I27 B29:I29">
    <cfRule type="expression" dxfId="59" priority="2">
      <formula>COLUMN(B12)&gt;=2</formula>
    </cfRule>
  </conditionalFormatting>
  <conditionalFormatting sqref="B12:I31">
    <cfRule type="expression" dxfId="58" priority="1">
      <formula>COLUMN(B12)&gt;2</formula>
    </cfRule>
  </conditionalFormatting>
  <dataValidations xWindow="209" yWindow="929" count="13">
    <dataValidation allowBlank="1" showInputMessage="1" showErrorMessage="1" prompt="V koledarju za april so samodejno označeni vnosi s seznama nalog za ta mesec. Temnejše pisave so naloge. Svetlejše pisave so dnevi, ki sodijo v prejšnji ali naslednji mesec." sqref="B2" xr:uid="{00000000-0002-0000-0300-000000000000}"/>
    <dataValidation allowBlank="1" showInputMessage="1" showErrorMessage="1" prompt="Samodejno posodobljeno koledarsko leto. Če želite spremeniti leto, posodobite celico B1 na januarskem delovnem listu." sqref="B1" xr:uid="{00000000-0002-0000-0300-000001000000}"/>
    <dataValidation allowBlank="1" showInputMessage="1" showErrorMessage="1" prompt="Pripravite tedenski urnik in ustvarite seznam nalog na tem delovnem listu. Naloge so samodejno označene v mesečnem koledarju za leto, vneseno v celici B1 na januarskem delovnem listu." sqref="A1" xr:uid="{00000000-0002-0000-0300-000002000000}"/>
    <dataValidation allowBlank="1" showInputMessage="1" showErrorMessage="1" prompt="Celice C2:I2 vsebujejo dneve v tednu." sqref="C2" xr:uid="{00000000-0002-0000-0300-000003000000}"/>
    <dataValidation allowBlank="1" showInputMessage="1" showErrorMessage="1" prompt="Če v tej celici ni številke 1, potem gre za dan iz prejšnjega meseca. V celicah C3:I8 so datumi trenutnega meseca." sqref="C3" xr:uid="{00000000-0002-0000-0300-000004000000}"/>
    <dataValidation allowBlank="1" showInputMessage="1" showErrorMessage="1" prompt="Če je v tej vrstici število, ki je manjše od prejšnjega števila ali vrstice števil, potem ta vrstica vsebuje datume za naslednji koledarski mesec." sqref="C8" xr:uid="{00000000-0002-0000-0300-000005000000}"/>
    <dataValidation allowBlank="1" showInputMessage="1" showErrorMessage="1" prompt="V to vrstico vnesite čas, naveden v stolpcih B–I." sqref="B12" xr:uid="{00000000-0002-0000-0300-000006000000}"/>
    <dataValidation allowBlank="1" showInputMessage="1" showErrorMessage="1" prompt="V to vrstico vnesite predavanje, navedena v stolpcih B–I." sqref="B13" xr:uid="{00000000-0002-0000-0300-000007000000}"/>
    <dataValidation allowBlank="1" showInputMessage="1" showErrorMessage="1" prompt="Dnevi v tednu so združeni v tem stolpcu s 6 vrsticami za naloge za vsak združen delavnik v mesecu. Če želite dodati več nalog, vstavite nove vrstice. V koledarju na levi bodo elementi označeni." sqref="J1" xr:uid="{00000000-0002-0000-0300-000008000000}"/>
    <dataValidation allowBlank="1" showInputMessage="1" showErrorMessage="1" prompt="V ta stolpec vnesite podrobnosti naloge, ki ustrezajo delavniku v stolpcu J in dnevu v stolpcu K za koledarski mesec na levi." sqref="L1" xr:uid="{00000000-0002-0000-0300-000009000000}"/>
    <dataValidation allowBlank="1" showInputMessage="1" showErrorMessage="1" prompt="V ta stolpec vnesite dan v mesecu za dodeljeno nalogo, ki ustreza delavniku v stolpcu J. Na ta dan bo označena naloga v koledarju na levi." sqref="K1" xr:uid="{00000000-0002-0000-0300-00000A000000}"/>
    <dataValidation allowBlank="1" showInputMessage="1" showErrorMessage="1" prompt="V tej vrstici so delovni dnevi, od ponedeljka do petka." sqref="B11" xr:uid="{00000000-0002-0000-0300-00000B000000}"/>
    <dataValidation allowBlank="1" showInputMessage="1" showErrorMessage="1" prompt="Vnesite uro predavanja in pod njo, v novo vrstico, razredu, ime predavanja za vsak delovni dan v stolpce od B do I. Ta vzorec ponovite za vsa predavanja v naslednjih vrsticah." sqref="B10" xr:uid="{00000000-0002-0000-03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KoledarskoLeto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50" t="s">
        <v>33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24"/>
    </row>
    <row r="3" spans="1:12" ht="30" customHeight="1" x14ac:dyDescent="0.25">
      <c r="A3" s="19"/>
      <c r="C3" s="52">
        <f>IF(DAY(MajNed1)=1,MajNed1-6,MajNed1+1)</f>
        <v>44312</v>
      </c>
      <c r="D3" s="52">
        <f>IF(DAY(MajNed1)=1,MajNed1-5,MajNed1+2)</f>
        <v>44313</v>
      </c>
      <c r="E3" s="52">
        <f>IF(DAY(MajNed1)=1,MajNed1-4,MajNed1+3)</f>
        <v>44314</v>
      </c>
      <c r="F3" s="52">
        <f>IF(DAY(MajNed1)=1,MajNed1-3,MajNed1+4)</f>
        <v>44315</v>
      </c>
      <c r="G3" s="52">
        <f>IF(DAY(MajNed1)=1,MajNed1-2,MajNed1+5)</f>
        <v>44316</v>
      </c>
      <c r="H3" s="52">
        <f>IF(DAY(MajNed1)=1,MajNed1-1,MajNed1+6)</f>
        <v>44317</v>
      </c>
      <c r="I3" s="52">
        <f>IF(DAY(MajNed1)=1,MajNed1,MajNed1+7)</f>
        <v>44318</v>
      </c>
      <c r="J3" s="16"/>
      <c r="K3" s="3"/>
      <c r="L3" s="24"/>
    </row>
    <row r="4" spans="1:12" ht="30" customHeight="1" x14ac:dyDescent="0.25">
      <c r="A4" s="19"/>
      <c r="C4" s="52">
        <f>IF(DAY(MajNed1)=1,MajNed1+1,MajNed1+8)</f>
        <v>44319</v>
      </c>
      <c r="D4" s="52">
        <f>IF(DAY(MajNed1)=1,MajNed1+2,MajNed1+9)</f>
        <v>44320</v>
      </c>
      <c r="E4" s="52">
        <f>IF(DAY(MajNed1)=1,MajNed1+3,MajNed1+10)</f>
        <v>44321</v>
      </c>
      <c r="F4" s="52">
        <f>IF(DAY(MajNed1)=1,MajNed1+4,MajNed1+11)</f>
        <v>44322</v>
      </c>
      <c r="G4" s="52">
        <f>IF(DAY(MajNed1)=1,MajNed1+5,MajNed1+12)</f>
        <v>44323</v>
      </c>
      <c r="H4" s="52">
        <f>IF(DAY(MajNed1)=1,MajNed1+6,MajNed1+13)</f>
        <v>44324</v>
      </c>
      <c r="I4" s="52">
        <f>IF(DAY(MajNed1)=1,MajNed1+7,MajNed1+14)</f>
        <v>44325</v>
      </c>
      <c r="J4" s="16"/>
      <c r="K4" s="3"/>
      <c r="L4" s="24"/>
    </row>
    <row r="5" spans="1:12" ht="30" customHeight="1" x14ac:dyDescent="0.25">
      <c r="A5" s="19"/>
      <c r="C5" s="52">
        <f>IF(DAY(MajNed1)=1,MajNed1+8,MajNed1+15)</f>
        <v>44326</v>
      </c>
      <c r="D5" s="52">
        <f>IF(DAY(MajNed1)=1,MajNed1+9,MajNed1+16)</f>
        <v>44327</v>
      </c>
      <c r="E5" s="52">
        <f>IF(DAY(MajNed1)=1,MajNed1+10,MajNed1+17)</f>
        <v>44328</v>
      </c>
      <c r="F5" s="52">
        <f>IF(DAY(MajNed1)=1,MajNed1+11,MajNed1+18)</f>
        <v>44329</v>
      </c>
      <c r="G5" s="52">
        <f>IF(DAY(MajNed1)=1,MajNed1+12,MajNed1+19)</f>
        <v>44330</v>
      </c>
      <c r="H5" s="52">
        <f>IF(DAY(MajNed1)=1,MajNed1+13,MajNed1+20)</f>
        <v>44331</v>
      </c>
      <c r="I5" s="52">
        <f>IF(DAY(MajNed1)=1,MajNed1+14,MajNed1+21)</f>
        <v>44332</v>
      </c>
      <c r="J5" s="16"/>
      <c r="K5" s="3"/>
      <c r="L5" s="24"/>
    </row>
    <row r="6" spans="1:12" ht="30" customHeight="1" x14ac:dyDescent="0.25">
      <c r="A6" s="19"/>
      <c r="C6" s="52">
        <f>IF(DAY(MajNed1)=1,MajNed1+15,MajNed1+22)</f>
        <v>44333</v>
      </c>
      <c r="D6" s="52">
        <f>IF(DAY(MajNed1)=1,MajNed1+16,MajNed1+23)</f>
        <v>44334</v>
      </c>
      <c r="E6" s="52">
        <f>IF(DAY(MajNed1)=1,MajNed1+17,MajNed1+24)</f>
        <v>44335</v>
      </c>
      <c r="F6" s="52">
        <f>IF(DAY(MajNed1)=1,MajNed1+18,MajNed1+25)</f>
        <v>44336</v>
      </c>
      <c r="G6" s="52">
        <f>IF(DAY(MajNed1)=1,MajNed1+19,MajNed1+26)</f>
        <v>44337</v>
      </c>
      <c r="H6" s="52">
        <f>IF(DAY(MajNed1)=1,MajNed1+20,MajNed1+27)</f>
        <v>44338</v>
      </c>
      <c r="I6" s="52">
        <f>IF(DAY(MajNed1)=1,MajNed1+21,MajNed1+28)</f>
        <v>44339</v>
      </c>
      <c r="J6" s="16"/>
      <c r="K6" s="3"/>
      <c r="L6" s="24"/>
    </row>
    <row r="7" spans="1:12" ht="30" customHeight="1" x14ac:dyDescent="0.25">
      <c r="A7" s="19"/>
      <c r="C7" s="52">
        <f>IF(DAY(MajNed1)=1,MajNed1+22,MajNed1+29)</f>
        <v>44340</v>
      </c>
      <c r="D7" s="52">
        <f>IF(DAY(MajNed1)=1,MajNed1+23,MajNed1+30)</f>
        <v>44341</v>
      </c>
      <c r="E7" s="52">
        <f>IF(DAY(MajNed1)=1,MajNed1+24,MajNed1+31)</f>
        <v>44342</v>
      </c>
      <c r="F7" s="52">
        <f>IF(DAY(MajNed1)=1,MajNed1+25,MajNed1+32)</f>
        <v>44343</v>
      </c>
      <c r="G7" s="52">
        <f>IF(DAY(MajNed1)=1,MajNed1+26,MajNed1+33)</f>
        <v>44344</v>
      </c>
      <c r="H7" s="52">
        <f>IF(DAY(MajNed1)=1,MajNed1+27,MajNed1+34)</f>
        <v>44345</v>
      </c>
      <c r="I7" s="52">
        <f>IF(DAY(MajNed1)=1,MajNed1+28,MajNed1+35)</f>
        <v>44346</v>
      </c>
      <c r="J7" s="29"/>
      <c r="K7" s="27"/>
      <c r="L7" s="25"/>
    </row>
    <row r="8" spans="1:12" ht="30" customHeight="1" x14ac:dyDescent="0.25">
      <c r="A8" s="19"/>
      <c r="B8" s="25"/>
      <c r="C8" s="52">
        <f>IF(DAY(MajNed1)=1,MajNed1+29,MajNed1+36)</f>
        <v>44347</v>
      </c>
      <c r="D8" s="52">
        <f>IF(DAY(MajNed1)=1,MajNed1+30,MajNed1+37)</f>
        <v>44348</v>
      </c>
      <c r="E8" s="52">
        <f>IF(DAY(MajNed1)=1,MajNed1+31,MajNed1+38)</f>
        <v>44349</v>
      </c>
      <c r="F8" s="52">
        <f>IF(DAY(MajNed1)=1,MajNed1+32,MajNed1+39)</f>
        <v>44350</v>
      </c>
      <c r="G8" s="52">
        <f>IF(DAY(MajNed1)=1,MajNed1+33,MajNed1+40)</f>
        <v>44351</v>
      </c>
      <c r="H8" s="52">
        <f>IF(DAY(MajNed1)=1,MajNed1+34,MajNed1+41)</f>
        <v>44352</v>
      </c>
      <c r="I8" s="52">
        <f>IF(DAY(MajNed1)=1,MajNed1+35,MajNed1+42)</f>
        <v>44353</v>
      </c>
      <c r="J8" s="16" t="s">
        <v>13</v>
      </c>
      <c r="K8" s="30"/>
      <c r="L8" s="24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24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24"/>
    </row>
    <row r="11" spans="1:12" ht="30" customHeight="1" x14ac:dyDescent="0.25">
      <c r="A11" s="35" t="s">
        <v>28</v>
      </c>
      <c r="B11" s="34" t="s">
        <v>5</v>
      </c>
      <c r="C11" s="58" t="s">
        <v>13</v>
      </c>
      <c r="D11" s="59"/>
      <c r="E11" s="58" t="s">
        <v>18</v>
      </c>
      <c r="F11" s="59"/>
      <c r="G11" s="58" t="s">
        <v>19</v>
      </c>
      <c r="H11" s="59"/>
      <c r="I11" s="9" t="s">
        <v>20</v>
      </c>
      <c r="J11" s="16"/>
      <c r="K11" s="3"/>
      <c r="L11" s="24"/>
    </row>
    <row r="12" spans="1:12" ht="30" customHeight="1" x14ac:dyDescent="0.25">
      <c r="A12" s="35" t="s">
        <v>1</v>
      </c>
      <c r="B12" s="54">
        <v>0.33333333333333331</v>
      </c>
      <c r="C12" s="60"/>
      <c r="D12" s="60"/>
      <c r="E12" s="60" t="s">
        <v>6</v>
      </c>
      <c r="F12" s="60"/>
      <c r="G12" s="60"/>
      <c r="H12" s="60"/>
      <c r="I12" s="56" t="s">
        <v>6</v>
      </c>
      <c r="J12" s="16"/>
      <c r="K12" s="3"/>
      <c r="L12" s="24"/>
    </row>
    <row r="13" spans="1:12" ht="30" customHeight="1" x14ac:dyDescent="0.25">
      <c r="A13" s="35" t="s">
        <v>2</v>
      </c>
      <c r="B13" s="36" t="s">
        <v>7</v>
      </c>
      <c r="C13" s="61"/>
      <c r="D13" s="61"/>
      <c r="E13" s="61" t="s">
        <v>7</v>
      </c>
      <c r="F13" s="61"/>
      <c r="G13" s="61"/>
      <c r="H13" s="61"/>
      <c r="I13" s="41" t="s">
        <v>7</v>
      </c>
      <c r="J13" s="29"/>
      <c r="K13" s="27"/>
      <c r="L13" s="25"/>
    </row>
    <row r="14" spans="1:12" ht="30" customHeight="1" x14ac:dyDescent="0.25">
      <c r="A14" s="35" t="s">
        <v>1</v>
      </c>
      <c r="B14" s="54"/>
      <c r="C14" s="60" t="s">
        <v>14</v>
      </c>
      <c r="D14" s="60"/>
      <c r="E14" s="60"/>
      <c r="F14" s="60"/>
      <c r="G14" s="60" t="s">
        <v>14</v>
      </c>
      <c r="H14" s="60"/>
      <c r="I14" s="56"/>
      <c r="J14" s="46" t="s">
        <v>18</v>
      </c>
      <c r="K14" s="30"/>
      <c r="L14" s="24"/>
    </row>
    <row r="15" spans="1:12" ht="30" customHeight="1" x14ac:dyDescent="0.25">
      <c r="A15" s="35" t="s">
        <v>2</v>
      </c>
      <c r="B15" s="36"/>
      <c r="C15" s="61" t="s">
        <v>15</v>
      </c>
      <c r="D15" s="61"/>
      <c r="E15" s="61"/>
      <c r="F15" s="61"/>
      <c r="G15" s="61" t="s">
        <v>15</v>
      </c>
      <c r="H15" s="61"/>
      <c r="I15" s="41"/>
      <c r="J15" s="16"/>
      <c r="K15" s="3"/>
      <c r="L15" s="24"/>
    </row>
    <row r="16" spans="1:12" ht="30" customHeight="1" x14ac:dyDescent="0.25">
      <c r="A16" s="35" t="s">
        <v>1</v>
      </c>
      <c r="B16" s="54" t="s">
        <v>8</v>
      </c>
      <c r="C16" s="60"/>
      <c r="D16" s="60"/>
      <c r="E16" s="60" t="s">
        <v>8</v>
      </c>
      <c r="F16" s="60"/>
      <c r="G16" s="60"/>
      <c r="H16" s="60"/>
      <c r="I16" s="57" t="s">
        <v>8</v>
      </c>
      <c r="J16" s="16"/>
      <c r="K16" s="3"/>
      <c r="L16" s="24"/>
    </row>
    <row r="17" spans="1:12" ht="30" customHeight="1" x14ac:dyDescent="0.25">
      <c r="A17" s="35" t="s">
        <v>2</v>
      </c>
      <c r="B17" s="36" t="s">
        <v>9</v>
      </c>
      <c r="C17" s="61"/>
      <c r="D17" s="61"/>
      <c r="E17" s="61" t="s">
        <v>9</v>
      </c>
      <c r="F17" s="61"/>
      <c r="G17" s="61"/>
      <c r="H17" s="61"/>
      <c r="I17" s="41" t="s">
        <v>9</v>
      </c>
      <c r="J17" s="16"/>
      <c r="K17" s="3"/>
      <c r="L17" s="24"/>
    </row>
    <row r="18" spans="1:12" ht="30" customHeight="1" x14ac:dyDescent="0.25">
      <c r="A18" s="35" t="s">
        <v>1</v>
      </c>
      <c r="B18" s="54"/>
      <c r="C18" s="60"/>
      <c r="D18" s="60"/>
      <c r="E18" s="60"/>
      <c r="F18" s="60"/>
      <c r="G18" s="60"/>
      <c r="H18" s="60"/>
      <c r="I18" s="56"/>
      <c r="J18" s="16"/>
      <c r="K18" s="3"/>
      <c r="L18" s="24"/>
    </row>
    <row r="19" spans="1:12" ht="30" customHeight="1" x14ac:dyDescent="0.25">
      <c r="A19" s="35" t="s">
        <v>2</v>
      </c>
      <c r="B19" s="36"/>
      <c r="C19" s="61"/>
      <c r="D19" s="61"/>
      <c r="E19" s="61"/>
      <c r="F19" s="61"/>
      <c r="G19" s="61"/>
      <c r="H19" s="61"/>
      <c r="I19" s="42"/>
      <c r="J19" s="29"/>
      <c r="K19" s="27"/>
      <c r="L19" s="25"/>
    </row>
    <row r="20" spans="1:12" ht="30" customHeight="1" x14ac:dyDescent="0.25">
      <c r="A20" s="35" t="s">
        <v>1</v>
      </c>
      <c r="B20" s="54"/>
      <c r="C20" s="60"/>
      <c r="D20" s="60"/>
      <c r="E20" s="60"/>
      <c r="F20" s="60"/>
      <c r="G20" s="60"/>
      <c r="H20" s="60"/>
      <c r="I20" s="56"/>
      <c r="J20" s="16" t="s">
        <v>19</v>
      </c>
      <c r="K20" s="30"/>
      <c r="L20" s="24"/>
    </row>
    <row r="21" spans="1:12" ht="30" customHeight="1" x14ac:dyDescent="0.25">
      <c r="A21" s="35" t="s">
        <v>2</v>
      </c>
      <c r="B21" s="36"/>
      <c r="C21" s="61"/>
      <c r="D21" s="61"/>
      <c r="E21" s="61"/>
      <c r="F21" s="61"/>
      <c r="G21" s="61"/>
      <c r="H21" s="61"/>
      <c r="I21" s="41"/>
      <c r="J21" s="16"/>
      <c r="K21" s="3"/>
      <c r="L21" s="24"/>
    </row>
    <row r="22" spans="1:12" ht="30" customHeight="1" x14ac:dyDescent="0.25">
      <c r="A22" s="35" t="s">
        <v>1</v>
      </c>
      <c r="B22" s="54"/>
      <c r="C22" s="60"/>
      <c r="D22" s="60"/>
      <c r="E22" s="60"/>
      <c r="F22" s="60"/>
      <c r="G22" s="60"/>
      <c r="H22" s="60"/>
      <c r="I22" s="56"/>
      <c r="J22" s="16"/>
      <c r="K22" s="3"/>
      <c r="L22" s="24"/>
    </row>
    <row r="23" spans="1:12" ht="30" customHeight="1" x14ac:dyDescent="0.25">
      <c r="A23" s="35" t="s">
        <v>2</v>
      </c>
      <c r="B23" s="36"/>
      <c r="C23" s="61"/>
      <c r="D23" s="61"/>
      <c r="E23" s="61"/>
      <c r="F23" s="61"/>
      <c r="G23" s="61"/>
      <c r="H23" s="61"/>
      <c r="I23" s="41"/>
      <c r="J23" s="16"/>
      <c r="K23" s="3"/>
      <c r="L23" s="24"/>
    </row>
    <row r="24" spans="1:12" ht="30" customHeight="1" x14ac:dyDescent="0.25">
      <c r="A24" s="35" t="s">
        <v>1</v>
      </c>
      <c r="B24" s="54" t="s">
        <v>10</v>
      </c>
      <c r="C24" s="60"/>
      <c r="D24" s="60"/>
      <c r="E24" s="60" t="s">
        <v>10</v>
      </c>
      <c r="F24" s="60"/>
      <c r="G24" s="60"/>
      <c r="H24" s="60"/>
      <c r="I24" s="56" t="s">
        <v>10</v>
      </c>
      <c r="J24" s="16"/>
      <c r="K24" s="3"/>
      <c r="L24" s="24"/>
    </row>
    <row r="25" spans="1:12" ht="30" customHeight="1" x14ac:dyDescent="0.25">
      <c r="A25" s="35" t="s">
        <v>2</v>
      </c>
      <c r="B25" s="36" t="s">
        <v>11</v>
      </c>
      <c r="C25" s="61"/>
      <c r="D25" s="61"/>
      <c r="E25" s="61" t="s">
        <v>11</v>
      </c>
      <c r="F25" s="61"/>
      <c r="G25" s="61"/>
      <c r="H25" s="61"/>
      <c r="I25" s="41" t="s">
        <v>11</v>
      </c>
      <c r="J25" s="29"/>
      <c r="K25" s="27"/>
      <c r="L25" s="25"/>
    </row>
    <row r="26" spans="1:12" ht="30" customHeight="1" x14ac:dyDescent="0.25">
      <c r="A26" s="35" t="s">
        <v>1</v>
      </c>
      <c r="B26" s="54"/>
      <c r="C26" s="60"/>
      <c r="D26" s="60"/>
      <c r="E26" s="60"/>
      <c r="F26" s="60"/>
      <c r="G26" s="60"/>
      <c r="H26" s="60"/>
      <c r="I26" s="56"/>
      <c r="J26" s="16" t="s">
        <v>20</v>
      </c>
      <c r="K26" s="30"/>
      <c r="L26" s="24"/>
    </row>
    <row r="27" spans="1:12" ht="30" customHeight="1" x14ac:dyDescent="0.25">
      <c r="A27" s="35" t="s">
        <v>2</v>
      </c>
      <c r="B27" s="36"/>
      <c r="C27" s="61"/>
      <c r="D27" s="61"/>
      <c r="E27" s="61"/>
      <c r="F27" s="61"/>
      <c r="G27" s="61"/>
      <c r="H27" s="61"/>
      <c r="I27" s="41"/>
      <c r="J27" s="16"/>
      <c r="K27" s="3"/>
      <c r="L27" s="24"/>
    </row>
    <row r="28" spans="1:12" ht="30" customHeight="1" x14ac:dyDescent="0.25">
      <c r="A28" s="35" t="s">
        <v>1</v>
      </c>
      <c r="B28" s="54"/>
      <c r="C28" s="60" t="s">
        <v>16</v>
      </c>
      <c r="D28" s="60"/>
      <c r="E28" s="60"/>
      <c r="F28" s="60"/>
      <c r="G28" s="60" t="s">
        <v>16</v>
      </c>
      <c r="H28" s="60"/>
      <c r="I28" s="56"/>
      <c r="J28" s="16"/>
      <c r="K28" s="3"/>
      <c r="L28" s="24"/>
    </row>
    <row r="29" spans="1:12" ht="30" customHeight="1" x14ac:dyDescent="0.25">
      <c r="A29" s="35" t="s">
        <v>2</v>
      </c>
      <c r="B29" s="36"/>
      <c r="C29" s="61" t="s">
        <v>17</v>
      </c>
      <c r="D29" s="61"/>
      <c r="E29" s="61"/>
      <c r="F29" s="61"/>
      <c r="G29" s="61" t="s">
        <v>17</v>
      </c>
      <c r="H29" s="61"/>
      <c r="I29" s="41"/>
      <c r="J29" s="16"/>
      <c r="K29" s="3"/>
      <c r="L29" s="24"/>
    </row>
    <row r="30" spans="1:12" ht="30" customHeight="1" x14ac:dyDescent="0.25">
      <c r="A30" s="35" t="s">
        <v>1</v>
      </c>
      <c r="B30" s="54"/>
      <c r="C30" s="60"/>
      <c r="D30" s="60"/>
      <c r="E30" s="60"/>
      <c r="F30" s="60"/>
      <c r="G30" s="60"/>
      <c r="H30" s="60"/>
      <c r="I30" s="56"/>
      <c r="J30" s="16"/>
      <c r="K30" s="3"/>
      <c r="L30" s="24"/>
    </row>
    <row r="31" spans="1:12" ht="30" customHeight="1" x14ac:dyDescent="0.25">
      <c r="A31" s="35" t="s">
        <v>2</v>
      </c>
      <c r="B31" s="39"/>
      <c r="C31" s="62"/>
      <c r="D31" s="62"/>
      <c r="E31" s="62"/>
      <c r="F31" s="62"/>
      <c r="G31" s="62"/>
      <c r="H31" s="62"/>
      <c r="I31" s="40"/>
      <c r="J31" s="29"/>
      <c r="K31" s="27"/>
      <c r="L31" s="25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57" priority="6" stopIfTrue="1">
      <formula>DAY(C3)&gt;8</formula>
    </cfRule>
  </conditionalFormatting>
  <conditionalFormatting sqref="C7:I8">
    <cfRule type="expression" dxfId="56" priority="5" stopIfTrue="1">
      <formula>AND(DAY(C7)&gt;=1,DAY(C7)&lt;=15)</formula>
    </cfRule>
  </conditionalFormatting>
  <conditionalFormatting sqref="C3:I8">
    <cfRule type="expression" dxfId="55" priority="7">
      <formula>VLOOKUP(DAY(C3),DanOddajeNaloge,1,FALSE)=DAY(C3)</formula>
    </cfRule>
  </conditionalFormatting>
  <conditionalFormatting sqref="B13:I13 B15:I15 B17:I17 B19:I19 B21:I21 B23:I23 B25:I25 B27:I27 B29:I29 B31:I31">
    <cfRule type="expression" dxfId="54" priority="4">
      <formula>B13&lt;&gt;""</formula>
    </cfRule>
  </conditionalFormatting>
  <conditionalFormatting sqref="B12:I12 B14:I14 B16:I16 B18:I18 B20:I20 B22:I22 B24:I24 B26:I26 B28:I28 B30:I30">
    <cfRule type="expression" dxfId="53" priority="3">
      <formula>B12&lt;&gt;""</formula>
    </cfRule>
  </conditionalFormatting>
  <conditionalFormatting sqref="B13:I13 B15:I15 B17:I17 B19:I19 B21:I21 B23:I23 B25:I25 B27:I27 B29:I29">
    <cfRule type="expression" dxfId="52" priority="2">
      <formula>COLUMN(B12)&gt;=2</formula>
    </cfRule>
  </conditionalFormatting>
  <conditionalFormatting sqref="B12:I31">
    <cfRule type="expression" dxfId="51" priority="1">
      <formula>COLUMN(B11)&gt;2</formula>
    </cfRule>
  </conditionalFormatting>
  <dataValidations count="13">
    <dataValidation allowBlank="1" showInputMessage="1" showErrorMessage="1" prompt="V to vrstico vnesite predavanje, navedena v stolpcih B–I." sqref="B13" xr:uid="{00000000-0002-0000-0400-000000000000}"/>
    <dataValidation allowBlank="1" showInputMessage="1" showErrorMessage="1" prompt="V to vrstico vnesite čas, naveden v stolpcih B–I." sqref="B12" xr:uid="{00000000-0002-0000-0400-000001000000}"/>
    <dataValidation allowBlank="1" showInputMessage="1" showErrorMessage="1" prompt="Če je v tej vrstici število, ki je manjše od prejšnjega števila ali vrstice števil, potem ta vrstica vsebuje datume za naslednji koledarski mesec." sqref="C8" xr:uid="{00000000-0002-0000-0400-000002000000}"/>
    <dataValidation allowBlank="1" showInputMessage="1" showErrorMessage="1" prompt="Če v tej celici ni številke 1, potem gre za dan iz prejšnjega meseca. V celicah C3:I8 so datumi trenutnega meseca." sqref="C3" xr:uid="{00000000-0002-0000-0400-000003000000}"/>
    <dataValidation allowBlank="1" showInputMessage="1" showErrorMessage="1" prompt="Celice C2:I2 vsebujejo dneve v tednu." sqref="C2" xr:uid="{00000000-0002-0000-0400-000004000000}"/>
    <dataValidation allowBlank="1" showInputMessage="1" showErrorMessage="1" prompt="Pripravite tedenski urnik in ustvarite seznam nalog na tem delovnem listu. Naloge so samodejno označene v mesečnem koledarju za leto, vneseno v celici B1 na januarskem delovnem listu." sqref="A1" xr:uid="{00000000-0002-0000-0400-000005000000}"/>
    <dataValidation allowBlank="1" showInputMessage="1" showErrorMessage="1" prompt="Samodejno posodobljeno koledarsko leto. Če želite spremeniti leto, posodobite celico B1 na januarskem delovnem listu." sqref="B1" xr:uid="{00000000-0002-0000-0400-000006000000}"/>
    <dataValidation allowBlank="1" showInputMessage="1" showErrorMessage="1" prompt="V koledarju za maj so samodejno označeni vnosi s seznama nalog za ta mesec. Temnejše pisave so naloge. Svetlejše pisave so dnevi, ki sodijo v prejšnji ali naslednji mesec." sqref="B2" xr:uid="{00000000-0002-0000-0400-000007000000}"/>
    <dataValidation allowBlank="1" showInputMessage="1" showErrorMessage="1" prompt="Dnevi v tednu so združeni v tem stolpcu s 6 vrsticami za naloge za vsak združen delavnik v mesecu. Če želite dodati več nalog, vstavite nove vrstice. V koledarju na levi bodo elementi označeni." sqref="J1" xr:uid="{00000000-0002-0000-0400-000008000000}"/>
    <dataValidation allowBlank="1" showInputMessage="1" showErrorMessage="1" prompt="V ta stolpec vnesite podrobnosti naloge, ki ustrezajo delavniku v stolpcu J in dnevu v stolpcu K za koledarski mesec na levi." sqref="L1" xr:uid="{00000000-0002-0000-0400-000009000000}"/>
    <dataValidation allowBlank="1" showInputMessage="1" showErrorMessage="1" prompt="V ta stolpec vnesite dan v mesecu za dodeljeno nalogo, ki ustreza delavniku v stolpcu J. Na ta dan bo označena naloga v koledarju na levi." sqref="K1" xr:uid="{00000000-0002-0000-0400-00000A000000}"/>
    <dataValidation allowBlank="1" showInputMessage="1" showErrorMessage="1" prompt="V tej vrstici so delovni dnevi, od ponedeljka do petka." sqref="B11" xr:uid="{00000000-0002-0000-0400-00000B000000}"/>
    <dataValidation allowBlank="1" showInputMessage="1" showErrorMessage="1" prompt="Vnesite uro predavanja in pod njo, v novo vrstico, razredu, ime predavanja za vsak delovni dan v stolpce od B do I. Ta vzorec ponovite za vsa predavanja v naslednjih vrsticah." sqref="B10" xr:uid="{00000000-0002-0000-04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KoledarskoLeto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50" t="s">
        <v>34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52">
        <f>IF(DAY(JunNed1)=1,JunNed1-6,JunNed1+1)</f>
        <v>44347</v>
      </c>
      <c r="D3" s="52">
        <f>IF(DAY(JunNed1)=1,JunNed1-5,JunNed1+2)</f>
        <v>44348</v>
      </c>
      <c r="E3" s="52">
        <f>IF(DAY(JunNed1)=1,JunNed1-4,JunNed1+3)</f>
        <v>44349</v>
      </c>
      <c r="F3" s="52">
        <f>IF(DAY(JunNed1)=1,JunNed1-3,JunNed1+4)</f>
        <v>44350</v>
      </c>
      <c r="G3" s="52">
        <f>IF(DAY(JunNed1)=1,JunNed1-2,JunNed1+5)</f>
        <v>44351</v>
      </c>
      <c r="H3" s="52">
        <f>IF(DAY(JunNed1)=1,JunNed1-1,JunNed1+6)</f>
        <v>44352</v>
      </c>
      <c r="I3" s="52">
        <f>IF(DAY(JunNed1)=1,JunNed1,JunNed1+7)</f>
        <v>44353</v>
      </c>
      <c r="J3" s="16"/>
      <c r="K3" s="3"/>
      <c r="L3" s="10"/>
    </row>
    <row r="4" spans="1:12" ht="30" customHeight="1" x14ac:dyDescent="0.25">
      <c r="A4" s="19"/>
      <c r="C4" s="52">
        <f>IF(DAY(JunNed1)=1,JunNed1+1,JunNed1+8)</f>
        <v>44354</v>
      </c>
      <c r="D4" s="52">
        <f>IF(DAY(JunNed1)=1,JunNed1+2,JunNed1+9)</f>
        <v>44355</v>
      </c>
      <c r="E4" s="52">
        <f>IF(DAY(JunNed1)=1,JunNed1+3,JunNed1+10)</f>
        <v>44356</v>
      </c>
      <c r="F4" s="52">
        <f>IF(DAY(JunNed1)=1,JunNed1+4,JunNed1+11)</f>
        <v>44357</v>
      </c>
      <c r="G4" s="52">
        <f>IF(DAY(JunNed1)=1,JunNed1+5,JunNed1+12)</f>
        <v>44358</v>
      </c>
      <c r="H4" s="52">
        <f>IF(DAY(JunNed1)=1,JunNed1+6,JunNed1+13)</f>
        <v>44359</v>
      </c>
      <c r="I4" s="52">
        <f>IF(DAY(JunNed1)=1,JunNed1+7,JunNed1+14)</f>
        <v>44360</v>
      </c>
      <c r="J4" s="16"/>
      <c r="K4" s="3"/>
      <c r="L4" s="10"/>
    </row>
    <row r="5" spans="1:12" ht="30" customHeight="1" x14ac:dyDescent="0.25">
      <c r="A5" s="19"/>
      <c r="C5" s="52">
        <f>IF(DAY(JunNed1)=1,JunNed1+8,JunNed1+15)</f>
        <v>44361</v>
      </c>
      <c r="D5" s="52">
        <f>IF(DAY(JunNed1)=1,JunNed1+9,JunNed1+16)</f>
        <v>44362</v>
      </c>
      <c r="E5" s="52">
        <f>IF(DAY(JunNed1)=1,JunNed1+10,JunNed1+17)</f>
        <v>44363</v>
      </c>
      <c r="F5" s="52">
        <f>IF(DAY(JunNed1)=1,JunNed1+11,JunNed1+18)</f>
        <v>44364</v>
      </c>
      <c r="G5" s="52">
        <f>IF(DAY(JunNed1)=1,JunNed1+12,JunNed1+19)</f>
        <v>44365</v>
      </c>
      <c r="H5" s="52">
        <f>IF(DAY(JunNed1)=1,JunNed1+13,JunNed1+20)</f>
        <v>44366</v>
      </c>
      <c r="I5" s="52">
        <f>IF(DAY(JunNed1)=1,JunNed1+14,JunNed1+21)</f>
        <v>44367</v>
      </c>
      <c r="J5" s="16"/>
      <c r="K5" s="3"/>
      <c r="L5" s="10"/>
    </row>
    <row r="6" spans="1:12" ht="30" customHeight="1" x14ac:dyDescent="0.25">
      <c r="A6" s="19"/>
      <c r="C6" s="52">
        <f>IF(DAY(JunNed1)=1,JunNed1+15,JunNed1+22)</f>
        <v>44368</v>
      </c>
      <c r="D6" s="52">
        <f>IF(DAY(JunNed1)=1,JunNed1+16,JunNed1+23)</f>
        <v>44369</v>
      </c>
      <c r="E6" s="52">
        <f>IF(DAY(JunNed1)=1,JunNed1+17,JunNed1+24)</f>
        <v>44370</v>
      </c>
      <c r="F6" s="52">
        <f>IF(DAY(JunNed1)=1,JunNed1+18,JunNed1+25)</f>
        <v>44371</v>
      </c>
      <c r="G6" s="52">
        <f>IF(DAY(JunNed1)=1,JunNed1+19,JunNed1+26)</f>
        <v>44372</v>
      </c>
      <c r="H6" s="52">
        <f>IF(DAY(JunNed1)=1,JunNed1+20,JunNed1+27)</f>
        <v>44373</v>
      </c>
      <c r="I6" s="52">
        <f>IF(DAY(JunNed1)=1,JunNed1+21,JunNed1+28)</f>
        <v>44374</v>
      </c>
      <c r="J6" s="16"/>
      <c r="K6" s="3"/>
      <c r="L6" s="10"/>
    </row>
    <row r="7" spans="1:12" ht="30" customHeight="1" x14ac:dyDescent="0.2">
      <c r="A7" s="19"/>
      <c r="C7" s="52">
        <f>IF(DAY(JunNed1)=1,JunNed1+22,JunNed1+29)</f>
        <v>44375</v>
      </c>
      <c r="D7" s="52">
        <f>IF(DAY(JunNed1)=1,JunNed1+23,JunNed1+30)</f>
        <v>44376</v>
      </c>
      <c r="E7" s="52">
        <f>IF(DAY(JunNed1)=1,JunNed1+24,JunNed1+31)</f>
        <v>44377</v>
      </c>
      <c r="F7" s="52">
        <f>IF(DAY(JunNed1)=1,JunNed1+25,JunNed1+32)</f>
        <v>44378</v>
      </c>
      <c r="G7" s="52">
        <f>IF(DAY(JunNed1)=1,JunNed1+26,JunNed1+33)</f>
        <v>44379</v>
      </c>
      <c r="H7" s="52">
        <f>IF(DAY(JunNed1)=1,JunNed1+27,JunNed1+34)</f>
        <v>44380</v>
      </c>
      <c r="I7" s="52">
        <f>IF(DAY(JunNed1)=1,JunNed1+28,JunNed1+35)</f>
        <v>44381</v>
      </c>
      <c r="J7" s="51"/>
      <c r="K7" s="51"/>
      <c r="L7" s="51"/>
    </row>
    <row r="8" spans="1:12" ht="30" customHeight="1" x14ac:dyDescent="0.25">
      <c r="A8" s="19"/>
      <c r="B8" s="25"/>
      <c r="C8" s="52">
        <f>IF(DAY(JunNed1)=1,JunNed1+29,JunNed1+36)</f>
        <v>44382</v>
      </c>
      <c r="D8" s="52">
        <f>IF(DAY(JunNed1)=1,JunNed1+30,JunNed1+37)</f>
        <v>44383</v>
      </c>
      <c r="E8" s="52">
        <f>IF(DAY(JunNed1)=1,JunNed1+31,JunNed1+38)</f>
        <v>44384</v>
      </c>
      <c r="F8" s="52">
        <f>IF(DAY(JunNed1)=1,JunNed1+32,JunNed1+39)</f>
        <v>44385</v>
      </c>
      <c r="G8" s="52">
        <f>IF(DAY(JunNed1)=1,JunNed1+33,JunNed1+40)</f>
        <v>44386</v>
      </c>
      <c r="H8" s="52">
        <f>IF(DAY(JunNed1)=1,JunNed1+34,JunNed1+41)</f>
        <v>44387</v>
      </c>
      <c r="I8" s="52">
        <f>IF(DAY(JunNed1)=1,JunNed1+35,JunNed1+42)</f>
        <v>44388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28</v>
      </c>
      <c r="B11" s="34" t="s">
        <v>5</v>
      </c>
      <c r="C11" s="58" t="s">
        <v>13</v>
      </c>
      <c r="D11" s="59"/>
      <c r="E11" s="58" t="s">
        <v>18</v>
      </c>
      <c r="F11" s="59"/>
      <c r="G11" s="58" t="s">
        <v>19</v>
      </c>
      <c r="H11" s="59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54" t="s">
        <v>6</v>
      </c>
      <c r="C12" s="60"/>
      <c r="D12" s="60"/>
      <c r="E12" s="60" t="s">
        <v>6</v>
      </c>
      <c r="F12" s="60"/>
      <c r="G12" s="60"/>
      <c r="H12" s="60"/>
      <c r="I12" s="56" t="s">
        <v>6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61"/>
      <c r="D13" s="61"/>
      <c r="E13" s="61" t="s">
        <v>7</v>
      </c>
      <c r="F13" s="61"/>
      <c r="G13" s="61"/>
      <c r="H13" s="61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4"/>
      <c r="C14" s="60" t="s">
        <v>14</v>
      </c>
      <c r="D14" s="60"/>
      <c r="E14" s="60"/>
      <c r="F14" s="60"/>
      <c r="G14" s="60" t="s">
        <v>14</v>
      </c>
      <c r="H14" s="60"/>
      <c r="I14" s="56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61" t="s">
        <v>15</v>
      </c>
      <c r="D15" s="61"/>
      <c r="E15" s="61"/>
      <c r="F15" s="61"/>
      <c r="G15" s="61" t="s">
        <v>15</v>
      </c>
      <c r="H15" s="61"/>
      <c r="I15" s="41"/>
      <c r="J15" s="16"/>
      <c r="K15" s="3"/>
      <c r="L15" s="10"/>
    </row>
    <row r="16" spans="1:12" ht="30" customHeight="1" x14ac:dyDescent="0.25">
      <c r="A16" s="35" t="s">
        <v>1</v>
      </c>
      <c r="B16" s="54" t="s">
        <v>8</v>
      </c>
      <c r="C16" s="60"/>
      <c r="D16" s="60"/>
      <c r="E16" s="60" t="s">
        <v>8</v>
      </c>
      <c r="F16" s="60"/>
      <c r="G16" s="60"/>
      <c r="H16" s="60"/>
      <c r="I16" s="57" t="s">
        <v>8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61"/>
      <c r="D17" s="61"/>
      <c r="E17" s="61" t="s">
        <v>9</v>
      </c>
      <c r="F17" s="61"/>
      <c r="G17" s="61"/>
      <c r="H17" s="61"/>
      <c r="I17" s="41" t="s">
        <v>9</v>
      </c>
      <c r="J17" s="16"/>
      <c r="K17" s="3"/>
      <c r="L17" s="10"/>
    </row>
    <row r="18" spans="1:12" ht="30" customHeight="1" x14ac:dyDescent="0.25">
      <c r="A18" s="35" t="s">
        <v>1</v>
      </c>
      <c r="B18" s="54"/>
      <c r="C18" s="60"/>
      <c r="D18" s="60"/>
      <c r="E18" s="60"/>
      <c r="F18" s="60"/>
      <c r="G18" s="60"/>
      <c r="H18" s="60"/>
      <c r="I18" s="56"/>
      <c r="J18" s="16"/>
      <c r="K18" s="3"/>
      <c r="L18" s="10"/>
    </row>
    <row r="19" spans="1:12" ht="30" customHeight="1" x14ac:dyDescent="0.25">
      <c r="A19" s="35" t="s">
        <v>2</v>
      </c>
      <c r="B19" s="36"/>
      <c r="C19" s="61"/>
      <c r="D19" s="61"/>
      <c r="E19" s="61"/>
      <c r="F19" s="61"/>
      <c r="G19" s="61"/>
      <c r="H19" s="61"/>
      <c r="I19" s="42"/>
      <c r="J19" s="1"/>
      <c r="K19" s="31"/>
      <c r="L19" s="32"/>
    </row>
    <row r="20" spans="1:12" ht="30" customHeight="1" x14ac:dyDescent="0.25">
      <c r="A20" s="35" t="s">
        <v>1</v>
      </c>
      <c r="B20" s="54"/>
      <c r="C20" s="60"/>
      <c r="D20" s="60"/>
      <c r="E20" s="60"/>
      <c r="F20" s="60"/>
      <c r="G20" s="60"/>
      <c r="H20" s="60"/>
      <c r="I20" s="56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61"/>
      <c r="D21" s="61"/>
      <c r="E21" s="61"/>
      <c r="F21" s="61"/>
      <c r="G21" s="61"/>
      <c r="H21" s="61"/>
      <c r="I21" s="41"/>
      <c r="J21" s="16"/>
      <c r="K21" s="3"/>
      <c r="L21" s="10"/>
    </row>
    <row r="22" spans="1:12" ht="30" customHeight="1" x14ac:dyDescent="0.25">
      <c r="A22" s="35" t="s">
        <v>1</v>
      </c>
      <c r="B22" s="54"/>
      <c r="C22" s="60"/>
      <c r="D22" s="60"/>
      <c r="E22" s="60"/>
      <c r="F22" s="60"/>
      <c r="G22" s="60"/>
      <c r="H22" s="60"/>
      <c r="I22" s="56"/>
      <c r="J22" s="16"/>
      <c r="K22" s="3"/>
      <c r="L22" s="10"/>
    </row>
    <row r="23" spans="1:12" ht="30" customHeight="1" x14ac:dyDescent="0.25">
      <c r="A23" s="35" t="s">
        <v>2</v>
      </c>
      <c r="B23" s="36"/>
      <c r="C23" s="61"/>
      <c r="D23" s="61"/>
      <c r="E23" s="61"/>
      <c r="F23" s="61"/>
      <c r="G23" s="61"/>
      <c r="H23" s="61"/>
      <c r="I23" s="41"/>
      <c r="J23" s="16"/>
      <c r="K23" s="3"/>
      <c r="L23" s="10"/>
    </row>
    <row r="24" spans="1:12" ht="30" customHeight="1" x14ac:dyDescent="0.25">
      <c r="A24" s="35" t="s">
        <v>1</v>
      </c>
      <c r="B24" s="54" t="s">
        <v>10</v>
      </c>
      <c r="C24" s="60"/>
      <c r="D24" s="60"/>
      <c r="E24" s="60" t="s">
        <v>10</v>
      </c>
      <c r="F24" s="60"/>
      <c r="G24" s="60"/>
      <c r="H24" s="60"/>
      <c r="I24" s="56" t="s">
        <v>10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61"/>
      <c r="D25" s="61"/>
      <c r="E25" s="61" t="s">
        <v>11</v>
      </c>
      <c r="F25" s="61"/>
      <c r="G25" s="61"/>
      <c r="H25" s="61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4"/>
      <c r="C26" s="60"/>
      <c r="D26" s="60"/>
      <c r="E26" s="60"/>
      <c r="F26" s="60"/>
      <c r="G26" s="60"/>
      <c r="H26" s="60"/>
      <c r="I26" s="56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61"/>
      <c r="D27" s="61"/>
      <c r="E27" s="61"/>
      <c r="F27" s="61"/>
      <c r="G27" s="61"/>
      <c r="H27" s="61"/>
      <c r="I27" s="41"/>
      <c r="J27" s="16"/>
      <c r="K27" s="3"/>
      <c r="L27" s="10"/>
    </row>
    <row r="28" spans="1:12" ht="30" customHeight="1" x14ac:dyDescent="0.25">
      <c r="A28" s="35" t="s">
        <v>1</v>
      </c>
      <c r="B28" s="54"/>
      <c r="C28" s="60" t="s">
        <v>16</v>
      </c>
      <c r="D28" s="60"/>
      <c r="E28" s="60"/>
      <c r="F28" s="60"/>
      <c r="G28" s="60" t="s">
        <v>16</v>
      </c>
      <c r="H28" s="60"/>
      <c r="I28" s="56"/>
      <c r="J28" s="16"/>
      <c r="K28" s="3"/>
      <c r="L28" s="10"/>
    </row>
    <row r="29" spans="1:12" ht="30" customHeight="1" x14ac:dyDescent="0.25">
      <c r="A29" s="35" t="s">
        <v>2</v>
      </c>
      <c r="B29" s="36"/>
      <c r="C29" s="61" t="s">
        <v>17</v>
      </c>
      <c r="D29" s="61"/>
      <c r="E29" s="61"/>
      <c r="F29" s="61"/>
      <c r="G29" s="61" t="s">
        <v>17</v>
      </c>
      <c r="H29" s="61"/>
      <c r="I29" s="41"/>
      <c r="J29" s="16"/>
      <c r="K29" s="3"/>
      <c r="L29" s="10"/>
    </row>
    <row r="30" spans="1:12" ht="30" customHeight="1" x14ac:dyDescent="0.25">
      <c r="A30" s="35" t="s">
        <v>1</v>
      </c>
      <c r="B30" s="54"/>
      <c r="C30" s="60"/>
      <c r="D30" s="60"/>
      <c r="E30" s="60"/>
      <c r="F30" s="60"/>
      <c r="G30" s="60"/>
      <c r="H30" s="60"/>
      <c r="I30" s="56"/>
      <c r="J30" s="16"/>
      <c r="K30" s="3"/>
      <c r="L30" s="10"/>
    </row>
    <row r="31" spans="1:12" ht="30" customHeight="1" x14ac:dyDescent="0.25">
      <c r="A31" s="35" t="s">
        <v>2</v>
      </c>
      <c r="B31" s="39"/>
      <c r="C31" s="62"/>
      <c r="D31" s="62"/>
      <c r="E31" s="62"/>
      <c r="F31" s="62"/>
      <c r="G31" s="62"/>
      <c r="H31" s="62"/>
      <c r="I31" s="40"/>
      <c r="J31" s="16"/>
      <c r="K31" s="27"/>
      <c r="L31" s="49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50" priority="6" stopIfTrue="1">
      <formula>DAY(C3)&gt;8</formula>
    </cfRule>
  </conditionalFormatting>
  <conditionalFormatting sqref="C7:I8">
    <cfRule type="expression" dxfId="49" priority="5" stopIfTrue="1">
      <formula>AND(DAY(C7)&gt;=1,DAY(C7)&lt;=15)</formula>
    </cfRule>
  </conditionalFormatting>
  <conditionalFormatting sqref="C3:I8">
    <cfRule type="expression" dxfId="48" priority="7">
      <formula>VLOOKUP(DAY(C3),DanOddajeNaloge,1,FALSE)=DAY(C3)</formula>
    </cfRule>
  </conditionalFormatting>
  <conditionalFormatting sqref="B13:I13 B15:I15 B17:I17 B19:I19 B21:I21 B23:I23 B25:I25 B27:I27 B29:I29 B31:I31">
    <cfRule type="expression" dxfId="47" priority="4">
      <formula>B13&lt;&gt;""</formula>
    </cfRule>
  </conditionalFormatting>
  <conditionalFormatting sqref="B12:I12 B14:I14 B16:I16 B18:I18 B20:I20 B22:I22 B24:I24 B26:I26 B28:I28 B30:I30">
    <cfRule type="expression" dxfId="46" priority="3">
      <formula>B12&lt;&gt;""</formula>
    </cfRule>
  </conditionalFormatting>
  <conditionalFormatting sqref="B13:I13 B15:I15 B17:I17 B19:I19 B21:I21 B23:I23 B25:I25 B27:I27 B29:I29">
    <cfRule type="expression" dxfId="45" priority="2">
      <formula>COLUMN(B13)&gt;=2</formula>
    </cfRule>
  </conditionalFormatting>
  <conditionalFormatting sqref="B12:I31">
    <cfRule type="expression" dxfId="44" priority="1">
      <formula>COLUMN(B12)&gt;2</formula>
    </cfRule>
  </conditionalFormatting>
  <dataValidations xWindow="282" yWindow="780" count="13">
    <dataValidation allowBlank="1" showInputMessage="1" showErrorMessage="1" prompt="V koledarju za junij so samodejno označeni vnosi s seznama nalog za ta mesec. Temnejše pisave so naloge. Svetlejše pisave so dnevi, ki sodijo v prejšnji ali naslednji mesec." sqref="B2" xr:uid="{00000000-0002-0000-0500-000000000000}"/>
    <dataValidation allowBlank="1" showInputMessage="1" showErrorMessage="1" prompt="Samodejno posodobljeno koledarsko leto. Če želite spremeniti leto, posodobite celico B1 na januarskem delovnem listu." sqref="B1" xr:uid="{00000000-0002-0000-0500-000001000000}"/>
    <dataValidation allowBlank="1" showInputMessage="1" showErrorMessage="1" prompt="Pripravite tedenski urnik in ustvarite seznam nalog na tem delovnem listu. Naloge so samodejno označene v mesečnem koledarju za leto, vneseno v celici B1 na januarskem delovnem listu." sqref="A1" xr:uid="{00000000-0002-0000-0500-000002000000}"/>
    <dataValidation allowBlank="1" showInputMessage="1" showErrorMessage="1" prompt="Celice C2:I2 vsebujejo dneve v tednu." sqref="C2" xr:uid="{00000000-0002-0000-0500-000003000000}"/>
    <dataValidation allowBlank="1" showInputMessage="1" showErrorMessage="1" prompt="Če v tej celici ni številke 1, potem gre za dan iz prejšnjega meseca. V celicah C3:I8 so datumi trenutnega meseca." sqref="C3" xr:uid="{00000000-0002-0000-0500-000004000000}"/>
    <dataValidation allowBlank="1" showInputMessage="1" showErrorMessage="1" prompt="Če je v tej vrstici število, ki je manjše od prejšnjega števila ali vrstice števil, potem ta vrstica vsebuje datume za naslednji koledarski mesec." sqref="C8" xr:uid="{00000000-0002-0000-0500-000005000000}"/>
    <dataValidation allowBlank="1" showInputMessage="1" showErrorMessage="1" prompt="V to vrstico vnesite čas, naveden v stolpcih B–I." sqref="B12" xr:uid="{00000000-0002-0000-0500-000006000000}"/>
    <dataValidation allowBlank="1" showInputMessage="1" showErrorMessage="1" prompt="V to vrstico vnesite predavanje, navedena v stolpcih B–I." sqref="B13" xr:uid="{00000000-0002-0000-0500-000007000000}"/>
    <dataValidation allowBlank="1" showInputMessage="1" showErrorMessage="1" prompt="Dnevi v tednu so združeni v tem stolpcu s 6 vrsticami za naloge za vsak združen delavnik v mesecu. Če želite dodati več nalog, vstavite nove vrstice. V koledarju na levi bodo elementi označeni." sqref="J1" xr:uid="{00000000-0002-0000-0500-000008000000}"/>
    <dataValidation allowBlank="1" showInputMessage="1" showErrorMessage="1" prompt="V ta stolpec vnesite podrobnosti naloge, ki ustrezajo delavniku v stolpcu J in dnevu v stolpcu K za koledarski mesec na levi." sqref="L1" xr:uid="{00000000-0002-0000-0500-000009000000}"/>
    <dataValidation allowBlank="1" showInputMessage="1" showErrorMessage="1" prompt="V ta stolpec vnesite dan v mesecu za dodeljeno nalogo, ki ustreza delavniku v stolpcu J. Na ta dan bo označena naloga v koledarju na levi." sqref="K1" xr:uid="{00000000-0002-0000-0500-00000A000000}"/>
    <dataValidation allowBlank="1" showInputMessage="1" showErrorMessage="1" prompt="V tej vrstici so delovni dnevi, od ponedeljka do petka." sqref="B11" xr:uid="{00000000-0002-0000-0500-00000B000000}"/>
    <dataValidation allowBlank="1" showInputMessage="1" showErrorMessage="1" prompt="Vnesite uro predavanja in pod njo, v novo vrstico, razredu, ime predavanja za vsak delovni dan v stolpce od B do I. Ta vzorec ponovite za vsa predavanja v naslednjih vrsticah." sqref="B10" xr:uid="{00000000-0002-0000-05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KoledarskoLeto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35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52">
        <f>IF(DAY(JulNed1)=1,JulNed1-6,JulNed1+1)</f>
        <v>44375</v>
      </c>
      <c r="D3" s="52">
        <f>IF(DAY(JulNed1)=1,JulNed1-5,JulNed1+2)</f>
        <v>44376</v>
      </c>
      <c r="E3" s="52">
        <f>IF(DAY(JulNed1)=1,JulNed1-4,JulNed1+3)</f>
        <v>44377</v>
      </c>
      <c r="F3" s="52">
        <f>IF(DAY(JulNed1)=1,JulNed1-3,JulNed1+4)</f>
        <v>44378</v>
      </c>
      <c r="G3" s="52">
        <f>IF(DAY(JulNed1)=1,JulNed1-2,JulNed1+5)</f>
        <v>44379</v>
      </c>
      <c r="H3" s="52">
        <f>IF(DAY(JulNed1)=1,JulNed1-1,JulNed1+6)</f>
        <v>44380</v>
      </c>
      <c r="I3" s="52">
        <f>IF(DAY(JulNed1)=1,JulNed1,JulNed1+7)</f>
        <v>44381</v>
      </c>
      <c r="J3" s="16"/>
      <c r="K3" s="3"/>
      <c r="L3" s="10"/>
    </row>
    <row r="4" spans="1:12" ht="30" customHeight="1" x14ac:dyDescent="0.25">
      <c r="A4" s="19"/>
      <c r="C4" s="52">
        <f>IF(DAY(JulNed1)=1,JulNed1+1,JulNed1+8)</f>
        <v>44382</v>
      </c>
      <c r="D4" s="52">
        <f>IF(DAY(JulNed1)=1,JulNed1+2,JulNed1+9)</f>
        <v>44383</v>
      </c>
      <c r="E4" s="52">
        <f>IF(DAY(JulNed1)=1,JulNed1+3,JulNed1+10)</f>
        <v>44384</v>
      </c>
      <c r="F4" s="52">
        <f>IF(DAY(JulNed1)=1,JulNed1+4,JulNed1+11)</f>
        <v>44385</v>
      </c>
      <c r="G4" s="52">
        <f>IF(DAY(JulNed1)=1,JulNed1+5,JulNed1+12)</f>
        <v>44386</v>
      </c>
      <c r="H4" s="52">
        <f>IF(DAY(JulNed1)=1,JulNed1+6,JulNed1+13)</f>
        <v>44387</v>
      </c>
      <c r="I4" s="52">
        <f>IF(DAY(JulNed1)=1,JulNed1+7,JulNed1+14)</f>
        <v>44388</v>
      </c>
      <c r="J4" s="16"/>
      <c r="K4" s="3"/>
      <c r="L4" s="10"/>
    </row>
    <row r="5" spans="1:12" ht="30" customHeight="1" x14ac:dyDescent="0.25">
      <c r="A5" s="19"/>
      <c r="C5" s="52">
        <f>IF(DAY(JulNed1)=1,JulNed1+8,JulNed1+15)</f>
        <v>44389</v>
      </c>
      <c r="D5" s="52">
        <f>IF(DAY(JulNed1)=1,JulNed1+9,JulNed1+16)</f>
        <v>44390</v>
      </c>
      <c r="E5" s="52">
        <f>IF(DAY(JulNed1)=1,JulNed1+10,JulNed1+17)</f>
        <v>44391</v>
      </c>
      <c r="F5" s="52">
        <f>IF(DAY(JulNed1)=1,JulNed1+11,JulNed1+18)</f>
        <v>44392</v>
      </c>
      <c r="G5" s="52">
        <f>IF(DAY(JulNed1)=1,JulNed1+12,JulNed1+19)</f>
        <v>44393</v>
      </c>
      <c r="H5" s="52">
        <f>IF(DAY(JulNed1)=1,JulNed1+13,JulNed1+20)</f>
        <v>44394</v>
      </c>
      <c r="I5" s="52">
        <f>IF(DAY(JulNed1)=1,JulNed1+14,JulNed1+21)</f>
        <v>44395</v>
      </c>
      <c r="J5" s="16"/>
      <c r="K5" s="3"/>
      <c r="L5" s="10"/>
    </row>
    <row r="6" spans="1:12" ht="30" customHeight="1" x14ac:dyDescent="0.25">
      <c r="A6" s="19"/>
      <c r="C6" s="52">
        <f>IF(DAY(JulNed1)=1,JulNed1+15,JulNed1+22)</f>
        <v>44396</v>
      </c>
      <c r="D6" s="52">
        <f>IF(DAY(JulNed1)=1,JulNed1+16,JulNed1+23)</f>
        <v>44397</v>
      </c>
      <c r="E6" s="52">
        <f>IF(DAY(JulNed1)=1,JulNed1+17,JulNed1+24)</f>
        <v>44398</v>
      </c>
      <c r="F6" s="52">
        <f>IF(DAY(JulNed1)=1,JulNed1+18,JulNed1+25)</f>
        <v>44399</v>
      </c>
      <c r="G6" s="52">
        <f>IF(DAY(JulNed1)=1,JulNed1+19,JulNed1+26)</f>
        <v>44400</v>
      </c>
      <c r="H6" s="52">
        <f>IF(DAY(JulNed1)=1,JulNed1+20,JulNed1+27)</f>
        <v>44401</v>
      </c>
      <c r="I6" s="52">
        <f>IF(DAY(JulNed1)=1,JulNed1+21,JulNed1+28)</f>
        <v>44402</v>
      </c>
      <c r="J6" s="16"/>
      <c r="K6" s="3"/>
      <c r="L6" s="10"/>
    </row>
    <row r="7" spans="1:12" ht="30" customHeight="1" x14ac:dyDescent="0.25">
      <c r="A7" s="19"/>
      <c r="C7" s="52">
        <f>IF(DAY(JulNed1)=1,JulNed1+22,JulNed1+29)</f>
        <v>44403</v>
      </c>
      <c r="D7" s="52">
        <f>IF(DAY(JulNed1)=1,JulNed1+23,JulNed1+30)</f>
        <v>44404</v>
      </c>
      <c r="E7" s="52">
        <f>IF(DAY(JulNed1)=1,JulNed1+24,JulNed1+31)</f>
        <v>44405</v>
      </c>
      <c r="F7" s="52">
        <f>IF(DAY(JulNed1)=1,JulNed1+25,JulNed1+32)</f>
        <v>44406</v>
      </c>
      <c r="G7" s="52">
        <f>IF(DAY(JulNed1)=1,JulNed1+26,JulNed1+33)</f>
        <v>44407</v>
      </c>
      <c r="H7" s="52">
        <f>IF(DAY(JulNed1)=1,JulNed1+27,JulNed1+34)</f>
        <v>44408</v>
      </c>
      <c r="I7" s="52">
        <f>IF(DAY(JulNed1)=1,JulNed1+28,JulNed1+35)</f>
        <v>44409</v>
      </c>
      <c r="J7" s="1"/>
      <c r="K7" s="31"/>
      <c r="L7" s="26"/>
    </row>
    <row r="8" spans="1:12" ht="30" customHeight="1" x14ac:dyDescent="0.25">
      <c r="A8" s="19"/>
      <c r="B8" s="25"/>
      <c r="C8" s="52">
        <f>IF(DAY(JulNed1)=1,JulNed1+29,JulNed1+36)</f>
        <v>44410</v>
      </c>
      <c r="D8" s="52">
        <f>IF(DAY(JulNed1)=1,JulNed1+30,JulNed1+37)</f>
        <v>44411</v>
      </c>
      <c r="E8" s="52">
        <f>IF(DAY(JulNed1)=1,JulNed1+31,JulNed1+38)</f>
        <v>44412</v>
      </c>
      <c r="F8" s="52">
        <f>IF(DAY(JulNed1)=1,JulNed1+32,JulNed1+39)</f>
        <v>44413</v>
      </c>
      <c r="G8" s="52">
        <f>IF(DAY(JulNed1)=1,JulNed1+33,JulNed1+40)</f>
        <v>44414</v>
      </c>
      <c r="H8" s="52">
        <f>IF(DAY(JulNed1)=1,JulNed1+34,JulNed1+41)</f>
        <v>44415</v>
      </c>
      <c r="I8" s="52">
        <f>IF(DAY(JulNed1)=1,JulNed1+35,JulNed1+42)</f>
        <v>44416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28</v>
      </c>
      <c r="B11" s="34" t="s">
        <v>5</v>
      </c>
      <c r="C11" s="58" t="s">
        <v>13</v>
      </c>
      <c r="D11" s="59"/>
      <c r="E11" s="58" t="s">
        <v>18</v>
      </c>
      <c r="F11" s="59"/>
      <c r="G11" s="58" t="s">
        <v>19</v>
      </c>
      <c r="H11" s="59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54" t="s">
        <v>6</v>
      </c>
      <c r="C12" s="60"/>
      <c r="D12" s="60"/>
      <c r="E12" s="60" t="s">
        <v>6</v>
      </c>
      <c r="F12" s="60"/>
      <c r="G12" s="60"/>
      <c r="H12" s="60"/>
      <c r="I12" s="56" t="s">
        <v>6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61"/>
      <c r="D13" s="61"/>
      <c r="E13" s="61" t="s">
        <v>7</v>
      </c>
      <c r="F13" s="61"/>
      <c r="G13" s="61"/>
      <c r="H13" s="61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4"/>
      <c r="C14" s="60" t="s">
        <v>14</v>
      </c>
      <c r="D14" s="60"/>
      <c r="E14" s="60"/>
      <c r="F14" s="60"/>
      <c r="G14" s="60" t="s">
        <v>14</v>
      </c>
      <c r="H14" s="60"/>
      <c r="I14" s="56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61" t="s">
        <v>15</v>
      </c>
      <c r="D15" s="61"/>
      <c r="E15" s="61"/>
      <c r="F15" s="61"/>
      <c r="G15" s="61" t="s">
        <v>15</v>
      </c>
      <c r="H15" s="61"/>
      <c r="I15" s="41"/>
      <c r="J15" s="16"/>
      <c r="K15" s="3"/>
      <c r="L15" s="10"/>
    </row>
    <row r="16" spans="1:12" ht="30" customHeight="1" x14ac:dyDescent="0.25">
      <c r="A16" s="35" t="s">
        <v>1</v>
      </c>
      <c r="B16" s="54" t="s">
        <v>8</v>
      </c>
      <c r="C16" s="60"/>
      <c r="D16" s="60"/>
      <c r="E16" s="60" t="s">
        <v>8</v>
      </c>
      <c r="F16" s="60"/>
      <c r="G16" s="60"/>
      <c r="H16" s="60"/>
      <c r="I16" s="57" t="s">
        <v>8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61"/>
      <c r="D17" s="61"/>
      <c r="E17" s="61" t="s">
        <v>9</v>
      </c>
      <c r="F17" s="61"/>
      <c r="G17" s="61"/>
      <c r="H17" s="61"/>
      <c r="I17" s="41" t="s">
        <v>9</v>
      </c>
      <c r="J17" s="16"/>
      <c r="K17" s="3"/>
      <c r="L17" s="10"/>
    </row>
    <row r="18" spans="1:12" ht="30" customHeight="1" x14ac:dyDescent="0.25">
      <c r="A18" s="35" t="s">
        <v>1</v>
      </c>
      <c r="B18" s="54"/>
      <c r="C18" s="60"/>
      <c r="D18" s="60"/>
      <c r="E18" s="60"/>
      <c r="F18" s="60"/>
      <c r="G18" s="60"/>
      <c r="H18" s="60"/>
      <c r="I18" s="56"/>
      <c r="J18" s="16"/>
      <c r="K18" s="3"/>
      <c r="L18" s="10"/>
    </row>
    <row r="19" spans="1:12" ht="30" customHeight="1" x14ac:dyDescent="0.25">
      <c r="A19" s="35" t="s">
        <v>2</v>
      </c>
      <c r="B19" s="36"/>
      <c r="C19" s="61"/>
      <c r="D19" s="61"/>
      <c r="E19" s="61"/>
      <c r="F19" s="61"/>
      <c r="G19" s="61"/>
      <c r="H19" s="61"/>
      <c r="I19" s="42"/>
      <c r="J19" s="1"/>
      <c r="K19" s="31"/>
      <c r="L19" s="32"/>
    </row>
    <row r="20" spans="1:12" ht="30" customHeight="1" x14ac:dyDescent="0.25">
      <c r="A20" s="35" t="s">
        <v>1</v>
      </c>
      <c r="B20" s="54"/>
      <c r="C20" s="60"/>
      <c r="D20" s="60"/>
      <c r="E20" s="60"/>
      <c r="F20" s="60"/>
      <c r="G20" s="60"/>
      <c r="H20" s="60"/>
      <c r="I20" s="56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61"/>
      <c r="D21" s="61"/>
      <c r="E21" s="61"/>
      <c r="F21" s="61"/>
      <c r="G21" s="61"/>
      <c r="H21" s="61"/>
      <c r="I21" s="41"/>
      <c r="J21" s="16"/>
      <c r="K21" s="3"/>
      <c r="L21" s="10"/>
    </row>
    <row r="22" spans="1:12" ht="30" customHeight="1" x14ac:dyDescent="0.25">
      <c r="A22" s="35" t="s">
        <v>1</v>
      </c>
      <c r="B22" s="54"/>
      <c r="C22" s="60"/>
      <c r="D22" s="60"/>
      <c r="E22" s="60"/>
      <c r="F22" s="60"/>
      <c r="G22" s="60"/>
      <c r="H22" s="60"/>
      <c r="I22" s="56"/>
      <c r="J22" s="16"/>
      <c r="K22" s="3"/>
      <c r="L22" s="10"/>
    </row>
    <row r="23" spans="1:12" ht="30" customHeight="1" x14ac:dyDescent="0.25">
      <c r="A23" s="35" t="s">
        <v>2</v>
      </c>
      <c r="B23" s="36"/>
      <c r="C23" s="61"/>
      <c r="D23" s="61"/>
      <c r="E23" s="61"/>
      <c r="F23" s="61"/>
      <c r="G23" s="61"/>
      <c r="H23" s="61"/>
      <c r="I23" s="41"/>
      <c r="J23" s="16"/>
      <c r="K23" s="3"/>
      <c r="L23" s="10"/>
    </row>
    <row r="24" spans="1:12" ht="30" customHeight="1" x14ac:dyDescent="0.25">
      <c r="A24" s="35" t="s">
        <v>1</v>
      </c>
      <c r="B24" s="54" t="s">
        <v>10</v>
      </c>
      <c r="C24" s="60"/>
      <c r="D24" s="60"/>
      <c r="E24" s="60" t="s">
        <v>10</v>
      </c>
      <c r="F24" s="60"/>
      <c r="G24" s="60"/>
      <c r="H24" s="60"/>
      <c r="I24" s="56" t="s">
        <v>10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61"/>
      <c r="D25" s="61"/>
      <c r="E25" s="61" t="s">
        <v>11</v>
      </c>
      <c r="F25" s="61"/>
      <c r="G25" s="61"/>
      <c r="H25" s="61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4"/>
      <c r="C26" s="60"/>
      <c r="D26" s="60"/>
      <c r="E26" s="60"/>
      <c r="F26" s="60"/>
      <c r="G26" s="60"/>
      <c r="H26" s="60"/>
      <c r="I26" s="56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61"/>
      <c r="D27" s="61"/>
      <c r="E27" s="61"/>
      <c r="F27" s="61"/>
      <c r="G27" s="61"/>
      <c r="H27" s="61"/>
      <c r="I27" s="41"/>
      <c r="J27" s="16"/>
      <c r="K27" s="3"/>
      <c r="L27" s="10"/>
    </row>
    <row r="28" spans="1:12" ht="30" customHeight="1" x14ac:dyDescent="0.25">
      <c r="A28" s="35" t="s">
        <v>1</v>
      </c>
      <c r="B28" s="54"/>
      <c r="C28" s="60" t="s">
        <v>16</v>
      </c>
      <c r="D28" s="60"/>
      <c r="E28" s="60"/>
      <c r="F28" s="60"/>
      <c r="G28" s="60" t="s">
        <v>16</v>
      </c>
      <c r="H28" s="60"/>
      <c r="I28" s="56"/>
      <c r="J28" s="16"/>
      <c r="K28" s="3"/>
      <c r="L28" s="10"/>
    </row>
    <row r="29" spans="1:12" ht="30" customHeight="1" x14ac:dyDescent="0.25">
      <c r="A29" s="35" t="s">
        <v>2</v>
      </c>
      <c r="B29" s="36"/>
      <c r="C29" s="61" t="s">
        <v>17</v>
      </c>
      <c r="D29" s="61"/>
      <c r="E29" s="61"/>
      <c r="F29" s="61"/>
      <c r="G29" s="61" t="s">
        <v>17</v>
      </c>
      <c r="H29" s="61"/>
      <c r="I29" s="41"/>
      <c r="J29" s="16"/>
      <c r="K29" s="3"/>
      <c r="L29" s="10"/>
    </row>
    <row r="30" spans="1:12" ht="30" customHeight="1" x14ac:dyDescent="0.25">
      <c r="A30" s="35" t="s">
        <v>1</v>
      </c>
      <c r="B30" s="54"/>
      <c r="C30" s="60"/>
      <c r="D30" s="60"/>
      <c r="E30" s="60"/>
      <c r="F30" s="60"/>
      <c r="G30" s="60"/>
      <c r="H30" s="60"/>
      <c r="I30" s="56"/>
      <c r="J30" s="16"/>
      <c r="K30" s="3"/>
      <c r="L30" s="10"/>
    </row>
    <row r="31" spans="1:12" ht="30" customHeight="1" x14ac:dyDescent="0.25">
      <c r="A31" s="35" t="s">
        <v>2</v>
      </c>
      <c r="B31" s="39"/>
      <c r="C31" s="62"/>
      <c r="D31" s="62"/>
      <c r="E31" s="62"/>
      <c r="F31" s="62"/>
      <c r="G31" s="62"/>
      <c r="H31" s="62"/>
      <c r="I31" s="40"/>
      <c r="J31" s="16"/>
      <c r="K31" s="27"/>
      <c r="L31" s="49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43" priority="6" stopIfTrue="1">
      <formula>DAY(C3)&gt;8</formula>
    </cfRule>
  </conditionalFormatting>
  <conditionalFormatting sqref="C7:I8">
    <cfRule type="expression" dxfId="42" priority="5" stopIfTrue="1">
      <formula>AND(DAY(C7)&gt;=1,DAY(C7)&lt;=15)</formula>
    </cfRule>
  </conditionalFormatting>
  <conditionalFormatting sqref="C3:I8">
    <cfRule type="expression" dxfId="41" priority="7">
      <formula>VLOOKUP(DAY(C3),DanOddajeNaloge,1,FALSE)=DAY(C3)</formula>
    </cfRule>
  </conditionalFormatting>
  <conditionalFormatting sqref="B12:I12 B14:I14 B16:I16 B18:I18 B20:I20 B22:I22 B24:I24 B26:I26 B28:I28 B30:I30">
    <cfRule type="expression" dxfId="40" priority="4">
      <formula>B12&lt;&gt;""</formula>
    </cfRule>
  </conditionalFormatting>
  <conditionalFormatting sqref="B13:I13 B15:I15 B17:I17 B19:I19 B21:I21 B23:I23 B25:I25 B27:I27 B29:I29 B31:I31">
    <cfRule type="expression" dxfId="39" priority="3">
      <formula>B13&lt;&gt;""</formula>
    </cfRule>
  </conditionalFormatting>
  <conditionalFormatting sqref="B13:I13 B15:I15 B17:I17 B19:I19 B21:I21 B23:I23 B25:I25 B27:I27 B29:I29">
    <cfRule type="expression" dxfId="38" priority="2">
      <formula>COLUMN(B13)&gt;=2</formula>
    </cfRule>
  </conditionalFormatting>
  <conditionalFormatting sqref="B12:I31">
    <cfRule type="expression" dxfId="37" priority="1">
      <formula>COLUMN(B12)&gt;2</formula>
    </cfRule>
  </conditionalFormatting>
  <dataValidations xWindow="239" yWindow="583" count="13">
    <dataValidation allowBlank="1" showInputMessage="1" showErrorMessage="1" prompt="V to vrstico vnesite predavanje, navedena v stolpcih B–I." sqref="B13" xr:uid="{00000000-0002-0000-0600-000000000000}"/>
    <dataValidation allowBlank="1" showInputMessage="1" showErrorMessage="1" prompt="V to vrstico vnesite čas, naveden v stolpcih B–I." sqref="B12" xr:uid="{00000000-0002-0000-0600-000001000000}"/>
    <dataValidation allowBlank="1" showInputMessage="1" showErrorMessage="1" prompt="Če je v tej vrstici število, ki je manjše od prejšnjega števila ali vrstice števil, potem ta vrstica vsebuje datume za naslednji koledarski mesec." sqref="C8" xr:uid="{00000000-0002-0000-0600-000002000000}"/>
    <dataValidation allowBlank="1" showInputMessage="1" showErrorMessage="1" prompt="Če v tej celici ni številke 1, potem gre za dan iz prejšnjega meseca. V celicah C3:I8 so datumi trenutnega meseca." sqref="C3" xr:uid="{00000000-0002-0000-0600-000003000000}"/>
    <dataValidation allowBlank="1" showInputMessage="1" showErrorMessage="1" prompt="Celice C2:I2 vsebujejo dneve v tednu." sqref="C2" xr:uid="{00000000-0002-0000-0600-000004000000}"/>
    <dataValidation allowBlank="1" showInputMessage="1" showErrorMessage="1" prompt="Pripravite tedenski urnik in ustvarite seznam nalog na tem delovnem listu. Naloge so samodejno označene v mesečnem koledarju za leto, vneseno v celici B1 na januarskem delovnem listu." sqref="A1" xr:uid="{00000000-0002-0000-0600-000005000000}"/>
    <dataValidation allowBlank="1" showInputMessage="1" showErrorMessage="1" prompt="Samodejno posodobljeno koledarsko leto. Če želite spremeniti leto, posodobite celico B1 na januarskem delovnem listu." sqref="B1" xr:uid="{00000000-0002-0000-0600-000006000000}"/>
    <dataValidation allowBlank="1" showInputMessage="1" showErrorMessage="1" prompt="V koledarju za julij so samodejno označeni vnosi s seznama nalog za ta mesec. Temnejše pisave so naloge. Svetlejše pisave so dnevi, ki sodijo v prejšnji ali naslednji mesec." sqref="B2" xr:uid="{00000000-0002-0000-0600-000007000000}"/>
    <dataValidation allowBlank="1" showInputMessage="1" showErrorMessage="1" prompt="Dnevi v tednu so združeni v tem stolpcu s 6 vrsticami za naloge za vsak združen delavnik v mesecu. Če želite dodati več nalog, vstavite nove vrstice. V koledarju na levi bodo elementi označeni." sqref="J1" xr:uid="{00000000-0002-0000-0600-000008000000}"/>
    <dataValidation allowBlank="1" showInputMessage="1" showErrorMessage="1" prompt="V ta stolpec vnesite podrobnosti naloge, ki ustrezajo delavniku v stolpcu J in dnevu v stolpcu K za koledarski mesec na levi." sqref="L1" xr:uid="{00000000-0002-0000-0600-000009000000}"/>
    <dataValidation allowBlank="1" showInputMessage="1" showErrorMessage="1" prompt="V ta stolpec vnesite dan v mesecu za dodeljeno nalogo, ki ustreza delavniku v stolpcu J. Na ta dan bo označena naloga v koledarju na levi." sqref="K1" xr:uid="{00000000-0002-0000-0600-00000A000000}"/>
    <dataValidation allowBlank="1" showInputMessage="1" showErrorMessage="1" prompt="V tej vrstici so delovni dnevi, od ponedeljka do petka." sqref="B11" xr:uid="{00000000-0002-0000-0600-00000B000000}"/>
    <dataValidation allowBlank="1" showInputMessage="1" showErrorMessage="1" prompt="Vnesite uro predavanja in pod njo, v novo vrstico, razredu, ime predavanja za vsak delovni dan v stolpce od B do I. Ta vzorec ponovite za vsa predavanja v naslednjih vrsticah." sqref="B10" xr:uid="{00000000-0002-0000-06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KoledarskoLeto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36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4"/>
      <c r="L2" s="7"/>
    </row>
    <row r="3" spans="1:12" ht="30" customHeight="1" x14ac:dyDescent="0.25">
      <c r="A3" s="19"/>
      <c r="C3" s="52">
        <f>IF(DAY(AvgNed1)=1,AvgNed1-6,AvgNed1+1)</f>
        <v>44403</v>
      </c>
      <c r="D3" s="52">
        <f>IF(DAY(AvgNed1)=1,AvgNed1-5,AvgNed1+2)</f>
        <v>44404</v>
      </c>
      <c r="E3" s="52">
        <f>IF(DAY(AvgNed1)=1,AvgNed1-4,AvgNed1+3)</f>
        <v>44405</v>
      </c>
      <c r="F3" s="52">
        <f>IF(DAY(AvgNed1)=1,AvgNed1-3,AvgNed1+4)</f>
        <v>44406</v>
      </c>
      <c r="G3" s="52">
        <f>IF(DAY(AvgNed1)=1,AvgNed1-2,AvgNed1+5)</f>
        <v>44407</v>
      </c>
      <c r="H3" s="52">
        <f>IF(DAY(AvgNed1)=1,AvgNed1-1,AvgNed1+6)</f>
        <v>44408</v>
      </c>
      <c r="I3" s="52">
        <f>IF(DAY(AvgNed1)=1,AvgNed1,AvgNed1+7)</f>
        <v>44409</v>
      </c>
      <c r="J3" s="16"/>
      <c r="K3" s="5"/>
      <c r="L3" s="10"/>
    </row>
    <row r="4" spans="1:12" ht="30" customHeight="1" x14ac:dyDescent="0.25">
      <c r="A4" s="19"/>
      <c r="C4" s="52">
        <f>IF(DAY(AvgNed1)=1,AvgNed1+1,AvgNed1+8)</f>
        <v>44410</v>
      </c>
      <c r="D4" s="52">
        <f>IF(DAY(AvgNed1)=1,AvgNed1+2,AvgNed1+9)</f>
        <v>44411</v>
      </c>
      <c r="E4" s="52">
        <f>IF(DAY(AvgNed1)=1,AvgNed1+3,AvgNed1+10)</f>
        <v>44412</v>
      </c>
      <c r="F4" s="52">
        <f>IF(DAY(AvgNed1)=1,AvgNed1+4,AvgNed1+11)</f>
        <v>44413</v>
      </c>
      <c r="G4" s="52">
        <f>IF(DAY(AvgNed1)=1,AvgNed1+5,AvgNed1+12)</f>
        <v>44414</v>
      </c>
      <c r="H4" s="52">
        <f>IF(DAY(AvgNed1)=1,AvgNed1+6,AvgNed1+13)</f>
        <v>44415</v>
      </c>
      <c r="I4" s="52">
        <f>IF(DAY(AvgNed1)=1,AvgNed1+7,AvgNed1+14)</f>
        <v>44416</v>
      </c>
      <c r="J4" s="16"/>
      <c r="K4" s="5"/>
      <c r="L4" s="10"/>
    </row>
    <row r="5" spans="1:12" ht="30" customHeight="1" x14ac:dyDescent="0.25">
      <c r="A5" s="19"/>
      <c r="C5" s="52">
        <f>IF(DAY(AvgNed1)=1,AvgNed1+8,AvgNed1+15)</f>
        <v>44417</v>
      </c>
      <c r="D5" s="52">
        <f>IF(DAY(AvgNed1)=1,AvgNed1+9,AvgNed1+16)</f>
        <v>44418</v>
      </c>
      <c r="E5" s="52">
        <f>IF(DAY(AvgNed1)=1,AvgNed1+10,AvgNed1+17)</f>
        <v>44419</v>
      </c>
      <c r="F5" s="52">
        <f>IF(DAY(AvgNed1)=1,AvgNed1+11,AvgNed1+18)</f>
        <v>44420</v>
      </c>
      <c r="G5" s="52">
        <f>IF(DAY(AvgNed1)=1,AvgNed1+12,AvgNed1+19)</f>
        <v>44421</v>
      </c>
      <c r="H5" s="52">
        <f>IF(DAY(AvgNed1)=1,AvgNed1+13,AvgNed1+20)</f>
        <v>44422</v>
      </c>
      <c r="I5" s="52">
        <f>IF(DAY(AvgNed1)=1,AvgNed1+14,AvgNed1+21)</f>
        <v>44423</v>
      </c>
      <c r="J5" s="16"/>
      <c r="K5" s="5"/>
      <c r="L5" s="10"/>
    </row>
    <row r="6" spans="1:12" ht="30" customHeight="1" x14ac:dyDescent="0.25">
      <c r="A6" s="19"/>
      <c r="C6" s="52">
        <f>IF(DAY(AvgNed1)=1,AvgNed1+15,AvgNed1+22)</f>
        <v>44424</v>
      </c>
      <c r="D6" s="52">
        <f>IF(DAY(AvgNed1)=1,AvgNed1+16,AvgNed1+23)</f>
        <v>44425</v>
      </c>
      <c r="E6" s="52">
        <f>IF(DAY(AvgNed1)=1,AvgNed1+17,AvgNed1+24)</f>
        <v>44426</v>
      </c>
      <c r="F6" s="52">
        <f>IF(DAY(AvgNed1)=1,AvgNed1+18,AvgNed1+25)</f>
        <v>44427</v>
      </c>
      <c r="G6" s="52">
        <f>IF(DAY(AvgNed1)=1,AvgNed1+19,AvgNed1+26)</f>
        <v>44428</v>
      </c>
      <c r="H6" s="52">
        <f>IF(DAY(AvgNed1)=1,AvgNed1+20,AvgNed1+27)</f>
        <v>44429</v>
      </c>
      <c r="I6" s="52">
        <f>IF(DAY(AvgNed1)=1,AvgNed1+21,AvgNed1+28)</f>
        <v>44430</v>
      </c>
      <c r="J6" s="16"/>
      <c r="K6" s="5"/>
      <c r="L6" s="10"/>
    </row>
    <row r="7" spans="1:12" ht="30" customHeight="1" x14ac:dyDescent="0.25">
      <c r="A7" s="19"/>
      <c r="C7" s="52">
        <f>IF(DAY(AvgNed1)=1,AvgNed1+22,AvgNed1+29)</f>
        <v>44431</v>
      </c>
      <c r="D7" s="52">
        <f>IF(DAY(AvgNed1)=1,AvgNed1+23,AvgNed1+30)</f>
        <v>44432</v>
      </c>
      <c r="E7" s="52">
        <f>IF(DAY(AvgNed1)=1,AvgNed1+24,AvgNed1+31)</f>
        <v>44433</v>
      </c>
      <c r="F7" s="52">
        <f>IF(DAY(AvgNed1)=1,AvgNed1+25,AvgNed1+32)</f>
        <v>44434</v>
      </c>
      <c r="G7" s="52">
        <f>IF(DAY(AvgNed1)=1,AvgNed1+26,AvgNed1+33)</f>
        <v>44435</v>
      </c>
      <c r="H7" s="52">
        <f>IF(DAY(AvgNed1)=1,AvgNed1+27,AvgNed1+34)</f>
        <v>44436</v>
      </c>
      <c r="I7" s="52">
        <f>IF(DAY(AvgNed1)=1,AvgNed1+28,AvgNed1+35)</f>
        <v>44437</v>
      </c>
      <c r="J7" s="29"/>
      <c r="K7" s="31"/>
      <c r="L7" s="26"/>
    </row>
    <row r="8" spans="1:12" ht="30" customHeight="1" x14ac:dyDescent="0.25">
      <c r="A8" s="19"/>
      <c r="B8" s="25"/>
      <c r="C8" s="52">
        <f>IF(DAY(AvgNed1)=1,AvgNed1+29,AvgNed1+36)</f>
        <v>44438</v>
      </c>
      <c r="D8" s="52">
        <f>IF(DAY(AvgNed1)=1,AvgNed1+30,AvgNed1+37)</f>
        <v>44439</v>
      </c>
      <c r="E8" s="52">
        <f>IF(DAY(AvgNed1)=1,AvgNed1+31,AvgNed1+38)</f>
        <v>44440</v>
      </c>
      <c r="F8" s="52">
        <f>IF(DAY(AvgNed1)=1,AvgNed1+32,AvgNed1+39)</f>
        <v>44441</v>
      </c>
      <c r="G8" s="52">
        <f>IF(DAY(AvgNed1)=1,AvgNed1+33,AvgNed1+40)</f>
        <v>44442</v>
      </c>
      <c r="H8" s="52">
        <f>IF(DAY(AvgNed1)=1,AvgNed1+34,AvgNed1+41)</f>
        <v>44443</v>
      </c>
      <c r="I8" s="52">
        <f>IF(DAY(AvgNed1)=1,AvgNed1+35,AvgNed1+42)</f>
        <v>44444</v>
      </c>
      <c r="J8" s="16" t="s">
        <v>13</v>
      </c>
      <c r="K8" s="4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5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5"/>
      <c r="L10" s="10"/>
    </row>
    <row r="11" spans="1:12" ht="30" customHeight="1" x14ac:dyDescent="0.25">
      <c r="A11" s="35" t="s">
        <v>28</v>
      </c>
      <c r="B11" s="34" t="s">
        <v>5</v>
      </c>
      <c r="C11" s="58" t="s">
        <v>13</v>
      </c>
      <c r="D11" s="59"/>
      <c r="E11" s="58" t="s">
        <v>18</v>
      </c>
      <c r="F11" s="59"/>
      <c r="G11" s="58" t="s">
        <v>19</v>
      </c>
      <c r="H11" s="59"/>
      <c r="I11" s="9" t="s">
        <v>20</v>
      </c>
      <c r="J11" s="16"/>
      <c r="K11" s="5"/>
      <c r="L11" s="10"/>
    </row>
    <row r="12" spans="1:12" ht="30" customHeight="1" x14ac:dyDescent="0.25">
      <c r="A12" s="35" t="s">
        <v>1</v>
      </c>
      <c r="B12" s="54" t="s">
        <v>6</v>
      </c>
      <c r="C12" s="60"/>
      <c r="D12" s="60"/>
      <c r="E12" s="60" t="s">
        <v>6</v>
      </c>
      <c r="F12" s="60"/>
      <c r="G12" s="60"/>
      <c r="H12" s="60"/>
      <c r="I12" s="56" t="s">
        <v>6</v>
      </c>
      <c r="J12" s="16"/>
      <c r="K12" s="5"/>
      <c r="L12" s="10"/>
    </row>
    <row r="13" spans="1:12" ht="30" customHeight="1" x14ac:dyDescent="0.25">
      <c r="A13" s="35" t="s">
        <v>2</v>
      </c>
      <c r="B13" s="36" t="s">
        <v>7</v>
      </c>
      <c r="C13" s="61"/>
      <c r="D13" s="61"/>
      <c r="E13" s="61" t="s">
        <v>7</v>
      </c>
      <c r="F13" s="61"/>
      <c r="G13" s="61"/>
      <c r="H13" s="61"/>
      <c r="I13" s="41" t="s">
        <v>7</v>
      </c>
      <c r="J13" s="29"/>
      <c r="K13" s="31"/>
      <c r="L13" s="26"/>
    </row>
    <row r="14" spans="1:12" ht="30" customHeight="1" x14ac:dyDescent="0.25">
      <c r="A14" s="35" t="s">
        <v>1</v>
      </c>
      <c r="B14" s="54"/>
      <c r="C14" s="60" t="s">
        <v>14</v>
      </c>
      <c r="D14" s="60"/>
      <c r="E14" s="60"/>
      <c r="F14" s="60"/>
      <c r="G14" s="60" t="s">
        <v>14</v>
      </c>
      <c r="H14" s="60"/>
      <c r="I14" s="56"/>
      <c r="J14" s="16" t="s">
        <v>18</v>
      </c>
      <c r="K14" s="4"/>
      <c r="L14" s="10"/>
    </row>
    <row r="15" spans="1:12" ht="30" customHeight="1" x14ac:dyDescent="0.25">
      <c r="A15" s="35" t="s">
        <v>2</v>
      </c>
      <c r="B15" s="36"/>
      <c r="C15" s="61" t="s">
        <v>15</v>
      </c>
      <c r="D15" s="61"/>
      <c r="E15" s="61"/>
      <c r="F15" s="61"/>
      <c r="G15" s="61" t="s">
        <v>15</v>
      </c>
      <c r="H15" s="61"/>
      <c r="I15" s="41"/>
      <c r="J15" s="16"/>
      <c r="K15" s="5"/>
      <c r="L15" s="10"/>
    </row>
    <row r="16" spans="1:12" ht="30" customHeight="1" x14ac:dyDescent="0.25">
      <c r="A16" s="35" t="s">
        <v>1</v>
      </c>
      <c r="B16" s="54" t="s">
        <v>8</v>
      </c>
      <c r="C16" s="60"/>
      <c r="D16" s="60"/>
      <c r="E16" s="60" t="s">
        <v>8</v>
      </c>
      <c r="F16" s="60"/>
      <c r="G16" s="60"/>
      <c r="H16" s="60"/>
      <c r="I16" s="57" t="s">
        <v>8</v>
      </c>
      <c r="J16" s="16"/>
      <c r="K16" s="5"/>
      <c r="L16" s="10"/>
    </row>
    <row r="17" spans="1:12" ht="30" customHeight="1" x14ac:dyDescent="0.25">
      <c r="A17" s="35" t="s">
        <v>2</v>
      </c>
      <c r="B17" s="36" t="s">
        <v>9</v>
      </c>
      <c r="C17" s="61"/>
      <c r="D17" s="61"/>
      <c r="E17" s="61" t="s">
        <v>9</v>
      </c>
      <c r="F17" s="61"/>
      <c r="G17" s="61"/>
      <c r="H17" s="61"/>
      <c r="I17" s="41" t="s">
        <v>9</v>
      </c>
      <c r="J17" s="16"/>
      <c r="K17" s="5"/>
      <c r="L17" s="10"/>
    </row>
    <row r="18" spans="1:12" ht="30" customHeight="1" x14ac:dyDescent="0.25">
      <c r="A18" s="35" t="s">
        <v>1</v>
      </c>
      <c r="B18" s="54"/>
      <c r="C18" s="60"/>
      <c r="D18" s="60"/>
      <c r="E18" s="60"/>
      <c r="F18" s="60"/>
      <c r="G18" s="60"/>
      <c r="H18" s="60"/>
      <c r="I18" s="56"/>
      <c r="J18" s="16"/>
      <c r="K18" s="5"/>
      <c r="L18" s="10"/>
    </row>
    <row r="19" spans="1:12" ht="30" customHeight="1" x14ac:dyDescent="0.25">
      <c r="A19" s="35" t="s">
        <v>2</v>
      </c>
      <c r="B19" s="36"/>
      <c r="C19" s="61"/>
      <c r="D19" s="61"/>
      <c r="E19" s="61"/>
      <c r="F19" s="61"/>
      <c r="G19" s="61"/>
      <c r="H19" s="61"/>
      <c r="I19" s="42"/>
      <c r="J19" s="29"/>
      <c r="K19" s="31"/>
      <c r="L19" s="32"/>
    </row>
    <row r="20" spans="1:12" ht="30" customHeight="1" x14ac:dyDescent="0.25">
      <c r="A20" s="35" t="s">
        <v>1</v>
      </c>
      <c r="B20" s="54"/>
      <c r="C20" s="60"/>
      <c r="D20" s="60"/>
      <c r="E20" s="60"/>
      <c r="F20" s="60"/>
      <c r="G20" s="60"/>
      <c r="H20" s="60"/>
      <c r="I20" s="56"/>
      <c r="J20" s="16" t="s">
        <v>19</v>
      </c>
      <c r="K20" s="4"/>
      <c r="L20" s="10"/>
    </row>
    <row r="21" spans="1:12" ht="30" customHeight="1" x14ac:dyDescent="0.25">
      <c r="A21" s="35" t="s">
        <v>2</v>
      </c>
      <c r="B21" s="36"/>
      <c r="C21" s="61"/>
      <c r="D21" s="61"/>
      <c r="E21" s="61"/>
      <c r="F21" s="61"/>
      <c r="G21" s="61"/>
      <c r="H21" s="61"/>
      <c r="I21" s="41"/>
      <c r="J21" s="16"/>
      <c r="K21" s="5"/>
      <c r="L21" s="10"/>
    </row>
    <row r="22" spans="1:12" ht="30" customHeight="1" x14ac:dyDescent="0.25">
      <c r="A22" s="35" t="s">
        <v>1</v>
      </c>
      <c r="B22" s="54"/>
      <c r="C22" s="60"/>
      <c r="D22" s="60"/>
      <c r="E22" s="60"/>
      <c r="F22" s="60"/>
      <c r="G22" s="60"/>
      <c r="H22" s="60"/>
      <c r="I22" s="56"/>
      <c r="J22" s="16"/>
      <c r="K22" s="5"/>
      <c r="L22" s="10"/>
    </row>
    <row r="23" spans="1:12" ht="30" customHeight="1" x14ac:dyDescent="0.25">
      <c r="A23" s="35" t="s">
        <v>2</v>
      </c>
      <c r="B23" s="36"/>
      <c r="C23" s="61"/>
      <c r="D23" s="61"/>
      <c r="E23" s="61"/>
      <c r="F23" s="61"/>
      <c r="G23" s="61"/>
      <c r="H23" s="61"/>
      <c r="I23" s="41"/>
      <c r="J23" s="16"/>
      <c r="K23" s="5"/>
      <c r="L23" s="10"/>
    </row>
    <row r="24" spans="1:12" ht="30" customHeight="1" x14ac:dyDescent="0.25">
      <c r="A24" s="35" t="s">
        <v>1</v>
      </c>
      <c r="B24" s="54" t="s">
        <v>10</v>
      </c>
      <c r="C24" s="60"/>
      <c r="D24" s="60"/>
      <c r="E24" s="60" t="s">
        <v>10</v>
      </c>
      <c r="F24" s="60"/>
      <c r="G24" s="60"/>
      <c r="H24" s="60"/>
      <c r="I24" s="56" t="s">
        <v>10</v>
      </c>
      <c r="J24" s="16"/>
      <c r="K24" s="5"/>
      <c r="L24" s="10"/>
    </row>
    <row r="25" spans="1:12" ht="30" customHeight="1" x14ac:dyDescent="0.25">
      <c r="A25" s="35" t="s">
        <v>2</v>
      </c>
      <c r="B25" s="36" t="s">
        <v>11</v>
      </c>
      <c r="C25" s="61"/>
      <c r="D25" s="61"/>
      <c r="E25" s="61" t="s">
        <v>11</v>
      </c>
      <c r="F25" s="61"/>
      <c r="G25" s="61"/>
      <c r="H25" s="61"/>
      <c r="I25" s="41" t="s">
        <v>11</v>
      </c>
      <c r="J25" s="29"/>
      <c r="K25" s="31"/>
      <c r="L25" s="32"/>
    </row>
    <row r="26" spans="1:12" ht="30" customHeight="1" x14ac:dyDescent="0.25">
      <c r="A26" s="35" t="s">
        <v>1</v>
      </c>
      <c r="B26" s="54"/>
      <c r="C26" s="60"/>
      <c r="D26" s="60"/>
      <c r="E26" s="60"/>
      <c r="F26" s="60"/>
      <c r="G26" s="60"/>
      <c r="H26" s="60"/>
      <c r="I26" s="56"/>
      <c r="J26" s="16" t="s">
        <v>20</v>
      </c>
      <c r="K26" s="4"/>
      <c r="L26" s="10"/>
    </row>
    <row r="27" spans="1:12" ht="30" customHeight="1" x14ac:dyDescent="0.25">
      <c r="A27" s="35" t="s">
        <v>2</v>
      </c>
      <c r="B27" s="36"/>
      <c r="C27" s="61"/>
      <c r="D27" s="61"/>
      <c r="E27" s="61"/>
      <c r="F27" s="61"/>
      <c r="G27" s="61"/>
      <c r="H27" s="61"/>
      <c r="I27" s="41"/>
      <c r="J27" s="16"/>
      <c r="K27" s="5"/>
      <c r="L27" s="10"/>
    </row>
    <row r="28" spans="1:12" ht="30" customHeight="1" x14ac:dyDescent="0.25">
      <c r="A28" s="35" t="s">
        <v>1</v>
      </c>
      <c r="B28" s="54"/>
      <c r="C28" s="60" t="s">
        <v>16</v>
      </c>
      <c r="D28" s="60"/>
      <c r="E28" s="60"/>
      <c r="F28" s="60"/>
      <c r="G28" s="60" t="s">
        <v>16</v>
      </c>
      <c r="H28" s="60"/>
      <c r="I28" s="56"/>
      <c r="J28" s="16"/>
      <c r="K28" s="5"/>
      <c r="L28" s="10"/>
    </row>
    <row r="29" spans="1:12" ht="30" customHeight="1" x14ac:dyDescent="0.25">
      <c r="A29" s="35" t="s">
        <v>2</v>
      </c>
      <c r="B29" s="36"/>
      <c r="C29" s="61" t="s">
        <v>17</v>
      </c>
      <c r="D29" s="61"/>
      <c r="E29" s="61"/>
      <c r="F29" s="61"/>
      <c r="G29" s="61" t="s">
        <v>17</v>
      </c>
      <c r="H29" s="61"/>
      <c r="I29" s="41"/>
      <c r="J29" s="16"/>
      <c r="K29" s="5"/>
      <c r="L29" s="10"/>
    </row>
    <row r="30" spans="1:12" ht="30" customHeight="1" x14ac:dyDescent="0.25">
      <c r="A30" s="35" t="s">
        <v>1</v>
      </c>
      <c r="B30" s="54"/>
      <c r="C30" s="60"/>
      <c r="D30" s="60"/>
      <c r="E30" s="60"/>
      <c r="F30" s="60"/>
      <c r="G30" s="60"/>
      <c r="H30" s="60"/>
      <c r="I30" s="56"/>
      <c r="J30" s="16"/>
      <c r="K30" s="5"/>
      <c r="L30" s="10"/>
    </row>
    <row r="31" spans="1:12" ht="30" customHeight="1" x14ac:dyDescent="0.25">
      <c r="A31" s="35" t="s">
        <v>2</v>
      </c>
      <c r="B31" s="44"/>
      <c r="C31" s="65"/>
      <c r="D31" s="65"/>
      <c r="E31" s="65"/>
      <c r="F31" s="65"/>
      <c r="G31" s="65"/>
      <c r="H31" s="65"/>
      <c r="I31" s="45"/>
      <c r="J31" s="16"/>
      <c r="K31" s="6"/>
      <c r="L31" s="49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36" priority="6" stopIfTrue="1">
      <formula>DAY(C3)&gt;8</formula>
    </cfRule>
  </conditionalFormatting>
  <conditionalFormatting sqref="C7:I8">
    <cfRule type="expression" dxfId="35" priority="5" stopIfTrue="1">
      <formula>AND(DAY(C7)&gt;=1,DAY(C7)&lt;=15)</formula>
    </cfRule>
  </conditionalFormatting>
  <conditionalFormatting sqref="C3:I8">
    <cfRule type="expression" dxfId="34" priority="7">
      <formula>VLOOKUP(DAY(C3),DanOddajeNaloge,1,FALSE)=DAY(C3)</formula>
    </cfRule>
  </conditionalFormatting>
  <conditionalFormatting sqref="B12:I12 B14:I14 B16:I16 B18:I18 B20:I20 B22:I22 B24:I24 B26:I26 B28:I28 B30:I30">
    <cfRule type="expression" dxfId="33" priority="4">
      <formula>B12&lt;&gt;""</formula>
    </cfRule>
  </conditionalFormatting>
  <conditionalFormatting sqref="B13:I13 B15:I15 B17:I17 B19:I19 B21:I21 B23:I23 B25:I25 B27:I27 B29:I29 B31:I31">
    <cfRule type="expression" dxfId="32" priority="3">
      <formula>B12&lt;&gt;""</formula>
    </cfRule>
  </conditionalFormatting>
  <conditionalFormatting sqref="B13:I13 B15:I15 B17:I17 B19:I19 B21:I21 B23:I23 B25:I25 B27:I27 B29:I29">
    <cfRule type="expression" dxfId="31" priority="2">
      <formula>COLUMN(B13)&gt;=2</formula>
    </cfRule>
  </conditionalFormatting>
  <conditionalFormatting sqref="B12:I31">
    <cfRule type="expression" dxfId="30" priority="1">
      <formula>COLUMN(B12)&gt;2</formula>
    </cfRule>
  </conditionalFormatting>
  <dataValidations xWindow="132" yWindow="585" count="13">
    <dataValidation allowBlank="1" showInputMessage="1" showErrorMessage="1" prompt="V koledarju za avgust so samodejno označeni vnosi s seznama nalog za ta mesec. Temnejše pisave so naloge. Svetlejše pisave so dnevi, ki sodijo v prejšnji ali naslednji mesec." sqref="B2" xr:uid="{00000000-0002-0000-0700-000000000000}"/>
    <dataValidation allowBlank="1" showInputMessage="1" showErrorMessage="1" prompt="Samodejno posodobljeno koledarsko leto. Če želite spremeniti leto, posodobite celico B1 na januarskem delovnem listu." sqref="B1" xr:uid="{00000000-0002-0000-0700-000001000000}"/>
    <dataValidation allowBlank="1" showInputMessage="1" showErrorMessage="1" prompt="Pripravite tedenski urnik in ustvarite seznam nalog na tem delovnem listu. Naloge so samodejno označene v mesečnem koledarju za leto, vneseno v celici B1 na januarskem delovnem listu." sqref="A1" xr:uid="{00000000-0002-0000-0700-000002000000}"/>
    <dataValidation allowBlank="1" showInputMessage="1" showErrorMessage="1" prompt="Celice C2:I2 vsebujejo dneve v tednu." sqref="C2" xr:uid="{00000000-0002-0000-0700-000003000000}"/>
    <dataValidation allowBlank="1" showInputMessage="1" showErrorMessage="1" prompt="Če v tej celici ni številke 1, potem gre za dan iz prejšnjega meseca. V celicah C3:I8 so datumi trenutnega meseca." sqref="C3" xr:uid="{00000000-0002-0000-0700-000004000000}"/>
    <dataValidation allowBlank="1" showInputMessage="1" showErrorMessage="1" prompt="Če je v tej vrstici število, ki je manjše od prejšnjega števila ali vrstice števil, potem ta vrstica vsebuje datume za naslednji koledarski mesec." sqref="C8" xr:uid="{00000000-0002-0000-0700-000005000000}"/>
    <dataValidation allowBlank="1" showInputMessage="1" showErrorMessage="1" prompt="V to vrstico vnesite čas, naveden v stolpcih B–I." sqref="B12" xr:uid="{00000000-0002-0000-0700-000006000000}"/>
    <dataValidation allowBlank="1" showInputMessage="1" showErrorMessage="1" prompt="V to vrstico vnesite predavanje, navedena v stolpcih B–I." sqref="B13" xr:uid="{00000000-0002-0000-0700-000007000000}"/>
    <dataValidation allowBlank="1" showInputMessage="1" showErrorMessage="1" prompt="Dnevi v tednu so združeni v tem stolpcu s 6 vrsticami za naloge za vsak združen delavnik v mesecu. Če želite dodati več nalog, vstavite nove vrstice. V koledarju na levi bodo elementi označeni." sqref="J1" xr:uid="{00000000-0002-0000-0700-000008000000}"/>
    <dataValidation allowBlank="1" showInputMessage="1" showErrorMessage="1" prompt="V ta stolpec vnesite podrobnosti naloge, ki ustrezajo delavniku v stolpcu J in dnevu v stolpcu K za koledarski mesec na levi." sqref="L1" xr:uid="{00000000-0002-0000-0700-000009000000}"/>
    <dataValidation allowBlank="1" showInputMessage="1" showErrorMessage="1" prompt="V ta stolpec vnesite dan v mesecu za dodeljeno nalogo, ki ustreza delavniku v stolpcu J. Na ta dan bo označena naloga v koledarju na levi." sqref="K1" xr:uid="{00000000-0002-0000-0700-00000A000000}"/>
    <dataValidation allowBlank="1" showInputMessage="1" showErrorMessage="1" prompt="V tej vrstici so delovni dnevi, od ponedeljka do petka." sqref="B11" xr:uid="{00000000-0002-0000-0700-00000B000000}"/>
    <dataValidation allowBlank="1" showInputMessage="1" showErrorMessage="1" prompt="Vnesite uro predavanja in pod njo, v novo vrstico, razredu, ime predavanja za vsak delovni dan v stolpce od B do I. Ta vzorec ponovite za vsa predavanja v naslednjih vrsticah." sqref="B10" xr:uid="{00000000-0002-0000-07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xl/worksheets/sheet9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/>
    <pageSetUpPr fitToPage="1"/>
  </sheetPr>
  <dimension ref="A1:L31"/>
  <sheetViews>
    <sheetView showGridLines="0" zoomScaleNormal="100" zoomScalePageLayoutView="84" workbookViewId="0"/>
  </sheetViews>
  <sheetFormatPr defaultColWidth="8.625" defaultRowHeight="30" customHeight="1" x14ac:dyDescent="0.2"/>
  <cols>
    <col min="1" max="1" width="2.625" style="2" customWidth="1"/>
    <col min="2" max="2" width="20.625" style="24" customWidth="1"/>
    <col min="3" max="8" width="10.625" style="2" customWidth="1"/>
    <col min="9" max="9" width="20.625" style="2" customWidth="1"/>
    <col min="10" max="10" width="10.625" style="24" customWidth="1"/>
    <col min="11" max="11" width="10.625" style="8" customWidth="1"/>
    <col min="12" max="12" width="70.625" style="2" customWidth="1"/>
    <col min="13" max="13" width="2.625" customWidth="1"/>
  </cols>
  <sheetData>
    <row r="1" spans="1:12" ht="30" customHeight="1" x14ac:dyDescent="0.2">
      <c r="A1" s="24"/>
      <c r="B1" s="18">
        <f>KoledarskoLeto</f>
        <v>2021</v>
      </c>
      <c r="J1" s="28" t="s">
        <v>23</v>
      </c>
      <c r="K1" s="28" t="s">
        <v>24</v>
      </c>
      <c r="L1" s="17" t="s">
        <v>25</v>
      </c>
    </row>
    <row r="2" spans="1:12" ht="30" customHeight="1" x14ac:dyDescent="0.25">
      <c r="A2" s="19"/>
      <c r="B2" s="48" t="s">
        <v>37</v>
      </c>
      <c r="C2" s="13" t="s">
        <v>5</v>
      </c>
      <c r="D2" s="13" t="s">
        <v>13</v>
      </c>
      <c r="E2" s="13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6" t="s">
        <v>5</v>
      </c>
      <c r="K2" s="30"/>
      <c r="L2" s="7"/>
    </row>
    <row r="3" spans="1:12" ht="30" customHeight="1" x14ac:dyDescent="0.25">
      <c r="A3" s="19"/>
      <c r="C3" s="52">
        <f>IF(DAY(SepNed1)=1,SepNed1-6,SepNed1+1)</f>
        <v>44438</v>
      </c>
      <c r="D3" s="52">
        <f>IF(DAY(SepNed1)=1,SepNed1-5,SepNed1+2)</f>
        <v>44439</v>
      </c>
      <c r="E3" s="52">
        <f>IF(DAY(SepNed1)=1,SepNed1-4,SepNed1+3)</f>
        <v>44440</v>
      </c>
      <c r="F3" s="52">
        <f>IF(DAY(SepNed1)=1,SepNed1-3,SepNed1+4)</f>
        <v>44441</v>
      </c>
      <c r="G3" s="52">
        <f>IF(DAY(SepNed1)=1,SepNed1-2,SepNed1+5)</f>
        <v>44442</v>
      </c>
      <c r="H3" s="52">
        <f>IF(DAY(SepNed1)=1,SepNed1-1,SepNed1+6)</f>
        <v>44443</v>
      </c>
      <c r="I3" s="52">
        <f>IF(DAY(SepNed1)=1,SepNed1,SepNed1+7)</f>
        <v>44444</v>
      </c>
      <c r="J3" s="16"/>
      <c r="K3" s="3"/>
      <c r="L3" s="10"/>
    </row>
    <row r="4" spans="1:12" ht="30" customHeight="1" x14ac:dyDescent="0.25">
      <c r="A4" s="19"/>
      <c r="C4" s="52">
        <f>IF(DAY(SepNed1)=1,SepNed1+1,SepNed1+8)</f>
        <v>44445</v>
      </c>
      <c r="D4" s="52">
        <f>IF(DAY(SepNed1)=1,SepNed1+2,SepNed1+9)</f>
        <v>44446</v>
      </c>
      <c r="E4" s="52">
        <f>IF(DAY(SepNed1)=1,SepNed1+3,SepNed1+10)</f>
        <v>44447</v>
      </c>
      <c r="F4" s="52">
        <f>IF(DAY(SepNed1)=1,SepNed1+4,SepNed1+11)</f>
        <v>44448</v>
      </c>
      <c r="G4" s="52">
        <f>IF(DAY(SepNed1)=1,SepNed1+5,SepNed1+12)</f>
        <v>44449</v>
      </c>
      <c r="H4" s="52">
        <f>IF(DAY(SepNed1)=1,SepNed1+6,SepNed1+13)</f>
        <v>44450</v>
      </c>
      <c r="I4" s="52">
        <f>IF(DAY(SepNed1)=1,SepNed1+7,SepNed1+14)</f>
        <v>44451</v>
      </c>
      <c r="J4" s="16"/>
      <c r="K4" s="3"/>
      <c r="L4" s="10"/>
    </row>
    <row r="5" spans="1:12" ht="30" customHeight="1" x14ac:dyDescent="0.25">
      <c r="A5" s="19"/>
      <c r="C5" s="52">
        <f>IF(DAY(SepNed1)=1,SepNed1+8,SepNed1+15)</f>
        <v>44452</v>
      </c>
      <c r="D5" s="52">
        <f>IF(DAY(SepNed1)=1,SepNed1+9,SepNed1+16)</f>
        <v>44453</v>
      </c>
      <c r="E5" s="52">
        <f>IF(DAY(SepNed1)=1,SepNed1+10,SepNed1+17)</f>
        <v>44454</v>
      </c>
      <c r="F5" s="52">
        <f>IF(DAY(SepNed1)=1,SepNed1+11,SepNed1+18)</f>
        <v>44455</v>
      </c>
      <c r="G5" s="52">
        <f>IF(DAY(SepNed1)=1,SepNed1+12,SepNed1+19)</f>
        <v>44456</v>
      </c>
      <c r="H5" s="52">
        <f>IF(DAY(SepNed1)=1,SepNed1+13,SepNed1+20)</f>
        <v>44457</v>
      </c>
      <c r="I5" s="52">
        <f>IF(DAY(SepNed1)=1,SepNed1+14,SepNed1+21)</f>
        <v>44458</v>
      </c>
      <c r="J5" s="16"/>
      <c r="K5" s="3"/>
      <c r="L5" s="10"/>
    </row>
    <row r="6" spans="1:12" ht="30" customHeight="1" x14ac:dyDescent="0.25">
      <c r="A6" s="19"/>
      <c r="C6" s="52">
        <f>IF(DAY(SepNed1)=1,SepNed1+15,SepNed1+22)</f>
        <v>44459</v>
      </c>
      <c r="D6" s="52">
        <f>IF(DAY(SepNed1)=1,SepNed1+16,SepNed1+23)</f>
        <v>44460</v>
      </c>
      <c r="E6" s="52">
        <f>IF(DAY(SepNed1)=1,SepNed1+17,SepNed1+24)</f>
        <v>44461</v>
      </c>
      <c r="F6" s="52">
        <f>IF(DAY(SepNed1)=1,SepNed1+18,SepNed1+25)</f>
        <v>44462</v>
      </c>
      <c r="G6" s="52">
        <f>IF(DAY(SepNed1)=1,SepNed1+19,SepNed1+26)</f>
        <v>44463</v>
      </c>
      <c r="H6" s="52">
        <f>IF(DAY(SepNed1)=1,SepNed1+20,SepNed1+27)</f>
        <v>44464</v>
      </c>
      <c r="I6" s="52">
        <f>IF(DAY(SepNed1)=1,SepNed1+21,SepNed1+28)</f>
        <v>44465</v>
      </c>
      <c r="J6" s="16"/>
      <c r="K6" s="3"/>
      <c r="L6" s="10"/>
    </row>
    <row r="7" spans="1:12" ht="30" customHeight="1" x14ac:dyDescent="0.25">
      <c r="A7" s="19"/>
      <c r="C7" s="52">
        <f>IF(DAY(SepNed1)=1,SepNed1+22,SepNed1+29)</f>
        <v>44466</v>
      </c>
      <c r="D7" s="52">
        <f>IF(DAY(SepNed1)=1,SepNed1+23,SepNed1+30)</f>
        <v>44467</v>
      </c>
      <c r="E7" s="52">
        <f>IF(DAY(SepNed1)=1,SepNed1+24,SepNed1+31)</f>
        <v>44468</v>
      </c>
      <c r="F7" s="52">
        <f>IF(DAY(SepNed1)=1,SepNed1+25,SepNed1+32)</f>
        <v>44469</v>
      </c>
      <c r="G7" s="52">
        <f>IF(DAY(SepNed1)=1,SepNed1+26,SepNed1+33)</f>
        <v>44470</v>
      </c>
      <c r="H7" s="52">
        <f>IF(DAY(SepNed1)=1,SepNed1+27,SepNed1+34)</f>
        <v>44471</v>
      </c>
      <c r="I7" s="52">
        <f>IF(DAY(SepNed1)=1,SepNed1+28,SepNed1+35)</f>
        <v>44472</v>
      </c>
      <c r="J7" s="1"/>
      <c r="K7" s="31"/>
      <c r="L7" s="26"/>
    </row>
    <row r="8" spans="1:12" ht="30" customHeight="1" x14ac:dyDescent="0.25">
      <c r="A8" s="19"/>
      <c r="B8" s="25"/>
      <c r="C8" s="52">
        <f>IF(DAY(SepNed1)=1,SepNed1+29,SepNed1+36)</f>
        <v>44473</v>
      </c>
      <c r="D8" s="52">
        <f>IF(DAY(SepNed1)=1,SepNed1+30,SepNed1+37)</f>
        <v>44474</v>
      </c>
      <c r="E8" s="52">
        <f>IF(DAY(SepNed1)=1,SepNed1+31,SepNed1+38)</f>
        <v>44475</v>
      </c>
      <c r="F8" s="52">
        <f>IF(DAY(SepNed1)=1,SepNed1+32,SepNed1+39)</f>
        <v>44476</v>
      </c>
      <c r="G8" s="52">
        <f>IF(DAY(SepNed1)=1,SepNed1+33,SepNed1+40)</f>
        <v>44477</v>
      </c>
      <c r="H8" s="52">
        <f>IF(DAY(SepNed1)=1,SepNed1+34,SepNed1+41)</f>
        <v>44478</v>
      </c>
      <c r="I8" s="52">
        <f>IF(DAY(SepNed1)=1,SepNed1+35,SepNed1+42)</f>
        <v>44479</v>
      </c>
      <c r="J8" s="16" t="s">
        <v>13</v>
      </c>
      <c r="K8" s="30"/>
      <c r="L8" s="10"/>
    </row>
    <row r="9" spans="1:12" ht="30" customHeight="1" x14ac:dyDescent="0.25">
      <c r="A9" s="19"/>
      <c r="C9" s="11"/>
      <c r="D9" s="11"/>
      <c r="E9" s="11"/>
      <c r="F9" s="11"/>
      <c r="G9" s="11"/>
      <c r="H9" s="11"/>
      <c r="I9" s="11"/>
      <c r="J9" s="16"/>
      <c r="K9" s="3"/>
      <c r="L9" s="10"/>
    </row>
    <row r="10" spans="1:12" ht="30" customHeight="1" x14ac:dyDescent="0.25">
      <c r="A10" s="19"/>
      <c r="B10" s="23" t="s">
        <v>4</v>
      </c>
      <c r="C10" s="15"/>
      <c r="D10" s="15"/>
      <c r="E10" s="15"/>
      <c r="F10" s="15"/>
      <c r="G10" s="15"/>
      <c r="H10" s="15"/>
      <c r="I10" s="15"/>
      <c r="J10" s="16"/>
      <c r="K10" s="3"/>
      <c r="L10" s="10"/>
    </row>
    <row r="11" spans="1:12" ht="30" customHeight="1" x14ac:dyDescent="0.25">
      <c r="A11" s="35" t="s">
        <v>28</v>
      </c>
      <c r="B11" s="34" t="s">
        <v>5</v>
      </c>
      <c r="C11" s="58" t="s">
        <v>13</v>
      </c>
      <c r="D11" s="59"/>
      <c r="E11" s="58" t="s">
        <v>18</v>
      </c>
      <c r="F11" s="59"/>
      <c r="G11" s="58" t="s">
        <v>19</v>
      </c>
      <c r="H11" s="59"/>
      <c r="I11" s="9" t="s">
        <v>20</v>
      </c>
      <c r="J11" s="16"/>
      <c r="K11" s="3"/>
      <c r="L11" s="10"/>
    </row>
    <row r="12" spans="1:12" ht="30" customHeight="1" x14ac:dyDescent="0.25">
      <c r="A12" s="35" t="s">
        <v>1</v>
      </c>
      <c r="B12" s="54" t="s">
        <v>6</v>
      </c>
      <c r="C12" s="60"/>
      <c r="D12" s="60"/>
      <c r="E12" s="60" t="s">
        <v>6</v>
      </c>
      <c r="F12" s="60"/>
      <c r="G12" s="60"/>
      <c r="H12" s="60"/>
      <c r="I12" s="56" t="s">
        <v>6</v>
      </c>
      <c r="J12" s="16"/>
      <c r="K12" s="3"/>
      <c r="L12" s="10"/>
    </row>
    <row r="13" spans="1:12" ht="30" customHeight="1" x14ac:dyDescent="0.25">
      <c r="A13" s="35" t="s">
        <v>2</v>
      </c>
      <c r="B13" s="36" t="s">
        <v>7</v>
      </c>
      <c r="C13" s="61"/>
      <c r="D13" s="61"/>
      <c r="E13" s="61" t="s">
        <v>7</v>
      </c>
      <c r="F13" s="61"/>
      <c r="G13" s="61"/>
      <c r="H13" s="61"/>
      <c r="I13" s="41" t="s">
        <v>7</v>
      </c>
      <c r="J13" s="1"/>
      <c r="K13" s="31"/>
      <c r="L13" s="26"/>
    </row>
    <row r="14" spans="1:12" ht="30" customHeight="1" x14ac:dyDescent="0.25">
      <c r="A14" s="35" t="s">
        <v>1</v>
      </c>
      <c r="B14" s="54"/>
      <c r="C14" s="60" t="s">
        <v>14</v>
      </c>
      <c r="D14" s="60"/>
      <c r="E14" s="60"/>
      <c r="F14" s="60"/>
      <c r="G14" s="60" t="s">
        <v>14</v>
      </c>
      <c r="H14" s="60"/>
      <c r="I14" s="56"/>
      <c r="J14" s="16" t="s">
        <v>18</v>
      </c>
      <c r="K14" s="30"/>
      <c r="L14" s="10"/>
    </row>
    <row r="15" spans="1:12" ht="30" customHeight="1" x14ac:dyDescent="0.25">
      <c r="A15" s="35" t="s">
        <v>2</v>
      </c>
      <c r="B15" s="36"/>
      <c r="C15" s="61" t="s">
        <v>15</v>
      </c>
      <c r="D15" s="61"/>
      <c r="E15" s="61"/>
      <c r="F15" s="61"/>
      <c r="G15" s="61" t="s">
        <v>15</v>
      </c>
      <c r="H15" s="61"/>
      <c r="I15" s="41"/>
      <c r="J15" s="16"/>
      <c r="K15" s="3"/>
      <c r="L15" s="10"/>
    </row>
    <row r="16" spans="1:12" ht="30" customHeight="1" x14ac:dyDescent="0.25">
      <c r="A16" s="35" t="s">
        <v>1</v>
      </c>
      <c r="B16" s="54" t="s">
        <v>8</v>
      </c>
      <c r="C16" s="60"/>
      <c r="D16" s="60"/>
      <c r="E16" s="60" t="s">
        <v>8</v>
      </c>
      <c r="F16" s="60"/>
      <c r="G16" s="60"/>
      <c r="H16" s="60"/>
      <c r="I16" s="57" t="s">
        <v>8</v>
      </c>
      <c r="J16" s="16"/>
      <c r="K16" s="3"/>
      <c r="L16" s="10"/>
    </row>
    <row r="17" spans="1:12" ht="30" customHeight="1" x14ac:dyDescent="0.25">
      <c r="A17" s="35" t="s">
        <v>2</v>
      </c>
      <c r="B17" s="36" t="s">
        <v>9</v>
      </c>
      <c r="C17" s="61"/>
      <c r="D17" s="61"/>
      <c r="E17" s="61" t="s">
        <v>9</v>
      </c>
      <c r="F17" s="61"/>
      <c r="G17" s="61"/>
      <c r="H17" s="61"/>
      <c r="I17" s="41" t="s">
        <v>9</v>
      </c>
      <c r="J17" s="16"/>
      <c r="K17" s="3"/>
      <c r="L17" s="10"/>
    </row>
    <row r="18" spans="1:12" ht="30" customHeight="1" x14ac:dyDescent="0.25">
      <c r="A18" s="35" t="s">
        <v>1</v>
      </c>
      <c r="B18" s="54"/>
      <c r="C18" s="60"/>
      <c r="D18" s="60"/>
      <c r="E18" s="60"/>
      <c r="F18" s="60"/>
      <c r="G18" s="60"/>
      <c r="H18" s="60"/>
      <c r="I18" s="56"/>
      <c r="J18" s="16"/>
      <c r="K18" s="3"/>
      <c r="L18" s="10"/>
    </row>
    <row r="19" spans="1:12" ht="30" customHeight="1" x14ac:dyDescent="0.25">
      <c r="A19" s="35" t="s">
        <v>2</v>
      </c>
      <c r="B19" s="36"/>
      <c r="C19" s="61"/>
      <c r="D19" s="61"/>
      <c r="E19" s="61"/>
      <c r="F19" s="61"/>
      <c r="G19" s="61"/>
      <c r="H19" s="61"/>
      <c r="I19" s="42"/>
      <c r="J19" s="1"/>
      <c r="K19" s="31"/>
      <c r="L19" s="32"/>
    </row>
    <row r="20" spans="1:12" ht="30" customHeight="1" x14ac:dyDescent="0.25">
      <c r="A20" s="35" t="s">
        <v>1</v>
      </c>
      <c r="B20" s="54"/>
      <c r="C20" s="60"/>
      <c r="D20" s="60"/>
      <c r="E20" s="60"/>
      <c r="F20" s="60"/>
      <c r="G20" s="60"/>
      <c r="H20" s="60"/>
      <c r="I20" s="56"/>
      <c r="J20" s="16" t="s">
        <v>19</v>
      </c>
      <c r="K20" s="30"/>
      <c r="L20" s="10"/>
    </row>
    <row r="21" spans="1:12" ht="30" customHeight="1" x14ac:dyDescent="0.25">
      <c r="A21" s="35" t="s">
        <v>2</v>
      </c>
      <c r="B21" s="36"/>
      <c r="C21" s="61"/>
      <c r="D21" s="61"/>
      <c r="E21" s="61"/>
      <c r="F21" s="61"/>
      <c r="G21" s="61"/>
      <c r="H21" s="61"/>
      <c r="I21" s="41"/>
      <c r="J21" s="16"/>
      <c r="K21" s="3"/>
      <c r="L21" s="10"/>
    </row>
    <row r="22" spans="1:12" ht="30" customHeight="1" x14ac:dyDescent="0.25">
      <c r="A22" s="35" t="s">
        <v>1</v>
      </c>
      <c r="B22" s="54"/>
      <c r="C22" s="60"/>
      <c r="D22" s="60"/>
      <c r="E22" s="60"/>
      <c r="F22" s="60"/>
      <c r="G22" s="60"/>
      <c r="H22" s="60"/>
      <c r="I22" s="56"/>
      <c r="J22" s="16"/>
      <c r="K22" s="3"/>
      <c r="L22" s="10"/>
    </row>
    <row r="23" spans="1:12" ht="30" customHeight="1" x14ac:dyDescent="0.25">
      <c r="A23" s="35" t="s">
        <v>2</v>
      </c>
      <c r="B23" s="36"/>
      <c r="C23" s="61"/>
      <c r="D23" s="61"/>
      <c r="E23" s="61"/>
      <c r="F23" s="61"/>
      <c r="G23" s="61"/>
      <c r="H23" s="61"/>
      <c r="I23" s="41"/>
      <c r="J23" s="16"/>
      <c r="K23" s="3"/>
      <c r="L23" s="10"/>
    </row>
    <row r="24" spans="1:12" ht="30" customHeight="1" x14ac:dyDescent="0.25">
      <c r="A24" s="35" t="s">
        <v>1</v>
      </c>
      <c r="B24" s="54" t="s">
        <v>10</v>
      </c>
      <c r="C24" s="60"/>
      <c r="D24" s="60"/>
      <c r="E24" s="60" t="s">
        <v>10</v>
      </c>
      <c r="F24" s="60"/>
      <c r="G24" s="60"/>
      <c r="H24" s="60"/>
      <c r="I24" s="56" t="s">
        <v>10</v>
      </c>
      <c r="J24" s="16"/>
      <c r="K24" s="3"/>
      <c r="L24" s="10"/>
    </row>
    <row r="25" spans="1:12" ht="30" customHeight="1" x14ac:dyDescent="0.25">
      <c r="A25" s="35" t="s">
        <v>2</v>
      </c>
      <c r="B25" s="36" t="s">
        <v>11</v>
      </c>
      <c r="C25" s="61"/>
      <c r="D25" s="61"/>
      <c r="E25" s="61" t="s">
        <v>11</v>
      </c>
      <c r="F25" s="61"/>
      <c r="G25" s="61"/>
      <c r="H25" s="61"/>
      <c r="I25" s="41" t="s">
        <v>11</v>
      </c>
      <c r="J25" s="1"/>
      <c r="K25" s="31"/>
      <c r="L25" s="32"/>
    </row>
    <row r="26" spans="1:12" ht="30" customHeight="1" x14ac:dyDescent="0.25">
      <c r="A26" s="35" t="s">
        <v>1</v>
      </c>
      <c r="B26" s="54"/>
      <c r="C26" s="60"/>
      <c r="D26" s="60"/>
      <c r="E26" s="60"/>
      <c r="F26" s="60"/>
      <c r="G26" s="60"/>
      <c r="H26" s="60"/>
      <c r="I26" s="56"/>
      <c r="J26" s="16" t="s">
        <v>20</v>
      </c>
      <c r="K26" s="30"/>
      <c r="L26" s="10"/>
    </row>
    <row r="27" spans="1:12" ht="30" customHeight="1" x14ac:dyDescent="0.25">
      <c r="A27" s="35" t="s">
        <v>2</v>
      </c>
      <c r="B27" s="36"/>
      <c r="C27" s="61"/>
      <c r="D27" s="61"/>
      <c r="E27" s="61"/>
      <c r="F27" s="61"/>
      <c r="G27" s="61"/>
      <c r="H27" s="61"/>
      <c r="I27" s="41"/>
      <c r="J27" s="16"/>
      <c r="K27" s="3"/>
      <c r="L27" s="10"/>
    </row>
    <row r="28" spans="1:12" ht="30" customHeight="1" x14ac:dyDescent="0.25">
      <c r="A28" s="35" t="s">
        <v>1</v>
      </c>
      <c r="B28" s="54"/>
      <c r="C28" s="60" t="s">
        <v>16</v>
      </c>
      <c r="D28" s="60"/>
      <c r="E28" s="60"/>
      <c r="F28" s="60"/>
      <c r="G28" s="60" t="s">
        <v>16</v>
      </c>
      <c r="H28" s="60"/>
      <c r="I28" s="56"/>
      <c r="J28" s="16"/>
      <c r="K28" s="3"/>
      <c r="L28" s="10"/>
    </row>
    <row r="29" spans="1:12" ht="30" customHeight="1" x14ac:dyDescent="0.25">
      <c r="A29" s="35" t="s">
        <v>2</v>
      </c>
      <c r="B29" s="36"/>
      <c r="C29" s="61" t="s">
        <v>17</v>
      </c>
      <c r="D29" s="61"/>
      <c r="E29" s="61"/>
      <c r="F29" s="61"/>
      <c r="G29" s="61" t="s">
        <v>17</v>
      </c>
      <c r="H29" s="61"/>
      <c r="I29" s="41"/>
      <c r="J29" s="16"/>
      <c r="K29" s="3"/>
      <c r="L29" s="10"/>
    </row>
    <row r="30" spans="1:12" ht="30" customHeight="1" x14ac:dyDescent="0.25">
      <c r="A30" s="35" t="s">
        <v>1</v>
      </c>
      <c r="B30" s="54"/>
      <c r="C30" s="60"/>
      <c r="D30" s="60"/>
      <c r="E30" s="60"/>
      <c r="F30" s="60"/>
      <c r="G30" s="60"/>
      <c r="H30" s="60"/>
      <c r="I30" s="56"/>
      <c r="J30" s="16"/>
      <c r="K30" s="3"/>
      <c r="L30" s="10"/>
    </row>
    <row r="31" spans="1:12" ht="30" customHeight="1" x14ac:dyDescent="0.25">
      <c r="A31" s="35" t="s">
        <v>2</v>
      </c>
      <c r="B31" s="44"/>
      <c r="C31" s="65"/>
      <c r="D31" s="65"/>
      <c r="E31" s="65"/>
      <c r="F31" s="65"/>
      <c r="G31" s="65"/>
      <c r="H31" s="65"/>
      <c r="I31" s="45"/>
      <c r="J31" s="16"/>
      <c r="K31" s="27"/>
      <c r="L31" s="49"/>
    </row>
  </sheetData>
  <mergeCells count="63">
    <mergeCell ref="C31:D31"/>
    <mergeCell ref="E31:F31"/>
    <mergeCell ref="G31:H31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C15:D15"/>
    <mergeCell ref="E15:F15"/>
    <mergeCell ref="G15:H15"/>
    <mergeCell ref="C16:D16"/>
    <mergeCell ref="E16:F16"/>
    <mergeCell ref="G16:H16"/>
    <mergeCell ref="C13:D13"/>
    <mergeCell ref="E13:F13"/>
    <mergeCell ref="G13:H13"/>
    <mergeCell ref="C14:D14"/>
    <mergeCell ref="E14:F14"/>
    <mergeCell ref="G14:H14"/>
    <mergeCell ref="C11:D11"/>
    <mergeCell ref="E11:F11"/>
    <mergeCell ref="G11:H11"/>
    <mergeCell ref="C12:D12"/>
    <mergeCell ref="E12:F12"/>
    <mergeCell ref="G12:H12"/>
  </mergeCells>
  <conditionalFormatting sqref="C3:H3">
    <cfRule type="expression" dxfId="29" priority="6" stopIfTrue="1">
      <formula>DAY(C3)&gt;8</formula>
    </cfRule>
  </conditionalFormatting>
  <conditionalFormatting sqref="C7:I8">
    <cfRule type="expression" dxfId="28" priority="5" stopIfTrue="1">
      <formula>AND(DAY(C7)&gt;=1,DAY(C7)&lt;=15)</formula>
    </cfRule>
  </conditionalFormatting>
  <conditionalFormatting sqref="C3:I8">
    <cfRule type="expression" dxfId="27" priority="7">
      <formula>VLOOKUP(DAY(C3),DanOddajeNaloge,1,FALSE)=DAY(C3)</formula>
    </cfRule>
  </conditionalFormatting>
  <conditionalFormatting sqref="B13:I13 B15:I15 B17:I17 B19:I19 B21:I21 B23:I23 B25:I25 B27:I27 B29:I29 B31:I31">
    <cfRule type="expression" dxfId="26" priority="4">
      <formula>B13&lt;&gt;""</formula>
    </cfRule>
  </conditionalFormatting>
  <conditionalFormatting sqref="B12:I12 B14:I14 B16:I16 B18:I18 B20:I20 B22:I22 B24:I24 B26:I26 B28:I28 B30:I30">
    <cfRule type="expression" dxfId="25" priority="3">
      <formula>B12&lt;&gt;""</formula>
    </cfRule>
  </conditionalFormatting>
  <conditionalFormatting sqref="B13:I13 B15:I15 B17:I17 B19:I19 B21:I21 B23:I23 B25:I25 B27:I27 B29:I29">
    <cfRule type="expression" dxfId="24" priority="2">
      <formula>COLUMN(B13)&gt;=2</formula>
    </cfRule>
  </conditionalFormatting>
  <conditionalFormatting sqref="B12:I31">
    <cfRule type="expression" dxfId="23" priority="1">
      <formula>COLUMN(B12)&gt;2</formula>
    </cfRule>
  </conditionalFormatting>
  <dataValidations count="13">
    <dataValidation allowBlank="1" showInputMessage="1" showErrorMessage="1" prompt="V to vrstico vnesite predavanje, navedena v stolpcih B–I." sqref="B13" xr:uid="{00000000-0002-0000-0800-000000000000}"/>
    <dataValidation allowBlank="1" showInputMessage="1" showErrorMessage="1" prompt="V to vrstico vnesite čas, naveden v stolpcih B–I." sqref="B12" xr:uid="{00000000-0002-0000-0800-000001000000}"/>
    <dataValidation allowBlank="1" showInputMessage="1" showErrorMessage="1" prompt="Če je v tej vrstici število, ki je manjše od prejšnjega števila ali vrstice števil, potem ta vrstica vsebuje datume za naslednji koledarski mesec." sqref="C8" xr:uid="{00000000-0002-0000-0800-000002000000}"/>
    <dataValidation allowBlank="1" showInputMessage="1" showErrorMessage="1" prompt="Če v tej celici ni številke 1, potem gre za dan iz prejšnjega meseca. V celicah C3:I8 so datumi trenutnega meseca." sqref="C3" xr:uid="{00000000-0002-0000-0800-000003000000}"/>
    <dataValidation allowBlank="1" showInputMessage="1" showErrorMessage="1" prompt="Celice C2:I2 vsebujejo dneve v tednu." sqref="C2" xr:uid="{00000000-0002-0000-0800-000004000000}"/>
    <dataValidation allowBlank="1" showInputMessage="1" showErrorMessage="1" prompt="Pripravite tedenski urnik in ustvarite seznam nalog na tem delovnem listu. Naloge so samodejno označene v mesečnem koledarju za leto, vneseno v celici B1 na januarskem delovnem listu." sqref="A1" xr:uid="{00000000-0002-0000-0800-000005000000}"/>
    <dataValidation allowBlank="1" showInputMessage="1" showErrorMessage="1" prompt="Samodejno posodobljeno koledarsko leto. Če želite spremeniti leto, posodobite celico B1 na januarskem delovnem listu." sqref="B1" xr:uid="{00000000-0002-0000-0800-000006000000}"/>
    <dataValidation allowBlank="1" showInputMessage="1" showErrorMessage="1" prompt="V koledarju za september so samodejno označeni vnosi s seznama nalog za ta mesec. Temnejše pisave so naloge. Svetlejše pisave so dnevi, ki sodijo v prejšnji ali naslednji mesec." sqref="B2" xr:uid="{00000000-0002-0000-0800-000007000000}"/>
    <dataValidation allowBlank="1" showInputMessage="1" showErrorMessage="1" prompt="Dnevi v tednu so združeni v tem stolpcu s 6 vrsticami za naloge za vsak združen delavnik v mesecu. Če želite dodati več nalog, vstavite nove vrstice. V koledarju na levi bodo elementi označeni." sqref="J1" xr:uid="{00000000-0002-0000-0800-000008000000}"/>
    <dataValidation allowBlank="1" showInputMessage="1" showErrorMessage="1" prompt="V ta stolpec vnesite podrobnosti naloge, ki ustrezajo delavniku v stolpcu J in dnevu v stolpcu K za koledarski mesec na levi." sqref="L1" xr:uid="{00000000-0002-0000-0800-000009000000}"/>
    <dataValidation allowBlank="1" showInputMessage="1" showErrorMessage="1" prompt="V ta stolpec vnesite dan v mesecu za dodeljeno nalogo, ki ustreza delavniku v stolpcu J. Na ta dan bo označena naloga v koledarju na levi." sqref="K1" xr:uid="{00000000-0002-0000-0800-00000A000000}"/>
    <dataValidation allowBlank="1" showInputMessage="1" showErrorMessage="1" prompt="V tej vrstici so delovni dnevi, od ponedeljka do petka." sqref="B11" xr:uid="{00000000-0002-0000-0800-00000B000000}"/>
    <dataValidation allowBlank="1" showInputMessage="1" showErrorMessage="1" prompt="Vnesite uro predavanja in pod njo, v novo vrstico, razredu, ime predavanja za vsak delovni dan v stolpce od B do I. Ta vzorec ponovite za vsa predavanja v naslednjih vrsticah." sqref="B10" xr:uid="{00000000-0002-0000-0800-00000C000000}"/>
  </dataValidations>
  <printOptions horizontalCentered="1" verticalCentered="1"/>
  <pageMargins left="0.5" right="0.5" top="0.5" bottom="0.5" header="0.3" footer="0.3"/>
  <pageSetup paperSize="9" scale="58" orientation="landscape" r:id="rId1"/>
  <tableParts count="1">
    <tablePart r:id="rId2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3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2.xml><?xml version="1.0" encoding="utf-8"?>
<ds:datastoreItem xmlns:ds="http://schemas.openxmlformats.org/officeDocument/2006/customXml" ds:itemID="{22EC134D-EF26-4489-BF4F-D004AB4EA7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E8598FAC-F6FB-41C1-A8B5-3788F9907361}">
  <ds:schemaRefs>
    <ds:schemaRef ds:uri="http://schemas.microsoft.com/office/2006/documentManagement/types"/>
    <ds:schemaRef ds:uri="16c05727-aa75-4e4a-9b5f-8a80a1165891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71af3243-3dd4-4a8d-8c0d-dd76da1f02a5"/>
    <ds:schemaRef ds:uri="http://www.w3.org/XML/1998/namespace"/>
    <ds:schemaRef ds:uri="http://purl.org/dc/dcmitype/"/>
  </ds:schemaRefs>
</ds:datastoreItem>
</file>

<file path=customXml/itemProps33.xml><?xml version="1.0" encoding="utf-8"?>
<ds:datastoreItem xmlns:ds="http://schemas.openxmlformats.org/officeDocument/2006/customXml" ds:itemID="{AB00EAF0-7D53-4F2E-A3F0-6ACE8DE5B762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TM03107663</ap:Template>
  <ap:ScaleCrop>false</ap:ScaleCrop>
  <ap:HeadingPairs>
    <vt:vector baseType="variant" size="4">
      <vt:variant>
        <vt:lpstr>Delovni listi</vt:lpstr>
      </vt:variant>
      <vt:variant>
        <vt:i4>12</vt:i4>
      </vt:variant>
      <vt:variant>
        <vt:lpstr>Imenovani obsegi</vt:lpstr>
      </vt:variant>
      <vt:variant>
        <vt:i4>61</vt:i4>
      </vt:variant>
    </vt:vector>
  </ap:HeadingPairs>
  <ap:TitlesOfParts>
    <vt:vector baseType="lpstr" size="73">
      <vt:lpstr>Jan</vt:lpstr>
      <vt:lpstr>Feb</vt:lpstr>
      <vt:lpstr>Mar</vt:lpstr>
      <vt:lpstr>Apr</vt:lpstr>
      <vt:lpstr>Maj</vt:lpstr>
      <vt:lpstr>Jun</vt:lpstr>
      <vt:lpstr>Jul</vt:lpstr>
      <vt:lpstr>Avg</vt:lpstr>
      <vt:lpstr>Sep</vt:lpstr>
      <vt:lpstr>Okt</vt:lpstr>
      <vt:lpstr>Nov</vt:lpstr>
      <vt:lpstr>Dec</vt:lpstr>
      <vt:lpstr>Apr!DanOddajeNaloge</vt:lpstr>
      <vt:lpstr>Avg!DanOddajeNaloge</vt:lpstr>
      <vt:lpstr>Dec!DanOddajeNaloge</vt:lpstr>
      <vt:lpstr>Feb!DanOddajeNaloge</vt:lpstr>
      <vt:lpstr>Jul!DanOddajeNaloge</vt:lpstr>
      <vt:lpstr>Jun!DanOddajeNaloge</vt:lpstr>
      <vt:lpstr>Maj!DanOddajeNaloge</vt:lpstr>
      <vt:lpstr>Mar!DanOddajeNaloge</vt:lpstr>
      <vt:lpstr>Nov!DanOddajeNaloge</vt:lpstr>
      <vt:lpstr>Okt!DanOddajeNaloge</vt:lpstr>
      <vt:lpstr>Sep!DanOddajeNaloge</vt:lpstr>
      <vt:lpstr>DanOddajeNaloge</vt:lpstr>
      <vt:lpstr>KoledarskoLeto</vt:lpstr>
      <vt:lpstr>Naslov_stolpca_1</vt:lpstr>
      <vt:lpstr>Naslov_stolpca_10</vt:lpstr>
      <vt:lpstr>Naslov_stolpca_11</vt:lpstr>
      <vt:lpstr>Naslov_stolpca_12</vt:lpstr>
      <vt:lpstr>Naslov_stolpca_2</vt:lpstr>
      <vt:lpstr>Naslov_stolpca_9</vt:lpstr>
      <vt:lpstr>NaslovStolpca3</vt:lpstr>
      <vt:lpstr>NaslovStolpca4</vt:lpstr>
      <vt:lpstr>NaslovStolpca5</vt:lpstr>
      <vt:lpstr>NaslovStolpca6</vt:lpstr>
      <vt:lpstr>NaslovStolpca7</vt:lpstr>
      <vt:lpstr>NaslovStolpca8</vt:lpstr>
      <vt:lpstr>Območje_naslova_2..I31.1</vt:lpstr>
      <vt:lpstr>Območje_naslova_2..I31.10</vt:lpstr>
      <vt:lpstr>Območje_naslova_2..I31.11</vt:lpstr>
      <vt:lpstr>Območje_naslova_2..I31.12</vt:lpstr>
      <vt:lpstr>Območje_naslova_2..I31.2</vt:lpstr>
      <vt:lpstr>Območje_naslova_2..I31.3</vt:lpstr>
      <vt:lpstr>Območje_naslova_2..I31.4</vt:lpstr>
      <vt:lpstr>Območje_naslova_2..I31.5</vt:lpstr>
      <vt:lpstr>Območje_naslova_2..I31.6</vt:lpstr>
      <vt:lpstr>Območje_naslova_2..I31.7</vt:lpstr>
      <vt:lpstr>Območje_naslova_2..I31.8</vt:lpstr>
      <vt:lpstr>Območje_naslova_2..I31.9</vt:lpstr>
      <vt:lpstr>Območje_za_naslov_stolpca_1..I8.1</vt:lpstr>
      <vt:lpstr>Območje_za_naslov_stolpca_1..I8.10</vt:lpstr>
      <vt:lpstr>Območje_za_naslov_stolpca_1..I8.11</vt:lpstr>
      <vt:lpstr>Območje_za_naslov_stolpca_1..I8.12</vt:lpstr>
      <vt:lpstr>Območje_za_naslov_stolpca_1..I8.2</vt:lpstr>
      <vt:lpstr>Območje_za_naslov_stolpca_1..I8.3</vt:lpstr>
      <vt:lpstr>Območje_za_naslov_stolpca_1..I8.4</vt:lpstr>
      <vt:lpstr>Območje_za_naslov_stolpca_1..I8.5</vt:lpstr>
      <vt:lpstr>Območje_za_naslov_stolpca_1..I8.6</vt:lpstr>
      <vt:lpstr>Območje_za_naslov_stolpca_1..I8.7</vt:lpstr>
      <vt:lpstr>Območje_za_naslov_stolpca_1..I8.8</vt:lpstr>
      <vt:lpstr>Območje_za_naslov_stolpca_1..I8.9</vt:lpstr>
      <vt:lpstr>Apr!TabelaPomembnihDatumov</vt:lpstr>
      <vt:lpstr>Avg!TabelaPomembnihDatumov</vt:lpstr>
      <vt:lpstr>Dec!TabelaPomembnihDatumov</vt:lpstr>
      <vt:lpstr>Feb!TabelaPomembnihDatumov</vt:lpstr>
      <vt:lpstr>Jul!TabelaPomembnihDatumov</vt:lpstr>
      <vt:lpstr>Jun!TabelaPomembnihDatumov</vt:lpstr>
      <vt:lpstr>Maj!TabelaPomembnihDatumov</vt:lpstr>
      <vt:lpstr>Mar!TabelaPomembnihDatumov</vt:lpstr>
      <vt:lpstr>Nov!TabelaPomembnihDatumov</vt:lpstr>
      <vt:lpstr>Okt!TabelaPomembnihDatumov</vt:lpstr>
      <vt:lpstr>Sep!TabelaPomembnihDatumov</vt:lpstr>
      <vt:lpstr>TabelaPomembnihDatumov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2020-07-08T21:07:10Z</dcterms:created>
  <dcterms:modified xsi:type="dcterms:W3CDTF">2020-10-30T08:54:37Z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