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61.xml" ContentType="application/vnd.openxmlformats-officedocument.spreadsheetml.table+xml"/>
  <Override PartName="/xl/tables/table102.xml" ContentType="application/vnd.openxmlformats-officedocument.spreadsheetml.table+xml"/>
  <Override PartName="/xl/drawings/drawing21.xml" ContentType="application/vnd.openxmlformats-officedocument.drawing+xml"/>
  <Override PartName="/xl/tables/table93.xml" ContentType="application/vnd.openxmlformats-officedocument.spreadsheetml.table+xml"/>
  <Override PartName="/xl/tables/table84.xml" ContentType="application/vnd.openxmlformats-officedocument.spreadsheetml.table+xml"/>
  <Override PartName="/xl/tables/table75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drawings/drawing12.xml" ContentType="application/vnd.openxmlformats-officedocument.drawing+xml"/>
  <Override PartName="/xl/tables/table48.xml" ContentType="application/vnd.openxmlformats-officedocument.spreadsheetml.table+xml"/>
  <Override PartName="/xl/tables/table39.xml" ContentType="application/vnd.openxmlformats-officedocument.spreadsheetml.table+xml"/>
  <Override PartName="/xl/tables/table210.xml" ContentType="application/vnd.openxmlformats-officedocument.spreadsheetml.tab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1611.xml" ContentType="application/vnd.openxmlformats-officedocument.spreadsheetml.table+xml"/>
  <Override PartName="/xl/drawings/drawing4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1112.xml" ContentType="application/vnd.openxmlformats-officedocument.spreadsheetml.table+xml"/>
  <Override PartName="/xl/tables/table1513.xml" ContentType="application/vnd.openxmlformats-officedocument.spreadsheetml.table+xml"/>
  <Override PartName="/xl/drawings/drawing34.xml" ContentType="application/vnd.openxmlformats-officedocument.drawing+xml"/>
  <Override PartName="/xl/tables/table1414.xml" ContentType="application/vnd.openxmlformats-officedocument.spreadsheetml.table+xml"/>
  <Override PartName="/xl/tables/table1315.xml" ContentType="application/vnd.openxmlformats-officedocument.spreadsheetml.table+xml"/>
  <Override PartName="/xl/tables/table1216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3"/>
  <workbookPr filterPrivacy="1" codeName="ThisWorkbook"/>
  <xr:revisionPtr revIDLastSave="0" documentId="8_{3DCB5522-6948-42BE-914F-372E9B1C7411}" xr6:coauthVersionLast="48" xr6:coauthVersionMax="48" xr10:uidLastSave="{00000000-0000-0000-0000-000000000000}"/>
  <bookViews>
    <workbookView xWindow="-120" yWindow="-120" windowWidth="28950" windowHeight="16065" tabRatio="756" xr2:uid="{00000000-000D-0000-FFFF-FFFF00000000}"/>
  </bookViews>
  <sheets>
    <sheet name="ZAČIATOK" sheetId="6" r:id="rId1"/>
    <sheet name="PLÁNOVANÉ VÝDAVKY" sheetId="2" r:id="rId2"/>
    <sheet name="SKUTOČNÉ VÝDAVKY" sheetId="3" r:id="rId3"/>
    <sheet name="ODCHÝLKY VO VÝDAVKOCH" sheetId="4" r:id="rId4"/>
    <sheet name="ANALÝZA VÝDAVKOV" sheetId="5" r:id="rId5"/>
  </sheets>
  <definedNames>
    <definedName name="worksheet_title">'PLÁNOVANÉ VÝDAVKY'!$K$2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" l="1"/>
  <c r="K2" i="4"/>
  <c r="E3" i="5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D22" i="4"/>
  <c r="E22" i="4"/>
  <c r="F22" i="4"/>
  <c r="G22" i="4"/>
  <c r="H22" i="4"/>
  <c r="I22" i="4"/>
  <c r="J22" i="4"/>
  <c r="K22" i="4"/>
  <c r="L22" i="4"/>
  <c r="M22" i="4"/>
  <c r="N22" i="4"/>
  <c r="C22" i="4"/>
  <c r="D6" i="4"/>
  <c r="E6" i="4"/>
  <c r="F6" i="4"/>
  <c r="G6" i="4"/>
  <c r="H6" i="4"/>
  <c r="I6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D11" i="4"/>
  <c r="E11" i="4"/>
  <c r="F11" i="4"/>
  <c r="G11" i="4"/>
  <c r="H11" i="4"/>
  <c r="I11" i="4"/>
  <c r="J11" i="4"/>
  <c r="K11" i="4"/>
  <c r="L11" i="4"/>
  <c r="M11" i="4"/>
  <c r="N11" i="4"/>
  <c r="C11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D28" i="2"/>
  <c r="E28" i="2"/>
  <c r="F28" i="2"/>
  <c r="G28" i="2"/>
  <c r="H28" i="2"/>
  <c r="I28" i="2"/>
  <c r="J28" i="2"/>
  <c r="K28" i="2"/>
  <c r="L28" i="2"/>
  <c r="M28" i="2"/>
  <c r="N28" i="2"/>
  <c r="C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/>
  <c r="N36" i="3" s="1"/>
  <c r="M8" i="3"/>
  <c r="M36" i="3" s="1"/>
  <c r="L8" i="3"/>
  <c r="L36" i="3" s="1"/>
  <c r="K8" i="3"/>
  <c r="K36" i="3" s="1"/>
  <c r="J8" i="3"/>
  <c r="J36" i="3" s="1"/>
  <c r="I8" i="3"/>
  <c r="I36" i="3" s="1"/>
  <c r="H7" i="3"/>
  <c r="H8" i="3" s="1"/>
  <c r="H36" i="3" s="1"/>
  <c r="G7" i="3"/>
  <c r="G8" i="3" s="1"/>
  <c r="G36" i="3" s="1"/>
  <c r="F7" i="3"/>
  <c r="F8" i="3" s="1"/>
  <c r="F36" i="3" s="1"/>
  <c r="E7" i="3"/>
  <c r="E8" i="3" s="1"/>
  <c r="E36" i="3" s="1"/>
  <c r="D7" i="3"/>
  <c r="D8" i="3" s="1"/>
  <c r="D36" i="3" s="1"/>
  <c r="C7" i="3"/>
  <c r="C8" i="3" s="1"/>
  <c r="C36" i="3" s="1"/>
  <c r="O6" i="3"/>
  <c r="O32" i="2"/>
  <c r="O31" i="2"/>
  <c r="O33" i="2" s="1"/>
  <c r="O27" i="2"/>
  <c r="O26" i="2"/>
  <c r="O25" i="2"/>
  <c r="O24" i="2"/>
  <c r="O23" i="2"/>
  <c r="O22" i="2"/>
  <c r="O18" i="2"/>
  <c r="O17" i="2"/>
  <c r="O16" i="2"/>
  <c r="O15" i="2"/>
  <c r="O14" i="2"/>
  <c r="O13" i="2"/>
  <c r="O12" i="2"/>
  <c r="O11" i="2"/>
  <c r="N7" i="2"/>
  <c r="M7" i="2"/>
  <c r="L7" i="2"/>
  <c r="K7" i="2"/>
  <c r="J7" i="2"/>
  <c r="I7" i="2"/>
  <c r="H7" i="2"/>
  <c r="G7" i="2"/>
  <c r="F7" i="2"/>
  <c r="E7" i="2"/>
  <c r="D7" i="2"/>
  <c r="C7" i="2"/>
  <c r="O6" i="2"/>
  <c r="J8" i="2" l="1"/>
  <c r="J36" i="2" s="1"/>
  <c r="J7" i="4"/>
  <c r="J8" i="4" s="1"/>
  <c r="J36" i="4" s="1"/>
  <c r="L8" i="2"/>
  <c r="L36" i="2" s="1"/>
  <c r="L7" i="4"/>
  <c r="L8" i="4" s="1"/>
  <c r="L36" i="4" s="1"/>
  <c r="G8" i="2"/>
  <c r="G36" i="2" s="1"/>
  <c r="G7" i="4"/>
  <c r="G8" i="4" s="1"/>
  <c r="G36" i="4" s="1"/>
  <c r="H8" i="2"/>
  <c r="H36" i="2" s="1"/>
  <c r="H7" i="4"/>
  <c r="H8" i="4" s="1"/>
  <c r="H36" i="4" s="1"/>
  <c r="N8" i="2"/>
  <c r="N36" i="2" s="1"/>
  <c r="N7" i="4"/>
  <c r="N8" i="4" s="1"/>
  <c r="N36" i="4" s="1"/>
  <c r="D8" i="2"/>
  <c r="D36" i="2" s="1"/>
  <c r="D7" i="4"/>
  <c r="D8" i="4" s="1"/>
  <c r="D36" i="4" s="1"/>
  <c r="E7" i="4"/>
  <c r="E8" i="4" s="1"/>
  <c r="E36" i="4" s="1"/>
  <c r="E8" i="2"/>
  <c r="E36" i="2" s="1"/>
  <c r="K8" i="2"/>
  <c r="K36" i="2" s="1"/>
  <c r="K7" i="4"/>
  <c r="K8" i="4" s="1"/>
  <c r="K36" i="4" s="1"/>
  <c r="F7" i="4"/>
  <c r="F8" i="4" s="1"/>
  <c r="F36" i="4" s="1"/>
  <c r="F8" i="2"/>
  <c r="F36" i="2" s="1"/>
  <c r="M8" i="2"/>
  <c r="M36" i="2" s="1"/>
  <c r="M7" i="4"/>
  <c r="M8" i="4" s="1"/>
  <c r="M36" i="4" s="1"/>
  <c r="C7" i="4"/>
  <c r="C8" i="4" s="1"/>
  <c r="C36" i="4" s="1"/>
  <c r="C8" i="2"/>
  <c r="C36" i="2" s="1"/>
  <c r="I7" i="4"/>
  <c r="I8" i="4" s="1"/>
  <c r="I36" i="4" s="1"/>
  <c r="I8" i="2"/>
  <c r="I36" i="2" s="1"/>
  <c r="O33" i="3"/>
  <c r="O28" i="3"/>
  <c r="D8" i="5" s="1"/>
  <c r="O19" i="3"/>
  <c r="D7" i="5" s="1"/>
  <c r="C9" i="5"/>
  <c r="O28" i="2"/>
  <c r="C8" i="5" s="1"/>
  <c r="O19" i="2"/>
  <c r="C7" i="5" s="1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O36" i="2"/>
  <c r="C10" i="5" s="1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O36" i="3"/>
  <c r="D10" i="5" s="1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</calcChain>
</file>

<file path=xl/sharedStrings.xml><?xml version="1.0" encoding="utf-8"?>
<sst xmlns="http://schemas.openxmlformats.org/spreadsheetml/2006/main" count="348" uniqueCount="74">
  <si>
    <t>INFORMÁCIE O TEJTO ŠABLÓNE</t>
  </si>
  <si>
    <t>Pomocou tohto zošita s rozpočtom výdavkov firmy môžete sledovať plánované a skutočné výdavky a odchýlky.</t>
  </si>
  <si>
    <t>Doplňte názov spoločnosti a pridajte logo.</t>
  </si>
  <si>
    <t>Zadajte údaje do tabuliek v hárku Plánované výdavky hárka a hárku Skutočné výdavky.</t>
  </si>
  <si>
    <t>Tabuľky v hárku Odchýlky vo výdavkoch a grafy v hárku Analýza výdavkov sa aktualizujú automaticky.</t>
  </si>
  <si>
    <t>Poznámka: </t>
  </si>
  <si>
    <t>V každom hárku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</si>
  <si>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 tabuľkách, v tabuľke stlačte kláves SHIFT a potom kláves F10, vyberte možnosť TABUĽKA a potom vyberte položku ALTERNATÍVNY TEXT</t>
  </si>
  <si>
    <t>Názov spoločnosti</t>
  </si>
  <si>
    <t>PLÁNOVANÉ VÝDAVKY</t>
  </si>
  <si>
    <t>Náklady na zamestnancov</t>
  </si>
  <si>
    <t>Mzdy</t>
  </si>
  <si>
    <t>Benefity</t>
  </si>
  <si>
    <t>Medzisúčet</t>
  </si>
  <si>
    <t>Náklady na kanceláriu</t>
  </si>
  <si>
    <t>Prenájom kancelárie</t>
  </si>
  <si>
    <t>Plyn</t>
  </si>
  <si>
    <t>Elektrina</t>
  </si>
  <si>
    <t>Voda</t>
  </si>
  <si>
    <t>Telefón</t>
  </si>
  <si>
    <t>Prístup na Internet</t>
  </si>
  <si>
    <t>Kancelárske potreby</t>
  </si>
  <si>
    <t>Zabezpečenie</t>
  </si>
  <si>
    <t>Náklady na marketing</t>
  </si>
  <si>
    <t>Hosťovanie webovej lokality</t>
  </si>
  <si>
    <t>Aktualizácie webovej lokality</t>
  </si>
  <si>
    <t>Príprava sprievodnej dokumentácie</t>
  </si>
  <si>
    <t>Tlač sprievodnej dokumentácie</t>
  </si>
  <si>
    <t>Marketingové podujatia</t>
  </si>
  <si>
    <t>Rôzne výdavky</t>
  </si>
  <si>
    <t>Školenie/cestovné</t>
  </si>
  <si>
    <t>Školiace kurzy</t>
  </si>
  <si>
    <t>Cestovné náklady súvisiace so školením</t>
  </si>
  <si>
    <t>SÚČTY</t>
  </si>
  <si>
    <t>Mesačné plánované výdavky</t>
  </si>
  <si>
    <t>CELKOVÉ plánované výdavky</t>
  </si>
  <si>
    <t>JAN</t>
  </si>
  <si>
    <t>Jan</t>
  </si>
  <si>
    <t>FEB</t>
  </si>
  <si>
    <t>Feb</t>
  </si>
  <si>
    <t>MAR</t>
  </si>
  <si>
    <t>Mar</t>
  </si>
  <si>
    <t>APR</t>
  </si>
  <si>
    <t>Apr</t>
  </si>
  <si>
    <t>MÁJ</t>
  </si>
  <si>
    <t>Máj</t>
  </si>
  <si>
    <t>JÚN</t>
  </si>
  <si>
    <t>Jún</t>
  </si>
  <si>
    <t>JÚL</t>
  </si>
  <si>
    <t>Júl</t>
  </si>
  <si>
    <t>AUG</t>
  </si>
  <si>
    <t>Aug</t>
  </si>
  <si>
    <t>Podrobné odhady výdavkov</t>
  </si>
  <si>
    <t>Tieňované bunky sú výpočty.</t>
  </si>
  <si>
    <t>SEP</t>
  </si>
  <si>
    <t>Sep</t>
  </si>
  <si>
    <t>OKT</t>
  </si>
  <si>
    <t>Okt</t>
  </si>
  <si>
    <t>NOV</t>
  </si>
  <si>
    <t>Nov</t>
  </si>
  <si>
    <t>DEC</t>
  </si>
  <si>
    <t>Dec</t>
  </si>
  <si>
    <t>ROK</t>
  </si>
  <si>
    <t>Rok</t>
  </si>
  <si>
    <t xml:space="preserve"> </t>
  </si>
  <si>
    <t>SKUTOČNÉ VÝDAVKY</t>
  </si>
  <si>
    <t>Mesačné skutočné výdavky</t>
  </si>
  <si>
    <t>CELKOVÉ skutočné výdavky</t>
  </si>
  <si>
    <t>ODCHÝLKY VO VÝDAVKOCH</t>
  </si>
  <si>
    <t>Kategória výdavkov</t>
  </si>
  <si>
    <t>Plánované výdavky</t>
  </si>
  <si>
    <t>Skutočné výdavky</t>
  </si>
  <si>
    <t>Odchýlky vo výdavkoch</t>
  </si>
  <si>
    <t>Percentuálna hodnota odchýlky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</si>
</sst>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5" formatCode="_(&quot;$&quot;* #,##0_);_(&quot;$&quot;* \(#,##0\);_(&quot;$&quot;* &quot;-&quot;??_);_(@_)"/>
    <numFmt numFmtId="166" formatCode="#,##0.00\ [$EUR];[Red]\-#,##0.00\ [$EUR]"/>
  </numFmts>
  <fonts count="40" x14ac:knownFonts="1">
    <font>
      <sz val="9"/>
      <color theme="1" tint="0.2499465926084170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</borders>
  <cellStyleXfs count="6">
    <xf numFmtId="0" fontId="0" fillId="10" borderId="0"/>
    <xf numFmtId="0" fontId="7" fillId="0" borderId="0" applyNumberFormat="0" applyFill="0" applyProtection="0">
      <alignment vertical="center"/>
    </xf>
    <xf numFmtId="0" fontId="16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134">
    <xf numFmtId="0" fontId="0" fillId="10" borderId="0" xfId="0"/>
    <xf numFmtId="0" fontId="1" fillId="10" borderId="0" xfId="0" applyFont="1"/>
    <xf numFmtId="0" fontId="3" fillId="10" borderId="0" xfId="0" applyFont="1"/>
    <xf numFmtId="37" fontId="3" fillId="10" borderId="0" xfId="0" applyNumberFormat="1" applyFont="1" applyAlignment="1">
      <alignment horizontal="right"/>
    </xf>
    <xf numFmtId="37" fontId="5" fillId="10" borderId="0" xfId="0" applyNumberFormat="1" applyFont="1" applyAlignment="1">
      <alignment horizontal="right"/>
    </xf>
    <xf numFmtId="37" fontId="6" fillId="10" borderId="0" xfId="0" applyNumberFormat="1" applyFont="1" applyAlignment="1">
      <alignment horizontal="right"/>
    </xf>
    <xf numFmtId="9" fontId="0" fillId="10" borderId="0" xfId="0" applyNumberFormat="1" applyAlignment="1">
      <alignment horizontal="right"/>
    </xf>
    <xf numFmtId="0" fontId="1" fillId="4" borderId="0" xfId="0" applyFont="1" applyFill="1" applyAlignment="1">
      <alignment horizontal="left" vertical="top" indent="1"/>
    </xf>
    <xf numFmtId="0" fontId="2" fillId="4" borderId="0" xfId="0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1" fillId="8" borderId="0" xfId="0" applyFont="1" applyFill="1" applyAlignment="1">
      <alignment horizontal="left" vertical="top" indent="1"/>
    </xf>
    <xf numFmtId="165" fontId="2" fillId="8" borderId="0" xfId="0" applyNumberFormat="1" applyFont="1" applyFill="1" applyAlignment="1">
      <alignment horizontal="left" vertical="top" indent="1"/>
    </xf>
    <xf numFmtId="165" fontId="4" fillId="8" borderId="0" xfId="0" applyNumberFormat="1" applyFont="1" applyFill="1" applyAlignment="1">
      <alignment horizontal="left" vertical="top" indent="1"/>
    </xf>
    <xf numFmtId="0" fontId="21" fillId="10" borderId="0" xfId="0" applyFont="1"/>
    <xf numFmtId="0" fontId="20" fillId="9" borderId="0" xfId="3" applyFont="1" applyFill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0" fontId="3" fillId="10" borderId="4" xfId="0" applyFont="1" applyBorder="1"/>
    <xf numFmtId="0" fontId="16" fillId="4" borderId="0" xfId="2" applyAlignment="1"/>
    <xf numFmtId="0" fontId="9" fillId="6" borderId="0" xfId="3" applyFill="1" applyAlignment="1">
      <alignment horizontal="left" vertical="center" indent="2"/>
    </xf>
    <xf numFmtId="0" fontId="9" fillId="5" borderId="0" xfId="3" applyFill="1" applyAlignment="1">
      <alignment horizontal="left" vertical="center" indent="2"/>
    </xf>
    <xf numFmtId="0" fontId="9" fillId="7" borderId="0" xfId="3" applyFill="1" applyAlignment="1">
      <alignment horizontal="left" vertical="center" indent="2"/>
    </xf>
    <xf numFmtId="0" fontId="9" fillId="4" borderId="0" xfId="3" applyFill="1" applyAlignment="1">
      <alignment horizontal="left" vertical="center" indent="2"/>
    </xf>
    <xf numFmtId="0" fontId="0" fillId="11" borderId="2" xfId="0" applyFill="1" applyBorder="1" applyAlignment="1">
      <alignment horizontal="left" vertical="center" indent="2"/>
    </xf>
    <xf numFmtId="9" fontId="0" fillId="11" borderId="2" xfId="0" applyNumberFormat="1" applyFill="1" applyBorder="1" applyAlignment="1">
      <alignment horizontal="right" vertical="center" indent="2"/>
    </xf>
    <xf numFmtId="0" fontId="22" fillId="12" borderId="0" xfId="3" applyFont="1" applyFill="1" applyAlignment="1">
      <alignment horizontal="left"/>
    </xf>
    <xf numFmtId="0" fontId="22" fillId="12" borderId="0" xfId="3" applyFont="1" applyFill="1" applyAlignment="1">
      <alignment horizontal="center"/>
    </xf>
    <xf numFmtId="0" fontId="10" fillId="9" borderId="3" xfId="3" applyFont="1" applyFill="1" applyBorder="1" applyAlignment="1">
      <alignment horizontal="left" vertical="center" indent="1"/>
    </xf>
    <xf numFmtId="0" fontId="15" fillId="4" borderId="7" xfId="0" applyFont="1" applyFill="1" applyBorder="1" applyAlignment="1">
      <alignment horizontal="left" vertical="center" indent="1"/>
    </xf>
    <xf numFmtId="0" fontId="27" fillId="9" borderId="3" xfId="3" applyFont="1" applyFill="1" applyBorder="1">
      <alignment vertical="center"/>
    </xf>
    <xf numFmtId="0" fontId="19" fillId="10" borderId="0" xfId="0" applyFont="1" applyAlignment="1">
      <alignment wrapText="1"/>
    </xf>
    <xf numFmtId="0" fontId="20" fillId="9" borderId="3" xfId="3" applyFont="1" applyFill="1" applyBorder="1" applyAlignment="1">
      <alignment horizontal="left" vertical="center" indent="1"/>
    </xf>
    <xf numFmtId="0" fontId="29" fillId="9" borderId="0" xfId="3" applyFont="1" applyFill="1">
      <alignment vertical="center"/>
    </xf>
    <xf numFmtId="0" fontId="0" fillId="10" borderId="0" xfId="0" applyAlignment="1">
      <alignment vertical="center"/>
    </xf>
    <xf numFmtId="0" fontId="31" fillId="8" borderId="0" xfId="2" applyFont="1" applyFill="1" applyAlignment="1">
      <alignment horizontal="center" vertical="center"/>
    </xf>
    <xf numFmtId="0" fontId="32" fillId="8" borderId="0" xfId="0" applyFont="1" applyFill="1" applyAlignment="1">
      <alignment horizontal="left" vertical="top" indent="1"/>
    </xf>
    <xf numFmtId="0" fontId="33" fillId="10" borderId="0" xfId="0" applyFont="1"/>
    <xf numFmtId="0" fontId="32" fillId="8" borderId="0" xfId="0" applyFont="1" applyFill="1" applyAlignment="1">
      <alignment horizontal="left" vertical="top" wrapText="1" indent="1"/>
    </xf>
    <xf numFmtId="0" fontId="32" fillId="8" borderId="0" xfId="0" applyFont="1" applyFill="1" applyAlignment="1">
      <alignment horizontal="left" vertical="top" wrapText="1"/>
    </xf>
    <xf numFmtId="0" fontId="33" fillId="10" borderId="0" xfId="0" applyFont="1" applyAlignment="1">
      <alignment wrapText="1"/>
    </xf>
    <xf numFmtId="0" fontId="34" fillId="10" borderId="0" xfId="0" applyFont="1" applyAlignment="1">
      <alignment vertical="center" wrapText="1"/>
    </xf>
    <xf numFmtId="0" fontId="1" fillId="10" borderId="0" xfId="0" applyFont="1" applyAlignment="1">
      <alignment wrapText="1"/>
    </xf>
    <xf numFmtId="0" fontId="0" fillId="11" borderId="5" xfId="0" applyFill="1" applyBorder="1" applyAlignment="1">
      <alignment horizontal="left" vertical="center" indent="2"/>
    </xf>
    <xf numFmtId="9" fontId="0" fillId="11" borderId="5" xfId="0" applyNumberFormat="1" applyFill="1" applyBorder="1" applyAlignment="1">
      <alignment horizontal="right" vertical="center" indent="2"/>
    </xf>
    <xf numFmtId="0" fontId="33" fillId="10" borderId="6" xfId="0" applyFont="1" applyBorder="1"/>
    <xf numFmtId="0" fontId="35" fillId="10" borderId="0" xfId="0" applyFont="1" applyAlignment="1">
      <alignment vertical="center" wrapText="1"/>
    </xf>
    <xf numFmtId="0" fontId="35" fillId="10" borderId="0" xfId="0" applyFont="1" applyAlignment="1">
      <alignment wrapText="1"/>
    </xf>
    <xf numFmtId="0" fontId="36" fillId="10" borderId="0" xfId="0" applyFont="1" applyAlignment="1">
      <alignment vertical="center" wrapText="1"/>
    </xf>
    <xf numFmtId="0" fontId="23" fillId="6" borderId="9" xfId="4" applyFont="1" applyFill="1" applyBorder="1">
      <alignment horizontal="left" vertical="center" indent="1"/>
    </xf>
    <xf numFmtId="0" fontId="15" fillId="4" borderId="10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2"/>
    </xf>
    <xf numFmtId="0" fontId="23" fillId="5" borderId="14" xfId="4" applyFont="1" applyFill="1" applyBorder="1">
      <alignment horizontal="left" vertical="center" indent="1"/>
    </xf>
    <xf numFmtId="0" fontId="19" fillId="12" borderId="15" xfId="4" applyFont="1" applyFill="1" applyBorder="1">
      <alignment horizontal="left" vertical="center" indent="1"/>
    </xf>
    <xf numFmtId="165" fontId="19" fillId="12" borderId="15" xfId="4" applyNumberFormat="1" applyFont="1" applyFill="1" applyBorder="1">
      <alignment horizontal="left" vertical="center" indent="1"/>
    </xf>
    <xf numFmtId="0" fontId="19" fillId="12" borderId="16" xfId="4" applyFont="1" applyFill="1" applyBorder="1">
      <alignment horizontal="left" vertical="center" indent="1"/>
    </xf>
    <xf numFmtId="0" fontId="23" fillId="5" borderId="9" xfId="4" applyFont="1" applyFill="1" applyBorder="1">
      <alignment horizontal="left" vertical="center" indent="1"/>
    </xf>
    <xf numFmtId="0" fontId="19" fillId="12" borderId="22" xfId="4" applyFont="1" applyFill="1" applyBorder="1">
      <alignment horizontal="left" vertical="center" indent="1"/>
    </xf>
    <xf numFmtId="0" fontId="19" fillId="12" borderId="23" xfId="4" applyFont="1" applyFill="1" applyBorder="1">
      <alignment horizontal="left" vertical="center" indent="1"/>
    </xf>
    <xf numFmtId="165" fontId="19" fillId="12" borderId="23" xfId="4" applyNumberFormat="1" applyFont="1" applyFill="1" applyBorder="1">
      <alignment horizontal="left" vertical="center" indent="1"/>
    </xf>
    <xf numFmtId="0" fontId="19" fillId="12" borderId="24" xfId="4" applyFont="1" applyFill="1" applyBorder="1">
      <alignment horizontal="left" vertical="center" indent="1"/>
    </xf>
    <xf numFmtId="0" fontId="23" fillId="5" borderId="25" xfId="4" applyFont="1" applyFill="1" applyBorder="1">
      <alignment horizontal="left" vertical="center" indent="1"/>
    </xf>
    <xf numFmtId="0" fontId="23" fillId="7" borderId="14" xfId="4" applyFont="1" applyFill="1" applyBorder="1">
      <alignment horizontal="left" vertical="center" indent="1"/>
    </xf>
    <xf numFmtId="0" fontId="23" fillId="6" borderId="14" xfId="4" applyFont="1" applyFill="1" applyBorder="1">
      <alignment horizontal="left" vertical="center" indent="1"/>
    </xf>
    <xf numFmtId="0" fontId="19" fillId="12" borderId="15" xfId="4" applyFont="1" applyFill="1" applyBorder="1" applyAlignment="1">
      <alignment horizontal="center" vertical="center"/>
    </xf>
    <xf numFmtId="165" fontId="19" fillId="12" borderId="15" xfId="4" applyNumberFormat="1" applyFont="1" applyFill="1" applyBorder="1" applyAlignment="1">
      <alignment horizontal="center" vertical="center"/>
    </xf>
    <xf numFmtId="0" fontId="19" fillId="12" borderId="16" xfId="4" applyFont="1" applyFill="1" applyBorder="1" applyAlignment="1">
      <alignment horizontal="center" vertical="center"/>
    </xf>
    <xf numFmtId="0" fontId="19" fillId="12" borderId="14" xfId="4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center" indent="2"/>
    </xf>
    <xf numFmtId="0" fontId="39" fillId="4" borderId="0" xfId="0" applyFont="1" applyFill="1" applyAlignment="1">
      <alignment horizontal="left" vertical="top" indent="1"/>
    </xf>
    <xf numFmtId="0" fontId="15" fillId="4" borderId="17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1"/>
    </xf>
    <xf numFmtId="0" fontId="19" fillId="12" borderId="14" xfId="4" applyFont="1" applyFill="1" applyBorder="1">
      <alignment horizontal="left" vertical="center" indent="1"/>
    </xf>
    <xf numFmtId="0" fontId="26" fillId="11" borderId="11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2"/>
    </xf>
    <xf numFmtId="0" fontId="23" fillId="7" borderId="9" xfId="4" applyFont="1" applyFill="1" applyBorder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29" fillId="9" borderId="32" xfId="3" applyFont="1" applyFill="1" applyBorder="1">
      <alignment vertical="center"/>
    </xf>
    <xf numFmtId="0" fontId="19" fillId="12" borderId="15" xfId="4" applyFont="1" applyFill="1" applyBorder="1" applyAlignment="1">
      <alignment horizontal="left"/>
    </xf>
    <xf numFmtId="165" fontId="19" fillId="12" borderId="15" xfId="4" applyNumberFormat="1" applyFont="1" applyFill="1" applyBorder="1" applyAlignment="1">
      <alignment horizontal="left"/>
    </xf>
    <xf numFmtId="0" fontId="19" fillId="12" borderId="16" xfId="4" applyFont="1" applyFill="1" applyBorder="1" applyAlignment="1">
      <alignment horizontal="left"/>
    </xf>
    <xf numFmtId="0" fontId="18" fillId="11" borderId="19" xfId="0" applyFont="1" applyFill="1" applyBorder="1" applyAlignment="1">
      <alignment horizontal="left" vertical="center" indent="1"/>
    </xf>
    <xf numFmtId="0" fontId="17" fillId="11" borderId="19" xfId="0" applyFont="1" applyFill="1" applyBorder="1" applyAlignment="1">
      <alignment horizontal="left" vertical="center" indent="2"/>
    </xf>
    <xf numFmtId="0" fontId="5" fillId="11" borderId="19" xfId="0" applyFont="1" applyFill="1" applyBorder="1" applyAlignment="1">
      <alignment horizontal="left" vertical="center" indent="1"/>
    </xf>
    <xf numFmtId="0" fontId="18" fillId="11" borderId="19" xfId="0" applyFont="1" applyFill="1" applyBorder="1" applyAlignment="1">
      <alignment horizontal="left" vertical="center" indent="2"/>
    </xf>
    <xf numFmtId="0" fontId="0" fillId="11" borderId="2" xfId="0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left" vertical="center" indent="1"/>
    </xf>
    <xf numFmtId="0" fontId="0" fillId="10" borderId="0" xfId="0" applyAlignment="1">
      <alignment horizontal="left" indent="1"/>
    </xf>
    <xf numFmtId="0" fontId="3" fillId="10" borderId="0" xfId="0" applyFont="1" applyAlignment="1">
      <alignment horizontal="left"/>
    </xf>
    <xf numFmtId="0" fontId="28" fillId="4" borderId="0" xfId="0" applyFont="1" applyFill="1" applyAlignment="1">
      <alignment horizontal="center" vertical="top"/>
    </xf>
    <xf numFmtId="0" fontId="5" fillId="10" borderId="0" xfId="0" applyFont="1" applyAlignment="1">
      <alignment horizontal="center"/>
    </xf>
    <xf numFmtId="0" fontId="3" fillId="10" borderId="0" xfId="0" applyFont="1" applyAlignment="1">
      <alignment horizontal="center"/>
    </xf>
    <xf numFmtId="0" fontId="12" fillId="8" borderId="0" xfId="1" applyFont="1" applyFill="1" applyAlignment="1">
      <alignment horizontal="left" vertical="top" indent="1"/>
    </xf>
    <xf numFmtId="0" fontId="3" fillId="10" borderId="0" xfId="0" applyFont="1" applyAlignment="1">
      <alignment horizontal="left" indent="1"/>
    </xf>
    <xf numFmtId="0" fontId="38" fillId="4" borderId="0" xfId="2" applyFont="1" applyAlignment="1">
      <alignment horizontal="center" wrapText="1"/>
    </xf>
    <xf numFmtId="0" fontId="19" fillId="10" borderId="0" xfId="0" applyFont="1" applyAlignment="1">
      <alignment wrapText="1"/>
    </xf>
    <xf numFmtId="0" fontId="19" fillId="10" borderId="0" xfId="0" applyFont="1"/>
    <xf numFmtId="0" fontId="16" fillId="4" borderId="0" xfId="2" applyAlignment="1">
      <alignment horizontal="left" indent="1"/>
    </xf>
    <xf numFmtId="0" fontId="11" fillId="4" borderId="0" xfId="5" applyFill="1" applyAlignment="1">
      <alignment horizontal="left" vertical="top" indent="1"/>
    </xf>
    <xf numFmtId="0" fontId="37" fillId="4" borderId="0" xfId="5" applyFont="1" applyFill="1" applyAlignment="1">
      <alignment horizontal="left" vertical="top" indent="1"/>
    </xf>
    <xf numFmtId="0" fontId="16" fillId="4" borderId="0" xfId="2" applyAlignment="1">
      <alignment horizontal="right" vertical="center" indent="3"/>
    </xf>
    <xf numFmtId="0" fontId="30" fillId="11" borderId="0" xfId="0" applyFont="1" applyFill="1" applyAlignment="1">
      <alignment horizontal="center"/>
    </xf>
    <xf numFmtId="0" fontId="22" fillId="12" borderId="0" xfId="3" applyNumberFormat="1" applyFont="1" applyFill="1" applyAlignment="1">
      <alignment horizontal="center"/>
    </xf>
    <xf numFmtId="166" fontId="0" fillId="11" borderId="2" xfId="0" applyNumberFormat="1" applyFill="1" applyBorder="1" applyAlignment="1">
      <alignment horizontal="right" vertical="center" indent="2"/>
    </xf>
    <xf numFmtId="166" fontId="0" fillId="11" borderId="5" xfId="0" applyNumberFormat="1" applyFill="1" applyBorder="1" applyAlignment="1">
      <alignment horizontal="right" vertical="center" indent="2"/>
    </xf>
    <xf numFmtId="166" fontId="0" fillId="13" borderId="17" xfId="0" applyNumberFormat="1" applyFill="1" applyBorder="1" applyAlignment="1">
      <alignment horizontal="right" vertical="center"/>
    </xf>
    <xf numFmtId="166" fontId="0" fillId="13" borderId="13" xfId="0" applyNumberFormat="1" applyFill="1" applyBorder="1" applyAlignment="1">
      <alignment horizontal="right" vertical="center"/>
    </xf>
    <xf numFmtId="166" fontId="0" fillId="11" borderId="18" xfId="0" applyNumberFormat="1" applyFill="1" applyBorder="1" applyAlignment="1">
      <alignment horizontal="right" vertical="center"/>
    </xf>
    <xf numFmtId="166" fontId="0" fillId="11" borderId="20" xfId="0" applyNumberFormat="1" applyFill="1" applyBorder="1" applyAlignment="1">
      <alignment vertical="center"/>
    </xf>
    <xf numFmtId="166" fontId="0" fillId="11" borderId="21" xfId="0" applyNumberFormat="1" applyFill="1" applyBorder="1" applyAlignment="1">
      <alignment vertical="center"/>
    </xf>
    <xf numFmtId="166" fontId="13" fillId="11" borderId="20" xfId="0" applyNumberFormat="1" applyFont="1" applyFill="1" applyBorder="1" applyAlignment="1">
      <alignment vertical="center"/>
    </xf>
    <xf numFmtId="166" fontId="25" fillId="11" borderId="2" xfId="0" applyNumberFormat="1" applyFont="1" applyFill="1" applyBorder="1" applyAlignment="1">
      <alignment horizontal="right"/>
    </xf>
    <xf numFmtId="166" fontId="25" fillId="11" borderId="8" xfId="0" applyNumberFormat="1" applyFont="1" applyFill="1" applyBorder="1" applyAlignment="1">
      <alignment horizontal="right"/>
    </xf>
    <xf numFmtId="166" fontId="0" fillId="11" borderId="19" xfId="0" applyNumberFormat="1" applyFill="1" applyBorder="1" applyAlignment="1">
      <alignment vertical="center"/>
    </xf>
    <xf numFmtId="166" fontId="0" fillId="11" borderId="20" xfId="0" applyNumberFormat="1" applyFill="1" applyBorder="1" applyAlignment="1">
      <alignment horizontal="right" vertical="center"/>
    </xf>
    <xf numFmtId="166" fontId="0" fillId="11" borderId="21" xfId="0" applyNumberFormat="1" applyFill="1" applyBorder="1" applyAlignment="1">
      <alignment horizontal="right" vertical="center"/>
    </xf>
    <xf numFmtId="166" fontId="24" fillId="11" borderId="20" xfId="0" applyNumberFormat="1" applyFont="1" applyFill="1" applyBorder="1" applyAlignment="1">
      <alignment horizontal="right" vertical="center"/>
    </xf>
    <xf numFmtId="166" fontId="14" fillId="11" borderId="31" xfId="0" applyNumberFormat="1" applyFont="1" applyFill="1" applyBorder="1" applyAlignment="1">
      <alignment horizontal="right"/>
    </xf>
    <xf numFmtId="166" fontId="14" fillId="11" borderId="2" xfId="0" applyNumberFormat="1" applyFont="1" applyFill="1" applyBorder="1" applyAlignment="1">
      <alignment horizontal="right"/>
    </xf>
    <xf numFmtId="166" fontId="14" fillId="11" borderId="6" xfId="0" applyNumberFormat="1" applyFont="1" applyFill="1" applyBorder="1" applyAlignment="1">
      <alignment horizontal="right"/>
    </xf>
    <xf numFmtId="166" fontId="14" fillId="11" borderId="8" xfId="0" applyNumberFormat="1" applyFont="1" applyFill="1" applyBorder="1" applyAlignment="1">
      <alignment horizontal="right"/>
    </xf>
    <xf numFmtId="166" fontId="14" fillId="11" borderId="5" xfId="0" applyNumberFormat="1" applyFont="1" applyFill="1" applyBorder="1" applyAlignment="1">
      <alignment horizontal="right"/>
    </xf>
    <xf numFmtId="166" fontId="13" fillId="13" borderId="17" xfId="0" applyNumberFormat="1" applyFont="1" applyFill="1" applyBorder="1" applyAlignment="1">
      <alignment horizontal="right" vertical="center"/>
    </xf>
    <xf numFmtId="166" fontId="13" fillId="13" borderId="13" xfId="0" applyNumberFormat="1" applyFont="1" applyFill="1" applyBorder="1" applyAlignment="1">
      <alignment horizontal="right" vertical="center"/>
    </xf>
    <xf numFmtId="166" fontId="13" fillId="11" borderId="18" xfId="0" applyNumberFormat="1" applyFont="1" applyFill="1" applyBorder="1" applyAlignment="1">
      <alignment horizontal="right" vertical="center"/>
    </xf>
    <xf numFmtId="166" fontId="13" fillId="11" borderId="19" xfId="0" applyNumberFormat="1" applyFont="1" applyFill="1" applyBorder="1" applyAlignment="1">
      <alignment horizontal="right" vertical="center"/>
    </xf>
    <xf numFmtId="166" fontId="13" fillId="11" borderId="20" xfId="0" applyNumberFormat="1" applyFont="1" applyFill="1" applyBorder="1" applyAlignment="1">
      <alignment horizontal="right" vertical="center"/>
    </xf>
    <xf numFmtId="166" fontId="13" fillId="11" borderId="21" xfId="0" applyNumberFormat="1" applyFont="1" applyFill="1" applyBorder="1" applyAlignment="1">
      <alignment horizontal="right" vertical="center"/>
    </xf>
    <xf numFmtId="166" fontId="13" fillId="11" borderId="27" xfId="0" applyNumberFormat="1" applyFont="1" applyFill="1" applyBorder="1" applyAlignment="1">
      <alignment horizontal="right" vertical="center"/>
    </xf>
    <xf numFmtId="166" fontId="13" fillId="11" borderId="28" xfId="0" applyNumberFormat="1" applyFont="1" applyFill="1" applyBorder="1" applyAlignment="1">
      <alignment horizontal="right" vertical="center"/>
    </xf>
    <xf numFmtId="166" fontId="13" fillId="11" borderId="29" xfId="0" applyNumberFormat="1" applyFont="1" applyFill="1" applyBorder="1" applyAlignment="1">
      <alignment horizontal="right" vertical="center"/>
    </xf>
    <xf numFmtId="166" fontId="0" fillId="11" borderId="19" xfId="0" applyNumberFormat="1" applyFill="1" applyBorder="1" applyAlignment="1">
      <alignment horizontal="right" vertical="center"/>
    </xf>
    <xf numFmtId="166" fontId="14" fillId="11" borderId="5" xfId="0" applyNumberFormat="1" applyFont="1" applyFill="1" applyBorder="1" applyAlignment="1">
      <alignment horizontal="right" vertical="center"/>
    </xf>
    <xf numFmtId="166" fontId="14" fillId="11" borderId="2" xfId="0" applyNumberFormat="1" applyFont="1" applyFill="1" applyBorder="1" applyAlignment="1">
      <alignment horizontal="right" vertical="center"/>
    </xf>
    <xf numFmtId="0" fontId="0" fillId="10" borderId="0" xfId="0" applyNumberFormat="1" applyAlignment="1">
      <alignment horizontal="right"/>
    </xf>
  </cellXfs>
  <cellStyles count="6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 customBuiltin="1"/>
    <cellStyle name="Vysvetľujúci text" xfId="5" builtinId="53" customBuiltin="1"/>
  </cellStyles>
  <dxfs count="45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numFmt numFmtId="166" formatCode="#,##0.00\ [$EUR];[Red]\-#,##0.00\ [$EUR]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numFmt numFmtId="166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6" formatCode="#,##0.00\ [$EUR];[Red]\-#,##0.00\ [$EUR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PivotStyle="PivotStyleLight16">
    <tableStyle name="Podrobné odhady výdavkov Tabuľka 2" pivot="0" count="7" xr9:uid="{00000000-0011-0000-FFFF-FFFF00000000}">
      <tableStyleElement type="wholeTable" dxfId="454"/>
      <tableStyleElement type="headerRow" dxfId="453"/>
      <tableStyleElement type="totalRow" dxfId="452"/>
      <tableStyleElement type="firstColumn" dxfId="451"/>
      <tableStyleElement type="lastColumn" dxfId="450"/>
      <tableStyleElement type="firstRowStripe" size="9" dxfId="449"/>
      <tableStyleElement type="firstColumnStripe" dxfId="448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Mesačné výdavky</a:t>
            </a:r>
          </a:p>
        </c:rich>
      </c:tx>
      <c:layout>
        <c:manualLayout>
          <c:xMode val="edge"/>
          <c:yMode val="edge"/>
          <c:x val="1.0996591979294411E-2"/>
          <c:y val="8.90320567982460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Plánované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'PLÁNOVANÉ VÝDAVKY'!$C$36:$N$36</c:f>
              <c:numCache>
                <c:formatCode>#\ ##0.00\ [$EUR];[Red]\-#\ ##0.00\ [$EUR]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Skutočné</c:v>
          </c:tx>
          <c:spPr>
            <a:solidFill>
              <a:schemeClr val="accent4">
                <a:alpha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'SKUTOČNÉ VÝDAVKY'!$C$36:$N$36</c:f>
              <c:numCache>
                <c:formatCode>#\ ##0.00\ [$EUR];[Red]\-#\ ##0.00\ [$EUR]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Odchýlka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'ODCHÝLKY VO VÝDAVKOCH'!$C$36:$N$36</c:f>
              <c:numCache>
                <c:formatCode>#\ ##0.00\ [$EUR];[Red]\-#\ ##0.00\ [$EUR]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Mesiac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Výdavky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\ [$EUR];[Red]\-#,##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214661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4.1853475435826903E-2"/>
                <c:y val="0.1131709608276475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591667626513452E-4"/>
          <c:y val="5.3074322488831559E-2"/>
          <c:w val="0.33878368215294763"/>
          <c:h val="3.579789723106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7698573031214"/>
          <c:y val="0.17330539881195353"/>
          <c:w val="0.79968138263906308"/>
          <c:h val="0.718534635133794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'ANALÝZA VÝDAVKOV'!$C$5</c:f>
              <c:strCache>
                <c:ptCount val="1"/>
                <c:pt idx="0">
                  <c:v>Plánované výdavky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'ANALÝZA VÝDAVKOV'!$B$6:$B$9</c:f>
              <c:strCache>
                <c:ptCount val="4"/>
                <c:pt idx="0">
                  <c:v>Náklady na zamestnancov</c:v>
                </c:pt>
                <c:pt idx="1">
                  <c:v>Náklady na kanceláriu</c:v>
                </c:pt>
                <c:pt idx="2">
                  <c:v>Náklady na marketing</c:v>
                </c:pt>
                <c:pt idx="3">
                  <c:v>Školenie/cestovné</c:v>
                </c:pt>
              </c:strCache>
            </c:strRef>
          </c:cat>
          <c:val>
            <c:numRef>
              <c:f>'ANALÝZA VÝDAVKOV'!$C$6:$C$9</c:f>
              <c:numCache>
                <c:formatCode>#\ ##0.00\ [$EUR];[Red]\-#\ ##0.00\ [$EUR]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85-485F-B818-D5944CB69AAB}"/>
            </c:ext>
          </c:extLst>
        </c:ser>
        <c:ser>
          <c:idx val="0"/>
          <c:order val="1"/>
          <c:tx>
            <c:strRef>
              <c:f>'ANALÝZA VÝDAVKOV'!$D$5</c:f>
              <c:strCache>
                <c:ptCount val="1"/>
                <c:pt idx="0">
                  <c:v>Skutočné výdavky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5-485F-B818-D5944CB69AA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5-485F-B818-D5944CB69AA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85-485F-B818-D5944CB69A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85-485F-B818-D5944CB69AAB}"/>
              </c:ext>
            </c:extLst>
          </c:dPt>
          <c:cat>
            <c:strRef>
              <c:f>'ANALÝZA VÝDAVKOV'!$B$6:$B$9</c:f>
              <c:strCache>
                <c:ptCount val="4"/>
                <c:pt idx="0">
                  <c:v>Náklady na zamestnancov</c:v>
                </c:pt>
                <c:pt idx="1">
                  <c:v>Náklady na kanceláriu</c:v>
                </c:pt>
                <c:pt idx="2">
                  <c:v>Náklady na marketing</c:v>
                </c:pt>
                <c:pt idx="3">
                  <c:v>Školenie/cestovné</c:v>
                </c:pt>
              </c:strCache>
            </c:strRef>
          </c:cat>
          <c:val>
            <c:numRef>
              <c:f>'ANALÝZA VÝDAVKOV'!$D$6:$D$9</c:f>
              <c:numCache>
                <c:formatCode>#\ ##0.00\ [$EUR];[Red]\-#\ ##0.00\ [$EUR]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85-485F-B818-D5944CB6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6845712"/>
        <c:axId val="716855552"/>
      </c:barChart>
      <c:valAx>
        <c:axId val="716855552"/>
        <c:scaling>
          <c:orientation val="minMax"/>
          <c:max val="14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EUR];[Red]\-#,##0\ [$EUR]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1684571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0.88923701186841542"/>
                <c:y val="0.9411975226384725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</c:dispUnitsLbl>
        </c:dispUnits>
      </c:valAx>
      <c:catAx>
        <c:axId val="71684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1685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972101080870553E-3"/>
          <c:y val="1.0416663818716148E-2"/>
          <c:w val="0.29634907228550156"/>
          <c:h val="5.5844254198311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4.xml.rels>&#65279;<?xml version="1.0" encoding="utf-8"?><Relationships xmlns="http://schemas.openxmlformats.org/package/2006/relationships"><Relationship Type="http://schemas.openxmlformats.org/officeDocument/2006/relationships/image" Target="/xl/media/image23.png" Id="rId1" /></Relationships>
</file>

<file path=xl/drawings/_rels/drawing43.xml.rels>&#65279;<?xml version="1.0" encoding="utf-8"?><Relationships xmlns="http://schemas.openxmlformats.org/package/2006/relationships"><Relationship Type="http://schemas.openxmlformats.org/officeDocument/2006/relationships/chart" Target="/xl/charts/chart21.xml" Id="rId3" /><Relationship Type="http://schemas.openxmlformats.org/officeDocument/2006/relationships/image" Target="/xl/media/image32.png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Bublina reči: Obdĺžnik 2" descr="Tip: AKO POUŽÍVAŤ TÚTO ŠABLÓNU&#10;Vložte údaje do bielych políčok na pracovných listoch PLÁNOVANÉ VÝDAVKY a SKUTOČNÉ VÝDAVKY a vypočítajú sa za vás VARIANCIE VÝDAVKOV a ANALÝZA VÝDAVKOV. Ak pridáte riadok na jednom hárku, ostatné hárky sa musia zhodovať.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5629454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sk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AKO POUŽÍVAŤ TÚTO ŠABLÓNU</a:t>
          </a:r>
        </a:p>
        <a:p>
          <a:pPr rtl="0"/>
          <a:endParaRPr lang="en-US">
            <a:solidFill>
              <a:schemeClr val="tx2"/>
            </a:solidFill>
            <a:effectLst/>
          </a:endParaRPr>
        </a:p>
        <a:p>
          <a:pPr rtl="0"/>
          <a:r>
            <a:rPr lang="sk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Zadajte údaje do bielych buniek v hárkoch PLÁNOVANÉ VÝDAVKY a SKUTOČNÉ VÝDAVKY a ODCHÝLKY VO VÝDAVKOCH a ANALÝZA VÝDAVKOV sa vypočítajú automaticky.  Ak do niektorého hárka pridáte riadok, </a:t>
          </a:r>
          <a:r>
            <a:rPr lang="sk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treba príslušne prispôsobiť aj ostatné hárky.</a:t>
          </a:r>
          <a:endParaRPr lang="en-US" sz="1100">
            <a:solidFill>
              <a:schemeClr val="tx2"/>
            </a:solidFill>
          </a:endParaRPr>
        </a:p>
      </xdr:txBody>
    </xdr:sp>
    <xdr:clientData fPrintsWithSheet="0"/>
  </xdr:twoCellAnchor>
  <xdr:twoCellAnchor editAs="oneCell">
    <xdr:from>
      <xdr:col>13</xdr:col>
      <xdr:colOff>1020031</xdr:colOff>
      <xdr:row>1</xdr:row>
      <xdr:rowOff>2117</xdr:rowOff>
    </xdr:from>
    <xdr:to>
      <xdr:col>15</xdr:col>
      <xdr:colOff>41497</xdr:colOff>
      <xdr:row>2</xdr:row>
      <xdr:rowOff>139243</xdr:rowOff>
    </xdr:to>
    <xdr:pic>
      <xdr:nvPicPr>
        <xdr:cNvPr id="9" name="Obrázok 18" descr="Zástupné miesto na logo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965131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962881</xdr:colOff>
      <xdr:row>1</xdr:row>
      <xdr:rowOff>2117</xdr:rowOff>
    </xdr:from>
    <xdr:to>
      <xdr:col>14</xdr:col>
      <xdr:colOff>1270222</xdr:colOff>
      <xdr:row>2</xdr:row>
      <xdr:rowOff>139243</xdr:rowOff>
    </xdr:to>
    <xdr:pic>
      <xdr:nvPicPr>
        <xdr:cNvPr id="6" name="Obrázok 18" descr="Zástupné miesto na logo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907981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984436</xdr:colOff>
      <xdr:row>1</xdr:row>
      <xdr:rowOff>0</xdr:rowOff>
    </xdr:from>
    <xdr:to>
      <xdr:col>14</xdr:col>
      <xdr:colOff>1274211</xdr:colOff>
      <xdr:row>2</xdr:row>
      <xdr:rowOff>129496</xdr:rowOff>
    </xdr:to>
    <xdr:pic>
      <xdr:nvPicPr>
        <xdr:cNvPr id="6" name="Obrázok 18" descr="Zástupné miesto na logo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929536" y="304800"/>
          <a:ext cx="1613750" cy="70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200025</xdr:rowOff>
    </xdr:from>
    <xdr:to>
      <xdr:col>5</xdr:col>
      <xdr:colOff>2190750</xdr:colOff>
      <xdr:row>38</xdr:row>
      <xdr:rowOff>21653</xdr:rowOff>
    </xdr:to>
    <xdr:graphicFrame macro="">
      <xdr:nvGraphicFramePr>
        <xdr:cNvPr id="8" name="GrafMesačnýchVýdavkov" descr="Graf zobrazujúci plánované a skutočné mesačné výdavky a odchýlku v mesačných výdavkoch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1000125</xdr:colOff>
      <xdr:row>1</xdr:row>
      <xdr:rowOff>1635</xdr:rowOff>
    </xdr:from>
    <xdr:to>
      <xdr:col>6</xdr:col>
      <xdr:colOff>40640</xdr:colOff>
      <xdr:row>1</xdr:row>
      <xdr:rowOff>548896</xdr:rowOff>
    </xdr:to>
    <xdr:pic>
      <xdr:nvPicPr>
        <xdr:cNvPr id="9" name="Obrázok 18" descr="Zástupné miesto na logo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15275" y="306435"/>
          <a:ext cx="1259840" cy="547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314324</xdr:colOff>
      <xdr:row>11</xdr:row>
      <xdr:rowOff>0</xdr:rowOff>
    </xdr:from>
    <xdr:to>
      <xdr:col>5</xdr:col>
      <xdr:colOff>2162175</xdr:colOff>
      <xdr:row>11</xdr:row>
      <xdr:rowOff>3657601</xdr:rowOff>
    </xdr:to>
    <xdr:graphicFrame macro="">
      <xdr:nvGraphicFramePr>
        <xdr:cNvPr id="7" name="GrafSkutočnýchVýdavkov" descr="Koláčový graf zobrazujúci skutočné vzniknuté výdavky v rôznych kategóriách.">
          <a:extLst>
            <a:ext uri="{FF2B5EF4-FFF2-40B4-BE49-F238E27FC236}">
              <a16:creationId xmlns:a16="http://schemas.microsoft.com/office/drawing/2014/main" id="{FE109E8A-EB22-46B1-850C-BFD738E25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Celkove_skutocne_naklady" displayName="Celkove_skutocne_vydavky" ref="B35:O37" totalsRowShown="0" headerRowDxfId="281" dataDxfId="280" tableBorderDxfId="279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CELKOVÉ plánované výdavky" dataDxfId="278"/>
    <tableColumn id="2" xr3:uid="{ED08B701-BD0B-43EA-B6B5-8B23D583D505}" name="Jan" dataDxfId="77">
      <calculatedColumnFormula>SUM($C35:C$36)</calculatedColumnFormula>
    </tableColumn>
    <tableColumn id="3" xr3:uid="{953C450B-5235-4234-924F-53796609C439}" name="Feb" dataDxfId="76">
      <calculatedColumnFormula>SUM($C35:D$36)</calculatedColumnFormula>
    </tableColumn>
    <tableColumn id="4" xr3:uid="{A434CE91-3696-411F-8418-02228D13F12E}" name="Mar" dataDxfId="75">
      <calculatedColumnFormula>SUM($C35:E$36)</calculatedColumnFormula>
    </tableColumn>
    <tableColumn id="5" xr3:uid="{1E74C645-B91F-4CDB-9F55-6FEC8EAB0A64}" name="Apr" dataDxfId="74">
      <calculatedColumnFormula>SUM($C35:F$36)</calculatedColumnFormula>
    </tableColumn>
    <tableColumn id="6" xr3:uid="{A3B698F1-9EF3-489A-A70E-8E760D6B713B}" name="Máj" dataDxfId="73">
      <calculatedColumnFormula>SUM($C35:G$36)</calculatedColumnFormula>
    </tableColumn>
    <tableColumn id="7" xr3:uid="{6CEDC80B-5635-47E7-AA54-EBD827095F7C}" name="Jún" dataDxfId="72">
      <calculatedColumnFormula>SUM($C35:H$36)</calculatedColumnFormula>
    </tableColumn>
    <tableColumn id="8" xr3:uid="{A73C88FE-0ABF-4134-B6B0-043ECC9295D4}" name="Júl" dataDxfId="71">
      <calculatedColumnFormula>SUM($C35:I$36)</calculatedColumnFormula>
    </tableColumn>
    <tableColumn id="9" xr3:uid="{62119987-B16F-44A1-B80E-29460A9513CD}" name="Aug" dataDxfId="70">
      <calculatedColumnFormula>SUM($C35:J$36)</calculatedColumnFormula>
    </tableColumn>
    <tableColumn id="10" xr3:uid="{C84A40CE-DC4A-442E-883F-891CA5A9A166}" name="Sep" dataDxfId="69">
      <calculatedColumnFormula>SUM($C35:K$36)</calculatedColumnFormula>
    </tableColumn>
    <tableColumn id="11" xr3:uid="{4DB975F1-C294-416D-81FB-A8070CC2C3BC}" name="Okt" dataDxfId="68">
      <calculatedColumnFormula>SUM($C35:L$36)</calculatedColumnFormula>
    </tableColumn>
    <tableColumn id="12" xr3:uid="{BC57DA11-9B5C-452D-8026-EF863D07E32E}" name="Nov" dataDxfId="67">
      <calculatedColumnFormula>SUM($C35:M$36)</calculatedColumnFormula>
    </tableColumn>
    <tableColumn id="13" xr3:uid="{904E02FB-FEA8-49B0-ABA0-9B659A7720D8}" name="Dec" dataDxfId="66">
      <calculatedColumnFormula>SUM($C35:N$36)</calculatedColumnFormula>
    </tableColumn>
    <tableColumn id="14" xr3:uid="{8C10E0BB-4735-4718-9538-C4AFB616D92A}" name="Rok" dataDxfId="65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V tejto tabuľke sa automaticky vypočítajú mesačné a celkové skutočné výdavky."/>
    </ext>
  </extLst>
</table>
</file>

<file path=xl/tables/table1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Odchylky_v_nakladoch" displayName="Odchylky_v_nakladoch" ref="B5:O8" totalsRowCount="1" headerRowDxfId="272" totalsRowDxfId="269" headerRowBorderDxfId="271" tableBorderDxfId="270" totalsRowBorderDxfId="268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Náklady na zamestnancov" totalsRowLabel="Medzisúčet" dataDxfId="267" totalsRowDxfId="266"/>
    <tableColumn id="2" xr3:uid="{00000000-0010-0000-0800-000002000000}" name="Jan" totalsRowFunction="sum" dataDxfId="194">
      <calculatedColumnFormula>INDEX(Planovane_naklady_na_zamestnancov[],MATCH(INDEX(Odchylky_v_nakladoch[],ROW()-ROW(Odchylky_v_nakladoch[[#Headers],[Jan]]),1),INDEX(Planovane_naklady_na_zamestnancov[],,1),0),MATCH(Odchylky_v_nakladoch[[#Headers],[Jan]],Planovane_naklady_na_zamestnancov[#Headers],0))-INDEX(Skutocne_naklady_na_zamestnancov[],MATCH(INDEX(Odchylky_v_nakladoch[],ROW()-ROW(Odchylky_v_nakladoch[[#Headers],[Jan]]),1),INDEX(Planovane_naklady_na_zamestnancov[],,1),0),MATCH(Odchylky_v_nakladoch[[#Headers],[Jan]],Skutocne_naklady_na_zamestnancov[#Headers],0))</calculatedColumnFormula>
    </tableColumn>
    <tableColumn id="3" xr3:uid="{00000000-0010-0000-0800-000003000000}" name="Feb" totalsRowFunction="sum" dataDxfId="193">
      <calculatedColumnFormula>INDEX(Planovane_naklady_na_zamestnancov[],MATCH(INDEX(Odchylky_v_nakladoch[],ROW()-ROW(Odchylky_v_nakladoch[[#Headers],[Feb]]),1),INDEX(Planovane_naklady_na_zamestnancov[],,1),0),MATCH(Odchylky_v_nakladoch[[#Headers],[Feb]],Planovane_naklady_na_zamestnancov[#Headers],0))-INDEX(Skutocne_naklady_na_zamestnancov[],MATCH(INDEX(Odchylky_v_nakladoch[],ROW()-ROW(Odchylky_v_nakladoch[[#Headers],[Feb]]),1),INDEX(Planovane_naklady_na_zamestnancov[],,1),0),MATCH(Odchylky_v_nakladoch[[#Headers],[Feb]],Skutocne_naklady_na_zamestnancov[#Headers],0))</calculatedColumnFormula>
    </tableColumn>
    <tableColumn id="4" xr3:uid="{00000000-0010-0000-0800-000004000000}" name="Mar" totalsRowFunction="sum" dataDxfId="192">
      <calculatedColumnFormula>INDEX(Planovane_naklady_na_zamestnancov[],MATCH(INDEX(Odchylky_v_nakladoch[],ROW()-ROW(Odchylky_v_nakladoch[[#Headers],[Mar]]),1),INDEX(Planovane_naklady_na_zamestnancov[],,1),0),MATCH(Odchylky_v_nakladoch[[#Headers],[Mar]],Planovane_naklady_na_zamestnancov[#Headers],0))-INDEX(Skutocne_naklady_na_zamestnancov[],MATCH(INDEX(Odchylky_v_nakladoch[],ROW()-ROW(Odchylky_v_nakladoch[[#Headers],[Mar]]),1),INDEX(Planovane_naklady_na_zamestnancov[],,1),0),MATCH(Odchylky_v_nakladoch[[#Headers],[Mar]],Skutocne_naklady_na_zamestnancov[#Headers],0))</calculatedColumnFormula>
    </tableColumn>
    <tableColumn id="5" xr3:uid="{00000000-0010-0000-0800-000005000000}" name="Apr" totalsRowFunction="sum" dataDxfId="191">
      <calculatedColumnFormula>INDEX(Planovane_naklady_na_zamestnancov[],MATCH(INDEX(Odchylky_v_nakladoch[],ROW()-ROW(Odchylky_v_nakladoch[[#Headers],[Apr]]),1),INDEX(Planovane_naklady_na_zamestnancov[],,1),0),MATCH(Odchylky_v_nakladoch[[#Headers],[Apr]],Planovane_naklady_na_zamestnancov[#Headers],0))-INDEX(Skutocne_naklady_na_zamestnancov[],MATCH(INDEX(Odchylky_v_nakladoch[],ROW()-ROW(Odchylky_v_nakladoch[[#Headers],[Apr]]),1),INDEX(Planovane_naklady_na_zamestnancov[],,1),0),MATCH(Odchylky_v_nakladoch[[#Headers],[Apr]],Skutocne_naklady_na_zamestnancov[#Headers],0))</calculatedColumnFormula>
    </tableColumn>
    <tableColumn id="6" xr3:uid="{00000000-0010-0000-0800-000006000000}" name="Máj" totalsRowFunction="sum" dataDxfId="190">
      <calculatedColumnFormula>INDEX(Planovane_naklady_na_zamestnancov[],MATCH(INDEX(Odchylky_v_nakladoch[],ROW()-ROW(Odchylky_v_nakladoch[[#Headers],[Máj]]),1),INDEX(Planovane_naklady_na_zamestnancov[],,1),0),MATCH(Odchylky_v_nakladoch[[#Headers],[Máj]],Planovane_naklady_na_zamestnancov[#Headers],0))-INDEX(Skutocne_naklady_na_zamestnancov[],MATCH(INDEX(Odchylky_v_nakladoch[],ROW()-ROW(Odchylky_v_nakladoch[[#Headers],[Máj]]),1),INDEX(Planovane_naklady_na_zamestnancov[],,1),0),MATCH(Odchylky_v_nakladoch[[#Headers],[Máj]],Skutocne_naklady_na_zamestnancov[#Headers],0))</calculatedColumnFormula>
    </tableColumn>
    <tableColumn id="7" xr3:uid="{00000000-0010-0000-0800-000007000000}" name="Jún" totalsRowFunction="sum" dataDxfId="189">
      <calculatedColumnFormula>INDEX(Planovane_naklady_na_zamestnancov[],MATCH(INDEX(Odchylky_v_nakladoch[],ROW()-ROW(Odchylky_v_nakladoch[[#Headers],[Jún]]),1),INDEX(Planovane_naklady_na_zamestnancov[],,1),0),MATCH(Odchylky_v_nakladoch[[#Headers],[Jún]],Planovane_naklady_na_zamestnancov[#Headers],0))-INDEX(Skutocne_naklady_na_zamestnancov[],MATCH(INDEX(Odchylky_v_nakladoch[],ROW()-ROW(Odchylky_v_nakladoch[[#Headers],[Jún]]),1),INDEX(Planovane_naklady_na_zamestnancov[],,1),0),MATCH(Odchylky_v_nakladoch[[#Headers],[Jún]],Skutocne_naklady_na_zamestnancov[#Headers],0))</calculatedColumnFormula>
    </tableColumn>
    <tableColumn id="8" xr3:uid="{00000000-0010-0000-0800-000008000000}" name="Júl" totalsRowFunction="sum" dataDxfId="188">
      <calculatedColumnFormula>INDEX(Planovane_naklady_na_zamestnancov[],MATCH(INDEX(Odchylky_v_nakladoch[],ROW()-ROW(Odchylky_v_nakladoch[[#Headers],[Júl]]),1),INDEX(Planovane_naklady_na_zamestnancov[],,1),0),MATCH(Odchylky_v_nakladoch[[#Headers],[Júl]],Planovane_naklady_na_zamestnancov[#Headers],0))-INDEX(Skutocne_naklady_na_zamestnancov[],MATCH(INDEX(Odchylky_v_nakladoch[],ROW()-ROW(Odchylky_v_nakladoch[[#Headers],[Júl]]),1),INDEX(Planovane_naklady_na_zamestnancov[],,1),0),MATCH(Odchylky_v_nakladoch[[#Headers],[Júl]],Skutocne_naklady_na_zamestnancov[#Headers],0))</calculatedColumnFormula>
    </tableColumn>
    <tableColumn id="9" xr3:uid="{00000000-0010-0000-0800-000009000000}" name="Aug" totalsRowFunction="sum" dataDxfId="187">
      <calculatedColumnFormula>INDEX(Planovane_naklady_na_zamestnancov[],MATCH(INDEX(Odchylky_v_nakladoch[],ROW()-ROW(Odchylky_v_nakladoch[[#Headers],[Aug]]),1),INDEX(Planovane_naklady_na_zamestnancov[],,1),0),MATCH(Odchylky_v_nakladoch[[#Headers],[Aug]],Planovane_naklady_na_zamestnancov[#Headers],0))-INDEX(Skutocne_naklady_na_zamestnancov[],MATCH(INDEX(Odchylky_v_nakladoch[],ROW()-ROW(Odchylky_v_nakladoch[[#Headers],[Aug]]),1),INDEX(Planovane_naklady_na_zamestnancov[],,1),0),MATCH(Odchylky_v_nakladoch[[#Headers],[Aug]],Skutocne_naklady_na_zamestnancov[#Headers],0))</calculatedColumnFormula>
    </tableColumn>
    <tableColumn id="10" xr3:uid="{00000000-0010-0000-0800-00000A000000}" name="Sep" totalsRowFunction="sum" dataDxfId="186">
      <calculatedColumnFormula>INDEX(Planovane_naklady_na_zamestnancov[],MATCH(INDEX(Odchylky_v_nakladoch[],ROW()-ROW(Odchylky_v_nakladoch[[#Headers],[Sep]]),1),INDEX(Planovane_naklady_na_zamestnancov[],,1),0),MATCH(Odchylky_v_nakladoch[[#Headers],[Sep]],Planovane_naklady_na_zamestnancov[#Headers],0))-INDEX(Skutocne_naklady_na_zamestnancov[],MATCH(INDEX(Odchylky_v_nakladoch[],ROW()-ROW(Odchylky_v_nakladoch[[#Headers],[Sep]]),1),INDEX(Planovane_naklady_na_zamestnancov[],,1),0),MATCH(Odchylky_v_nakladoch[[#Headers],[Sep]],Skutocne_naklady_na_zamestnancov[#Headers],0))</calculatedColumnFormula>
    </tableColumn>
    <tableColumn id="11" xr3:uid="{00000000-0010-0000-0800-00000B000000}" name="Okt" totalsRowFunction="sum" dataDxfId="185">
      <calculatedColumnFormula>INDEX(Planovane_naklady_na_zamestnancov[],MATCH(INDEX(Odchylky_v_nakladoch[],ROW()-ROW(Odchylky_v_nakladoch[[#Headers],[Okt]]),1),INDEX(Planovane_naklady_na_zamestnancov[],,1),0),MATCH(Odchylky_v_nakladoch[[#Headers],[Okt]],Planovane_naklady_na_zamestnancov[#Headers],0))-INDEX(Skutocne_naklady_na_zamestnancov[],MATCH(INDEX(Odchylky_v_nakladoch[],ROW()-ROW(Odchylky_v_nakladoch[[#Headers],[Okt]]),1),INDEX(Planovane_naklady_na_zamestnancov[],,1),0),MATCH(Odchylky_v_nakladoch[[#Headers],[Okt]],Skutocne_naklady_na_zamestnancov[#Headers],0))</calculatedColumnFormula>
    </tableColumn>
    <tableColumn id="12" xr3:uid="{00000000-0010-0000-0800-00000C000000}" name="Nov" totalsRowFunction="sum" dataDxfId="184">
      <calculatedColumnFormula>INDEX(Planovane_naklady_na_zamestnancov[],MATCH(INDEX(Odchylky_v_nakladoch[],ROW()-ROW(Odchylky_v_nakladoch[[#Headers],[Nov]]),1),INDEX(Planovane_naklady_na_zamestnancov[],,1),0),MATCH(Odchylky_v_nakladoch[[#Headers],[Nov]],Planovane_naklady_na_zamestnancov[#Headers],0))-INDEX(Skutocne_naklady_na_zamestnancov[],MATCH(INDEX(Odchylky_v_nakladoch[],ROW()-ROW(Odchylky_v_nakladoch[[#Headers],[Nov]]),1),INDEX(Planovane_naklady_na_zamestnancov[],,1),0),MATCH(Odchylky_v_nakladoch[[#Headers],[Nov]],Skutocne_naklady_na_zamestnancov[#Headers],0))</calculatedColumnFormula>
    </tableColumn>
    <tableColumn id="13" xr3:uid="{00000000-0010-0000-0800-00000D000000}" name="Dec" totalsRowFunction="sum" dataDxfId="183">
      <calculatedColumnFormula>INDEX(Planovane_naklady_na_zamestnancov[],MATCH(INDEX(Odchylky_v_nakladoch[],ROW()-ROW(Odchylky_v_nakladoch[[#Headers],[Dec]]),1),INDEX(Planovane_naklady_na_zamestnancov[],,1),0),MATCH(Odchylky_v_nakladoch[[#Headers],[Dec]],Planovane_naklady_na_zamestnancov[#Headers],0))-INDEX(Skutocne_naklady_na_zamestnancov[],MATCH(INDEX(Odchylky_v_nakladoch[],ROW()-ROW(Odchylky_v_nakladoch[[#Headers],[Dec]]),1),INDEX(Planovane_naklady_na_zamestnancov[],,1),0),MATCH(Odchylky_v_nakladoch[[#Headers],[Dec]],Skutocne_naklady_na_zamestnancov[#Headers],0))</calculatedColumnFormula>
    </tableColumn>
    <tableColumn id="14" xr3:uid="{00000000-0010-0000-0800-00000E000000}" name="ROK" totalsRowFunction="sum" dataDxfId="182">
      <calculatedColumnFormula>SUM(Odchylky_v_nakladoch[[#This Row],[Jan]:[Dec]])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V tejto tabuľke sa automaticky vypočítajú odchýlky v nákladoch na zamestnancov za jednotlivé mesiace."/>
    </ext>
  </extLst>
</table>
</file>

<file path=xl/tables/table1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dchylky_v_nakladoch_na_kancelariu" displayName="Odchylky_v_nakladoch_na_kancelariu" ref="B10:O19" totalsRowCount="1" headerRowDxfId="265" totalsRowDxfId="262" headerRowBorderDxfId="264" tableBorderDxfId="263" totalsRowBorderDxfId="261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Náklady na kanceláriu" totalsRowLabel="Medzisúčet" dataDxfId="260" totalsRowDxfId="259"/>
    <tableColumn id="2" xr3:uid="{00000000-0010-0000-0900-000002000000}" name="Jan" totalsRowFunction="sum" dataDxfId="181" totalsRowDxfId="258">
      <calculatedColumnFormula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calculatedColumnFormula>
    </tableColumn>
    <tableColumn id="3" xr3:uid="{00000000-0010-0000-0900-000003000000}" name="Feb" totalsRowFunction="sum" dataDxfId="180" totalsRowDxfId="257">
      <calculatedColumnFormula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calculatedColumnFormula>
    </tableColumn>
    <tableColumn id="4" xr3:uid="{00000000-0010-0000-0900-000004000000}" name="Mar" totalsRowFunction="sum" dataDxfId="179" totalsRowDxfId="256">
      <calculatedColumnFormula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calculatedColumnFormula>
    </tableColumn>
    <tableColumn id="5" xr3:uid="{00000000-0010-0000-0900-000005000000}" name="Apr" totalsRowFunction="sum" dataDxfId="178" totalsRowDxfId="255">
      <calculatedColumnFormula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calculatedColumnFormula>
    </tableColumn>
    <tableColumn id="6" xr3:uid="{00000000-0010-0000-0900-000006000000}" name="Máj" totalsRowFunction="sum" dataDxfId="177" totalsRowDxfId="254">
      <calculatedColumnFormula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calculatedColumnFormula>
    </tableColumn>
    <tableColumn id="7" xr3:uid="{00000000-0010-0000-0900-000007000000}" name="Jún" totalsRowFunction="sum" dataDxfId="176" totalsRowDxfId="253">
      <calculatedColumnFormula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calculatedColumnFormula>
    </tableColumn>
    <tableColumn id="8" xr3:uid="{00000000-0010-0000-0900-000008000000}" name="Júl" totalsRowFunction="sum" dataDxfId="175" totalsRowDxfId="252">
      <calculatedColumnFormula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calculatedColumnFormula>
    </tableColumn>
    <tableColumn id="9" xr3:uid="{00000000-0010-0000-0900-000009000000}" name="Aug" totalsRowFunction="sum" dataDxfId="174" totalsRowDxfId="251">
      <calculatedColumnFormula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calculatedColumnFormula>
    </tableColumn>
    <tableColumn id="10" xr3:uid="{00000000-0010-0000-0900-00000A000000}" name="Sep" totalsRowFunction="sum" dataDxfId="173" totalsRowDxfId="250">
      <calculatedColumnFormula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calculatedColumnFormula>
    </tableColumn>
    <tableColumn id="11" xr3:uid="{00000000-0010-0000-0900-00000B000000}" name="Okt" totalsRowFunction="sum" dataDxfId="172" totalsRowDxfId="249">
      <calculatedColumnFormula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calculatedColumnFormula>
    </tableColumn>
    <tableColumn id="12" xr3:uid="{00000000-0010-0000-0900-00000C000000}" name="Nov" totalsRowFunction="sum" dataDxfId="171" totalsRowDxfId="248">
      <calculatedColumnFormula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calculatedColumnFormula>
    </tableColumn>
    <tableColumn id="13" xr3:uid="{00000000-0010-0000-0900-00000D000000}" name="Dec" totalsRowFunction="sum" dataDxfId="170" totalsRowDxfId="247">
      <calculatedColumnFormula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calculatedColumnFormula>
    </tableColumn>
    <tableColumn id="14" xr3:uid="{00000000-0010-0000-0900-00000E000000}" name="ROK" totalsRowFunction="sum" dataDxfId="169" totalsRowDxfId="246">
      <calculatedColumnFormula>SUM(Odchylky_v_nakladoch_na_kancelariu[[#This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 tejto tabuľke sa automaticky vypočítajú odchýlky v nákladoch na kanceláriu za jednotlivé mesiace."/>
    </ext>
  </extLst>
</table>
</file>

<file path=xl/tables/table1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Odchylky_v_nakladoch_na_marketing" displayName="Odchylky_v_nakladoch_na_marketing" ref="B21:O28" totalsRowCount="1" headerRowDxfId="245" totalsRowDxfId="242" headerRowBorderDxfId="244" tableBorderDxfId="243" totalsRowBorderDxfId="241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Náklady na marketing" totalsRowLabel="Medzisúčet" dataDxfId="240" totalsRowDxfId="239"/>
    <tableColumn id="2" xr3:uid="{00000000-0010-0000-0A00-000002000000}" name="Jan" totalsRowFunction="sum" dataDxfId="168" totalsRowDxfId="238">
      <calculatedColumnFormula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calculatedColumnFormula>
    </tableColumn>
    <tableColumn id="3" xr3:uid="{00000000-0010-0000-0A00-000003000000}" name="Feb" totalsRowFunction="sum" dataDxfId="167" totalsRowDxfId="237">
      <calculatedColumnFormula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calculatedColumnFormula>
    </tableColumn>
    <tableColumn id="4" xr3:uid="{00000000-0010-0000-0A00-000004000000}" name="Mar" totalsRowFunction="sum" dataDxfId="166" totalsRowDxfId="236">
      <calculatedColumnFormula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calculatedColumnFormula>
    </tableColumn>
    <tableColumn id="5" xr3:uid="{00000000-0010-0000-0A00-000005000000}" name="Apr" totalsRowFunction="sum" dataDxfId="165" totalsRowDxfId="235">
      <calculatedColumnFormula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calculatedColumnFormula>
    </tableColumn>
    <tableColumn id="6" xr3:uid="{00000000-0010-0000-0A00-000006000000}" name="Máj" totalsRowFunction="sum" dataDxfId="164" totalsRowDxfId="234">
      <calculatedColumnFormula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calculatedColumnFormula>
    </tableColumn>
    <tableColumn id="7" xr3:uid="{00000000-0010-0000-0A00-000007000000}" name="Jún" totalsRowFunction="sum" dataDxfId="163" totalsRowDxfId="233">
      <calculatedColumnFormula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calculatedColumnFormula>
    </tableColumn>
    <tableColumn id="8" xr3:uid="{00000000-0010-0000-0A00-000008000000}" name="Júl" totalsRowFunction="sum" dataDxfId="162" totalsRowDxfId="232">
      <calculatedColumnFormula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calculatedColumnFormula>
    </tableColumn>
    <tableColumn id="9" xr3:uid="{00000000-0010-0000-0A00-000009000000}" name="Aug" totalsRowFunction="sum" dataDxfId="161" totalsRowDxfId="231">
      <calculatedColumnFormula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calculatedColumnFormula>
    </tableColumn>
    <tableColumn id="10" xr3:uid="{00000000-0010-0000-0A00-00000A000000}" name="Sep" totalsRowFunction="sum" dataDxfId="160" totalsRowDxfId="230">
      <calculatedColumnFormula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calculatedColumnFormula>
    </tableColumn>
    <tableColumn id="11" xr3:uid="{00000000-0010-0000-0A00-00000B000000}" name="Okt" totalsRowFunction="sum" dataDxfId="159" totalsRowDxfId="229">
      <calculatedColumnFormula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calculatedColumnFormula>
    </tableColumn>
    <tableColumn id="12" xr3:uid="{00000000-0010-0000-0A00-00000C000000}" name="Nov" totalsRowFunction="sum" dataDxfId="158" totalsRowDxfId="228">
      <calculatedColumnFormula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calculatedColumnFormula>
    </tableColumn>
    <tableColumn id="13" xr3:uid="{00000000-0010-0000-0A00-00000D000000}" name="Dec" totalsRowFunction="sum" dataDxfId="157" totalsRowDxfId="227">
      <calculatedColumnFormula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calculatedColumnFormula>
    </tableColumn>
    <tableColumn id="14" xr3:uid="{00000000-0010-0000-0A00-00000E000000}" name="ROK" totalsRowFunction="sum" dataDxfId="156" totalsRowDxfId="226">
      <calculatedColumnFormula>SUM(Odchylky_v_nakladoch_na_marketing[[#This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 tejto tabuľke sa automaticky vypočítajú odchýlky v nákladoch na marketing za jednotlivé mesiace."/>
    </ext>
  </extLst>
</table>
</file>

<file path=xl/tables/table1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Odchylky_v_nakladoch_na_skolenie_a_cestovne" displayName="Odchylky_v_nakladoch_na_skolenie_a_cestovne" ref="B30:O33" totalsRowCount="1" headerRowDxfId="225" totalsRowDxfId="222" headerRowBorderDxfId="224" tableBorderDxfId="223" totalsRowBorderDxfId="221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Školenie/cestovné" totalsRowLabel="Medzisúčet" dataDxfId="220" totalsRowDxfId="219"/>
    <tableColumn id="2" xr3:uid="{00000000-0010-0000-0B00-000002000000}" name="Jan" totalsRowFunction="sum" dataDxfId="155" totalsRowDxfId="218">
      <calculatedColumnFormula>INDEX(Planova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Planovane_naklady_na_skolenia_a_cestovanie[#Headers],0))-INDEX(Skutoc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Skutocne_naklady_na_skolenia_a_cestovanie[#Headers],0))</calculatedColumnFormula>
    </tableColumn>
    <tableColumn id="3" xr3:uid="{00000000-0010-0000-0B00-000003000000}" name="Feb" totalsRowFunction="sum" dataDxfId="154" totalsRowDxfId="217">
      <calculatedColumnFormula>INDEX(Planova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Planovane_naklady_na_skolenia_a_cestovanie[#Headers],0))-INDEX(Skutoc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Skutocne_naklady_na_skolenia_a_cestovanie[#Headers],0))</calculatedColumnFormula>
    </tableColumn>
    <tableColumn id="4" xr3:uid="{00000000-0010-0000-0B00-000004000000}" name="Mar" totalsRowFunction="sum" dataDxfId="153" totalsRowDxfId="216">
      <calculatedColumnFormula>INDEX(Planova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Planovane_naklady_na_skolenia_a_cestovanie[#Headers],0))-INDEX(Skutoc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Skutocne_naklady_na_skolenia_a_cestovanie[#Headers],0))</calculatedColumnFormula>
    </tableColumn>
    <tableColumn id="5" xr3:uid="{00000000-0010-0000-0B00-000005000000}" name="Apr" totalsRowFunction="sum" dataDxfId="152" totalsRowDxfId="215">
      <calculatedColumnFormula>INDEX(Planova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Planovane_naklady_na_skolenia_a_cestovanie[#Headers],0))-INDEX(Skutoc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Skutocne_naklady_na_skolenia_a_cestovanie[#Headers],0))</calculatedColumnFormula>
    </tableColumn>
    <tableColumn id="6" xr3:uid="{00000000-0010-0000-0B00-000006000000}" name="Máj" totalsRowFunction="sum" dataDxfId="151" totalsRowDxfId="214">
      <calculatedColumnFormula>INDEX(Planova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Planovane_naklady_na_skolenia_a_cestovanie[#Headers],0))-INDEX(Skutoc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Skutocne_naklady_na_skolenia_a_cestovanie[#Headers],0))</calculatedColumnFormula>
    </tableColumn>
    <tableColumn id="7" xr3:uid="{00000000-0010-0000-0B00-000007000000}" name="Jún" totalsRowFunction="sum" dataDxfId="150" totalsRowDxfId="213">
      <calculatedColumnFormula>INDEX(Planova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Planovane_naklady_na_skolenia_a_cestovanie[#Headers],0))-INDEX(Skutoc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Skutocne_naklady_na_skolenia_a_cestovanie[#Headers],0))</calculatedColumnFormula>
    </tableColumn>
    <tableColumn id="8" xr3:uid="{00000000-0010-0000-0B00-000008000000}" name="Júl" totalsRowFunction="sum" dataDxfId="149" totalsRowDxfId="212">
      <calculatedColumnFormula>INDEX(Planova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Planovane_naklady_na_skolenia_a_cestovanie[#Headers],0))-INDEX(Skutoc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Skutocne_naklady_na_skolenia_a_cestovanie[#Headers],0))</calculatedColumnFormula>
    </tableColumn>
    <tableColumn id="9" xr3:uid="{00000000-0010-0000-0B00-000009000000}" name="Aug" totalsRowFunction="sum" dataDxfId="148" totalsRowDxfId="211">
      <calculatedColumnFormula>INDEX(Planova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Planovane_naklady_na_skolenia_a_cestovanie[#Headers],0))-INDEX(Skutoc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Skutocne_naklady_na_skolenia_a_cestovanie[#Headers],0))</calculatedColumnFormula>
    </tableColumn>
    <tableColumn id="10" xr3:uid="{00000000-0010-0000-0B00-00000A000000}" name="Sep" totalsRowFunction="sum" dataDxfId="147" totalsRowDxfId="210">
      <calculatedColumnFormula>INDEX(Planova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Planovane_naklady_na_skolenia_a_cestovanie[#Headers],0))-INDEX(Skutoc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Skutocne_naklady_na_skolenia_a_cestovanie[#Headers],0))</calculatedColumnFormula>
    </tableColumn>
    <tableColumn id="11" xr3:uid="{00000000-0010-0000-0B00-00000B000000}" name="Okt" totalsRowFunction="sum" dataDxfId="146" totalsRowDxfId="209">
      <calculatedColumnFormula>INDEX(Planova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Planovane_naklady_na_skolenia_a_cestovanie[#Headers],0))-INDEX(Skutoc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Skutocne_naklady_na_skolenia_a_cestovanie[#Headers],0))</calculatedColumnFormula>
    </tableColumn>
    <tableColumn id="12" xr3:uid="{00000000-0010-0000-0B00-00000C000000}" name="Nov" totalsRowFunction="sum" dataDxfId="145" totalsRowDxfId="208">
      <calculatedColumnFormula>INDEX(Planova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Planovane_naklady_na_skolenia_a_cestovanie[#Headers],0))-INDEX(Skutoc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Skutocne_naklady_na_skolenia_a_cestovanie[#Headers],0))</calculatedColumnFormula>
    </tableColumn>
    <tableColumn id="13" xr3:uid="{00000000-0010-0000-0B00-00000D000000}" name="Dec" totalsRowFunction="sum" dataDxfId="144" totalsRowDxfId="207">
      <calculatedColumnFormula>INDEX(Planova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Planovane_naklady_na_skolenia_a_cestovanie[#Headers],0))-INDEX(Skutoc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Skutocne_naklady_na_skolenia_a_cestovanie[#Headers],0))</calculatedColumnFormula>
    </tableColumn>
    <tableColumn id="14" xr3:uid="{00000000-0010-0000-0B00-00000E000000}" name="ROK" totalsRowFunction="sum" dataDxfId="143" totalsRowDxfId="206">
      <calculatedColumnFormula>SUM(Odchylky_v_nakladoch_na_skolenie_a_cestovne[[#This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 tejto tabuľke sa automaticky vypočítajú odchýlky v nákladoch na školenie a cestovné za jednotlivé mesiace."/>
    </ext>
  </extLst>
</table>
</file>

<file path=xl/tables/table15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Celkove_odchylky" displayName="Celkove_odchylky" ref="B35:O37" totalsRowShown="0" headerRowDxfId="205" dataDxfId="204" tableBorderDxfId="203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SÚČTY" dataDxfId="202"/>
    <tableColumn id="2" xr3:uid="{AE0C21A5-398B-42DE-950D-8AE4AD1A8551}" name="Jan" dataDxfId="142">
      <calculatedColumnFormula>SUM($C35:C$36)</calculatedColumnFormula>
    </tableColumn>
    <tableColumn id="3" xr3:uid="{A43B0B0E-F35F-4E04-8A0D-11BB7356D5F1}" name="Feb" dataDxfId="141">
      <calculatedColumnFormula>SUM($C35:D$36)</calculatedColumnFormula>
    </tableColumn>
    <tableColumn id="4" xr3:uid="{F14459A4-8E61-4E04-9A53-A7DA16CE366A}" name="Mar" dataDxfId="140">
      <calculatedColumnFormula>SUM($C35:E$36)</calculatedColumnFormula>
    </tableColumn>
    <tableColumn id="5" xr3:uid="{1C90C974-8801-4A11-B3AF-1DC144BB0C14}" name="Apr" dataDxfId="139">
      <calculatedColumnFormula>SUM($C35:F$36)</calculatedColumnFormula>
    </tableColumn>
    <tableColumn id="6" xr3:uid="{C8E3F4F6-5F27-4CC7-9916-6D86833782C1}" name="Máj" dataDxfId="138">
      <calculatedColumnFormula>SUM($C35:G$36)</calculatedColumnFormula>
    </tableColumn>
    <tableColumn id="7" xr3:uid="{AF75D92B-7578-4087-BB78-DD5AD8165117}" name="Jún" dataDxfId="137">
      <calculatedColumnFormula>SUM($C35:H$36)</calculatedColumnFormula>
    </tableColumn>
    <tableColumn id="8" xr3:uid="{35F61ABA-09FB-4695-B0F5-A2C6B6580A2E}" name="Júl" dataDxfId="136">
      <calculatedColumnFormula>SUM($C35:I$36)</calculatedColumnFormula>
    </tableColumn>
    <tableColumn id="9" xr3:uid="{59F62437-45DC-439F-945A-D0E79C444E8E}" name="Aug" dataDxfId="135">
      <calculatedColumnFormula>SUM($C35:J$36)</calculatedColumnFormula>
    </tableColumn>
    <tableColumn id="10" xr3:uid="{2BF9DCC5-B211-44A6-BD40-E91602CDA85C}" name="Sep" dataDxfId="134">
      <calculatedColumnFormula>SUM($C35:K$36)</calculatedColumnFormula>
    </tableColumn>
    <tableColumn id="11" xr3:uid="{4280684A-CD23-4103-8664-029757D0A2A2}" name="Okt" dataDxfId="133">
      <calculatedColumnFormula>SUM($C35:L$36)</calculatedColumnFormula>
    </tableColumn>
    <tableColumn id="12" xr3:uid="{07DED434-EC8F-4DAF-83E3-E350A33F2EAE}" name="Nov" dataDxfId="132">
      <calculatedColumnFormula>SUM($C35:M$36)</calculatedColumnFormula>
    </tableColumn>
    <tableColumn id="13" xr3:uid="{32BA0102-0F05-43CF-91BA-724F1FE01DAA}" name="Dec" dataDxfId="131">
      <calculatedColumnFormula>SUM($C35:N$36)</calculatedColumnFormula>
    </tableColumn>
    <tableColumn id="14" xr3:uid="{57A0D710-AEB8-4057-928D-010058E02081}" name="Rok" dataDxfId="13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 tejto tabuľke sa automaticky vypočítajú mesačné a celkové odchýlky vo výdavkoch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ovane_naklady_na_kancelariu" displayName="Planovane_naklady_na_kancelariu" ref="B10:O19" totalsRowCount="1" headerRowDxfId="447" totalsRowDxfId="444" headerRowBorderDxfId="446" tableBorderDxfId="445" totalsRowBorderDxfId="443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Náklady na kanceláriu" totalsRowLabel="Medzisúčet" dataDxfId="442" totalsRowDxfId="441"/>
    <tableColumn id="2" xr3:uid="{00000000-0010-0000-0000-000002000000}" name="Jan" totalsRowFunction="sum" dataDxfId="64" totalsRowDxfId="440"/>
    <tableColumn id="3" xr3:uid="{00000000-0010-0000-0000-000003000000}" name="Feb" totalsRowFunction="sum" dataDxfId="63" totalsRowDxfId="439"/>
    <tableColumn id="4" xr3:uid="{00000000-0010-0000-0000-000004000000}" name="Mar" totalsRowFunction="sum" dataDxfId="62" totalsRowDxfId="438"/>
    <tableColumn id="5" xr3:uid="{00000000-0010-0000-0000-000005000000}" name="Apr" totalsRowFunction="sum" dataDxfId="61" totalsRowDxfId="437"/>
    <tableColumn id="6" xr3:uid="{00000000-0010-0000-0000-000006000000}" name="Máj" totalsRowFunction="sum" dataDxfId="60" totalsRowDxfId="436"/>
    <tableColumn id="7" xr3:uid="{00000000-0010-0000-0000-000007000000}" name="Jún" totalsRowFunction="sum" dataDxfId="59" totalsRowDxfId="435"/>
    <tableColumn id="8" xr3:uid="{00000000-0010-0000-0000-000008000000}" name="Júl" totalsRowFunction="sum" dataDxfId="58" totalsRowDxfId="434"/>
    <tableColumn id="9" xr3:uid="{00000000-0010-0000-0000-000009000000}" name="Aug" totalsRowFunction="sum" dataDxfId="57" totalsRowDxfId="433"/>
    <tableColumn id="10" xr3:uid="{00000000-0010-0000-0000-00000A000000}" name="Sep" totalsRowFunction="sum" dataDxfId="56" totalsRowDxfId="432"/>
    <tableColumn id="11" xr3:uid="{00000000-0010-0000-0000-00000B000000}" name="Okt" totalsRowFunction="sum" dataDxfId="55" totalsRowDxfId="431"/>
    <tableColumn id="12" xr3:uid="{00000000-0010-0000-0000-00000C000000}" name="Nov" totalsRowFunction="sum" dataDxfId="54" totalsRowDxfId="430"/>
    <tableColumn id="13" xr3:uid="{00000000-0010-0000-0000-00000D000000}" name="Dec" totalsRowFunction="sum" dataDxfId="53" totalsRowDxfId="429"/>
    <tableColumn id="14" xr3:uid="{00000000-0010-0000-0000-00000E000000}" name="ROK" totalsRowFunction="sum" dataDxfId="52" totalsRowDxfId="428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lánované mesačné náklady na kanceláriu. Súčet sa automaticky vypočítava na konci"/>
    </ext>
  </extLst>
</table>
</file>

<file path=xl/tables/table16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Analyza" displayName="Analyza" ref="B5:F10" totalsRowShown="0" dataDxfId="201" tableBorderDxfId="200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Kategória výdavkov" dataDxfId="199"/>
    <tableColumn id="2" xr3:uid="{71038352-BC76-49DD-9F6C-B394E5F033ED}" name="Plánované výdavky" dataDxfId="197"/>
    <tableColumn id="3" xr3:uid="{19ED3EBC-BC10-47F6-9800-62129A32BC8E}" name="Skutočné výdavky" dataDxfId="196"/>
    <tableColumn id="4" xr3:uid="{E8D5E1DD-7CB1-4A1A-8F42-EFBF70790FE7}" name="Odchýlky vo výdavkoch" dataDxfId="195">
      <calculatedColumnFormula>C6-D6</calculatedColumnFormula>
    </tableColumn>
    <tableColumn id="5" xr3:uid="{47E1881E-12A2-4F0E-8364-B79F2DC5D0B1}" name="Percentuálna hodnota odchýlky" dataDxfId="198">
      <calculatedColumnFormula>E6/C6</calculatedColumnFormula>
    </tableColumn>
  </tableColumns>
  <tableStyleInfo showFirstColumn="1" showLastColumn="0" showRowStripes="0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ovane_naklady_na_marketing" displayName="Planovane_naklady_na_marketing" ref="B21:O28" totalsRowCount="1" headerRowDxfId="427" totalsRowDxfId="424" headerRowBorderDxfId="426" tableBorderDxfId="425" totalsRowBorderDxfId="423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Náklady na marketing" totalsRowLabel="Medzisúčet" dataDxfId="422" totalsRowDxfId="421"/>
    <tableColumn id="2" xr3:uid="{00000000-0010-0000-0100-000002000000}" name="Jan" totalsRowFunction="sum" dataDxfId="51" totalsRowDxfId="420"/>
    <tableColumn id="3" xr3:uid="{00000000-0010-0000-0100-000003000000}" name="Feb" totalsRowFunction="sum" dataDxfId="50" totalsRowDxfId="419"/>
    <tableColumn id="4" xr3:uid="{00000000-0010-0000-0100-000004000000}" name="Mar" totalsRowFunction="sum" dataDxfId="49" totalsRowDxfId="418"/>
    <tableColumn id="5" xr3:uid="{00000000-0010-0000-0100-000005000000}" name="Apr" totalsRowFunction="sum" dataDxfId="48" totalsRowDxfId="417"/>
    <tableColumn id="6" xr3:uid="{00000000-0010-0000-0100-000006000000}" name="Máj" totalsRowFunction="sum" dataDxfId="47" totalsRowDxfId="416"/>
    <tableColumn id="7" xr3:uid="{00000000-0010-0000-0100-000007000000}" name="Jún" totalsRowFunction="sum" dataDxfId="46" totalsRowDxfId="415"/>
    <tableColumn id="8" xr3:uid="{00000000-0010-0000-0100-000008000000}" name="Júl" totalsRowFunction="sum" dataDxfId="45" totalsRowDxfId="414"/>
    <tableColumn id="9" xr3:uid="{00000000-0010-0000-0100-000009000000}" name="Aug" totalsRowFunction="sum" dataDxfId="44" totalsRowDxfId="413"/>
    <tableColumn id="10" xr3:uid="{00000000-0010-0000-0100-00000A000000}" name="Sep" totalsRowFunction="sum" dataDxfId="43" totalsRowDxfId="412"/>
    <tableColumn id="11" xr3:uid="{00000000-0010-0000-0100-00000B000000}" name="Okt" totalsRowFunction="sum" dataDxfId="42" totalsRowDxfId="411"/>
    <tableColumn id="12" xr3:uid="{00000000-0010-0000-0100-00000C000000}" name="Nov" totalsRowFunction="sum" dataDxfId="41" totalsRowDxfId="410"/>
    <tableColumn id="13" xr3:uid="{00000000-0010-0000-0100-00000D000000}" name="Dec" totalsRowFunction="sum" dataDxfId="40" totalsRowDxfId="409"/>
    <tableColumn id="14" xr3:uid="{00000000-0010-0000-0100-00000E000000}" name="ROK" totalsRowFunction="sum" dataDxfId="39" totalsRowDxfId="408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lánované mesačné marketingové náklady. Súčet sa automaticky vypočítava na konci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ovane_naklady_na_skolenia_a_cestovanie" displayName="Planovane_naklady_na_skolenia_a_cestovanie" ref="B30:O33" totalsRowCount="1" headerRowDxfId="407" totalsRowDxfId="404" headerRowBorderDxfId="406" tableBorderDxfId="405" totalsRowBorderDxfId="403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Školenie/cestovné" totalsRowLabel="Medzisúčet" dataDxfId="402" totalsRowDxfId="401"/>
    <tableColumn id="2" xr3:uid="{00000000-0010-0000-0200-000002000000}" name="Jan" totalsRowFunction="sum" dataDxfId="38" totalsRowDxfId="400"/>
    <tableColumn id="3" xr3:uid="{00000000-0010-0000-0200-000003000000}" name="Feb" totalsRowFunction="sum" dataDxfId="37" totalsRowDxfId="399"/>
    <tableColumn id="4" xr3:uid="{00000000-0010-0000-0200-000004000000}" name="Mar" totalsRowFunction="sum" dataDxfId="36" totalsRowDxfId="398"/>
    <tableColumn id="5" xr3:uid="{00000000-0010-0000-0200-000005000000}" name="Apr" totalsRowFunction="sum" dataDxfId="35" totalsRowDxfId="397"/>
    <tableColumn id="6" xr3:uid="{00000000-0010-0000-0200-000006000000}" name="Máj" totalsRowFunction="sum" dataDxfId="34" totalsRowDxfId="396"/>
    <tableColumn id="7" xr3:uid="{00000000-0010-0000-0200-000007000000}" name="Jún" totalsRowFunction="sum" dataDxfId="33" totalsRowDxfId="395"/>
    <tableColumn id="8" xr3:uid="{00000000-0010-0000-0200-000008000000}" name="Júl" totalsRowFunction="sum" dataDxfId="32" totalsRowDxfId="394"/>
    <tableColumn id="9" xr3:uid="{00000000-0010-0000-0200-000009000000}" name="Aug" totalsRowFunction="sum" dataDxfId="31" totalsRowDxfId="393"/>
    <tableColumn id="10" xr3:uid="{00000000-0010-0000-0200-00000A000000}" name="Sep" totalsRowFunction="sum" dataDxfId="30" totalsRowDxfId="392"/>
    <tableColumn id="11" xr3:uid="{00000000-0010-0000-0200-00000B000000}" name="Okt" totalsRowFunction="sum" dataDxfId="29" totalsRowDxfId="391"/>
    <tableColumn id="12" xr3:uid="{00000000-0010-0000-0200-00000C000000}" name="Nov" totalsRowFunction="sum" dataDxfId="28" totalsRowDxfId="390"/>
    <tableColumn id="13" xr3:uid="{00000000-0010-0000-0200-00000D000000}" name="Dec" totalsRowFunction="sum" dataDxfId="27" totalsRowDxfId="389"/>
    <tableColumn id="14" xr3:uid="{00000000-0010-0000-0200-00000E000000}" name="ROK" totalsRowFunction="sum" dataDxfId="26" totalsRowDxfId="388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lánované mesačné náklady na školenia a cestovanie. Súčet sa automaticky vypočítava na konci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lanovane_naklady_na_zamestnancov" displayName="Planovane_naklady_na_zamestnancov" ref="B5:O8" totalsRowCount="1" headerRowDxfId="387" totalsRowDxfId="384" headerRowBorderDxfId="386" tableBorderDxfId="385" totalsRowBorderDxfId="383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Náklady na zamestnancov" totalsRowLabel="Medzisúčet" dataDxfId="382" totalsRowDxfId="381"/>
    <tableColumn id="2" xr3:uid="{00000000-0010-0000-0300-000002000000}" name="Jan" totalsRowFunction="sum" dataDxfId="25" totalsRowDxfId="380">
      <calculatedColumnFormula>C5*0.27</calculatedColumnFormula>
    </tableColumn>
    <tableColumn id="3" xr3:uid="{00000000-0010-0000-0300-000003000000}" name="Feb" totalsRowFunction="sum" dataDxfId="24" totalsRowDxfId="379">
      <calculatedColumnFormula>D5*0.27</calculatedColumnFormula>
    </tableColumn>
    <tableColumn id="4" xr3:uid="{00000000-0010-0000-0300-000004000000}" name="Mar" totalsRowFunction="sum" dataDxfId="23" totalsRowDxfId="378">
      <calculatedColumnFormula>E5*0.27</calculatedColumnFormula>
    </tableColumn>
    <tableColumn id="5" xr3:uid="{00000000-0010-0000-0300-000005000000}" name="Apr" totalsRowFunction="sum" dataDxfId="22" totalsRowDxfId="377">
      <calculatedColumnFormula>F5*0.27</calculatedColumnFormula>
    </tableColumn>
    <tableColumn id="6" xr3:uid="{00000000-0010-0000-0300-000006000000}" name="Máj" totalsRowFunction="sum" dataDxfId="21" totalsRowDxfId="376">
      <calculatedColumnFormula>G5*0.27</calculatedColumnFormula>
    </tableColumn>
    <tableColumn id="7" xr3:uid="{00000000-0010-0000-0300-000007000000}" name="Jún" totalsRowFunction="sum" dataDxfId="20" totalsRowDxfId="375">
      <calculatedColumnFormula>H5*0.27</calculatedColumnFormula>
    </tableColumn>
    <tableColumn id="8" xr3:uid="{00000000-0010-0000-0300-000008000000}" name="Júl" totalsRowFunction="sum" dataDxfId="19" totalsRowDxfId="374">
      <calculatedColumnFormula>I5*0.27</calculatedColumnFormula>
    </tableColumn>
    <tableColumn id="9" xr3:uid="{00000000-0010-0000-0300-000009000000}" name="Aug" totalsRowFunction="sum" dataDxfId="18" totalsRowDxfId="373">
      <calculatedColumnFormula>J5*0.27</calculatedColumnFormula>
    </tableColumn>
    <tableColumn id="10" xr3:uid="{00000000-0010-0000-0300-00000A000000}" name="Sep" totalsRowFunction="sum" dataDxfId="17" totalsRowDxfId="372">
      <calculatedColumnFormula>K5*0.27</calculatedColumnFormula>
    </tableColumn>
    <tableColumn id="11" xr3:uid="{00000000-0010-0000-0300-00000B000000}" name="Okt" totalsRowFunction="sum" dataDxfId="16" totalsRowDxfId="371">
      <calculatedColumnFormula>L5*0.27</calculatedColumnFormula>
    </tableColumn>
    <tableColumn id="12" xr3:uid="{00000000-0010-0000-0300-00000C000000}" name="Nov" totalsRowFunction="sum" dataDxfId="15" totalsRowDxfId="370">
      <calculatedColumnFormula>M5*0.27</calculatedColumnFormula>
    </tableColumn>
    <tableColumn id="13" xr3:uid="{00000000-0010-0000-0300-00000D000000}" name="Dec" totalsRowFunction="sum" dataDxfId="14" totalsRowDxfId="369">
      <calculatedColumnFormula>N5*0.27</calculatedColumnFormula>
    </tableColumn>
    <tableColumn id="14" xr3:uid="{00000000-0010-0000-0300-00000E000000}" name="ROK" totalsRowFunction="sum" dataDxfId="13" totalsRowDxfId="368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Do tejto tabuľky zadajte plánované mesačné náklady na zamestnancov. Súčet sa automaticky vypočítava na konci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Celkove_planovane_naklady" displayName="Celkove_planovane_vydavky" ref="B35:O37" totalsRowShown="0" headerRowDxfId="367" dataDxfId="365" headerRowBorderDxfId="366" tableBorderDxfId="364" totalsRowBorderDxfId="363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SÚČTY" dataDxfId="362"/>
    <tableColumn id="2" xr3:uid="{3CBCAAC6-5850-43CE-8A4B-7299FADFEA94}" name="Jan" dataDxfId="12">
      <calculatedColumnFormula>SUM($C35:C$36)</calculatedColumnFormula>
    </tableColumn>
    <tableColumn id="3" xr3:uid="{E78EAAAB-F732-4079-94F1-D17531764B41}" name="Feb" dataDxfId="11">
      <calculatedColumnFormula>SUM($C35:D$36)</calculatedColumnFormula>
    </tableColumn>
    <tableColumn id="4" xr3:uid="{7E178853-B334-4E02-A0B5-9E8AC39D6929}" name="Mar" dataDxfId="10">
      <calculatedColumnFormula>SUM($C35:E$36)</calculatedColumnFormula>
    </tableColumn>
    <tableColumn id="5" xr3:uid="{901BCAA1-7C45-46E6-9DAA-C055B5CC4D9E}" name="Apr" dataDxfId="9">
      <calculatedColumnFormula>SUM($C35:F$36)</calculatedColumnFormula>
    </tableColumn>
    <tableColumn id="6" xr3:uid="{FDC62F5A-FCA8-49DA-AFE4-FBDA22CB588C}" name="Máj" dataDxfId="8">
      <calculatedColumnFormula>SUM($C35:G$36)</calculatedColumnFormula>
    </tableColumn>
    <tableColumn id="7" xr3:uid="{6B7E4F62-6387-4545-9593-FCFE8EB0E87B}" name="Jún" dataDxfId="7">
      <calculatedColumnFormula>SUM($C35:H$36)</calculatedColumnFormula>
    </tableColumn>
    <tableColumn id="8" xr3:uid="{29C96D76-82C3-4C86-A866-135D2B5F6766}" name="Júl" dataDxfId="6">
      <calculatedColumnFormula>SUM($C35:I$36)</calculatedColumnFormula>
    </tableColumn>
    <tableColumn id="9" xr3:uid="{8EAF7A8A-BCFD-4A07-ADFE-7B3A8A367BB3}" name="Aug" dataDxfId="5">
      <calculatedColumnFormula>SUM($C35:J$36)</calculatedColumnFormula>
    </tableColumn>
    <tableColumn id="10" xr3:uid="{F40CD844-EFB4-4B82-8FEA-F130D1DDE9B6}" name="Sep" dataDxfId="4">
      <calculatedColumnFormula>SUM($C35:K$36)</calculatedColumnFormula>
    </tableColumn>
    <tableColumn id="11" xr3:uid="{42E3BDAF-1274-4A42-93E1-A70D8EFF4D76}" name="Okt" dataDxfId="3">
      <calculatedColumnFormula>SUM($C35:L$36)</calculatedColumnFormula>
    </tableColumn>
    <tableColumn id="12" xr3:uid="{4F7ADDB3-3705-4D5F-B56D-EBBC8E7DFAFB}" name="Nov" dataDxfId="2">
      <calculatedColumnFormula>SUM($C35:M$36)</calculatedColumnFormula>
    </tableColumn>
    <tableColumn id="13" xr3:uid="{56789314-1137-4ED4-BA2B-969187ADECB2}" name="Dec" dataDxfId="1">
      <calculatedColumnFormula>SUM($C35:N$36)</calculatedColumnFormula>
    </tableColumn>
    <tableColumn id="14" xr3:uid="{284F34B8-8D32-4E44-96FD-25CE69A931D2}" name="Rok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 tejto tabuľke sa automaticky vypočítajú celkové plánované výdavky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Skutocne_naklady_na_kancelariu" displayName="Skutocne_naklady_na_kancelariu" ref="B10:O19" totalsRowCount="1" headerRowDxfId="361" totalsRowDxfId="358" headerRowBorderDxfId="360" tableBorderDxfId="359" totalsRowBorderDxfId="357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Náklady na kanceláriu" totalsRowLabel="Medzisúčet" dataDxfId="356" totalsRowDxfId="355"/>
    <tableColumn id="2" xr3:uid="{00000000-0010-0000-0400-000002000000}" name="Jan" totalsRowFunction="sum" dataDxfId="129" totalsRowDxfId="354"/>
    <tableColumn id="3" xr3:uid="{00000000-0010-0000-0400-000003000000}" name="Feb" totalsRowFunction="sum" dataDxfId="128" totalsRowDxfId="353"/>
    <tableColumn id="4" xr3:uid="{00000000-0010-0000-0400-000004000000}" name="Mar" totalsRowFunction="sum" dataDxfId="127" totalsRowDxfId="352"/>
    <tableColumn id="5" xr3:uid="{00000000-0010-0000-0400-000005000000}" name="Apr" totalsRowFunction="sum" dataDxfId="126" totalsRowDxfId="351"/>
    <tableColumn id="6" xr3:uid="{00000000-0010-0000-0400-000006000000}" name="Máj" totalsRowFunction="sum" dataDxfId="125" totalsRowDxfId="350"/>
    <tableColumn id="7" xr3:uid="{00000000-0010-0000-0400-000007000000}" name="Jún" totalsRowFunction="sum" dataDxfId="124" totalsRowDxfId="349"/>
    <tableColumn id="8" xr3:uid="{00000000-0010-0000-0400-000008000000}" name="Júl" totalsRowFunction="sum" dataDxfId="123" totalsRowDxfId="348"/>
    <tableColumn id="9" xr3:uid="{00000000-0010-0000-0400-000009000000}" name="Aug" totalsRowFunction="sum" dataDxfId="122" totalsRowDxfId="347"/>
    <tableColumn id="10" xr3:uid="{00000000-0010-0000-0400-00000A000000}" name="Sep" totalsRowFunction="sum" dataDxfId="121" totalsRowDxfId="346"/>
    <tableColumn id="11" xr3:uid="{00000000-0010-0000-0400-00000B000000}" name="Okt" totalsRowFunction="sum" dataDxfId="120" totalsRowDxfId="345"/>
    <tableColumn id="12" xr3:uid="{00000000-0010-0000-0400-00000C000000}" name="Nov" totalsRowFunction="sum" dataDxfId="119" totalsRowDxfId="344"/>
    <tableColumn id="13" xr3:uid="{00000000-0010-0000-0400-00000D000000}" name="Dec" totalsRowFunction="sum" dataDxfId="118" totalsRowDxfId="343"/>
    <tableColumn id="14" xr3:uid="{00000000-0010-0000-0400-00000E000000}" name="ROK" totalsRowFunction="sum" dataDxfId="117" totalsRowDxfId="342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skutočné mesačné náklady na kanceláriu. Súčet sa automaticky vypočítava na konci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Skutocne_naklady_na_marketing" displayName="Skutocne_naklady_na_marketing" ref="B21:O28" totalsRowCount="1" headerRowDxfId="341" totalsRowDxfId="338" headerRowBorderDxfId="340" tableBorderDxfId="339" totalsRowBorderDxfId="337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Náklady na marketing" totalsRowLabel="Medzisúčet" dataDxfId="336" totalsRowDxfId="335"/>
    <tableColumn id="2" xr3:uid="{00000000-0010-0000-0500-000002000000}" name="Jan" totalsRowFunction="sum" dataDxfId="116" totalsRowDxfId="334"/>
    <tableColumn id="3" xr3:uid="{00000000-0010-0000-0500-000003000000}" name="Feb" totalsRowFunction="sum" dataDxfId="115" totalsRowDxfId="333"/>
    <tableColumn id="4" xr3:uid="{00000000-0010-0000-0500-000004000000}" name="Mar" totalsRowFunction="sum" dataDxfId="114" totalsRowDxfId="332"/>
    <tableColumn id="5" xr3:uid="{00000000-0010-0000-0500-000005000000}" name="Apr" totalsRowFunction="sum" dataDxfId="113" totalsRowDxfId="331"/>
    <tableColumn id="6" xr3:uid="{00000000-0010-0000-0500-000006000000}" name="Máj" totalsRowFunction="sum" dataDxfId="112" totalsRowDxfId="330"/>
    <tableColumn id="7" xr3:uid="{00000000-0010-0000-0500-000007000000}" name="Jún" totalsRowFunction="sum" dataDxfId="111" totalsRowDxfId="329"/>
    <tableColumn id="8" xr3:uid="{00000000-0010-0000-0500-000008000000}" name="Júl" totalsRowFunction="sum" dataDxfId="110" totalsRowDxfId="328"/>
    <tableColumn id="9" xr3:uid="{00000000-0010-0000-0500-000009000000}" name="Aug" totalsRowFunction="sum" dataDxfId="109" totalsRowDxfId="327"/>
    <tableColumn id="10" xr3:uid="{00000000-0010-0000-0500-00000A000000}" name="Sep" totalsRowFunction="sum" dataDxfId="108" totalsRowDxfId="326"/>
    <tableColumn id="11" xr3:uid="{00000000-0010-0000-0500-00000B000000}" name="Okt" totalsRowFunction="sum" dataDxfId="107" totalsRowDxfId="325"/>
    <tableColumn id="12" xr3:uid="{00000000-0010-0000-0500-00000C000000}" name="Nov" totalsRowFunction="sum" dataDxfId="106" totalsRowDxfId="324"/>
    <tableColumn id="13" xr3:uid="{00000000-0010-0000-0500-00000D000000}" name="Dec" totalsRowFunction="sum" dataDxfId="105" totalsRowDxfId="323"/>
    <tableColumn id="14" xr3:uid="{00000000-0010-0000-0500-00000E000000}" name="ROK" totalsRowFunction="sum" dataDxfId="104" totalsRowDxfId="322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skutočné mesačné marketingové náklady. Súčet sa automaticky vypočítava na konci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kutocne_naklady_na_skolenia_a_cestovanie" displayName="Skutocne_naklady_na_skolenia_a_cestovanie" ref="B30:O33" totalsRowCount="1" headerRowDxfId="321" totalsRowDxfId="318" headerRowBorderDxfId="320" tableBorderDxfId="319" totalsRowBorderDxfId="317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Školenie/cestovné" totalsRowLabel="Medzisúčet" dataDxfId="316" totalsRowDxfId="315"/>
    <tableColumn id="2" xr3:uid="{00000000-0010-0000-0600-000002000000}" name="Jan" totalsRowFunction="sum" dataDxfId="103" totalsRowDxfId="314"/>
    <tableColumn id="3" xr3:uid="{00000000-0010-0000-0600-000003000000}" name="Feb" totalsRowFunction="sum" dataDxfId="102" totalsRowDxfId="313"/>
    <tableColumn id="4" xr3:uid="{00000000-0010-0000-0600-000004000000}" name="Mar" totalsRowFunction="sum" dataDxfId="101" totalsRowDxfId="312"/>
    <tableColumn id="5" xr3:uid="{00000000-0010-0000-0600-000005000000}" name="Apr" totalsRowFunction="sum" dataDxfId="100" totalsRowDxfId="311"/>
    <tableColumn id="6" xr3:uid="{00000000-0010-0000-0600-000006000000}" name="Máj" totalsRowFunction="sum" dataDxfId="99" totalsRowDxfId="310"/>
    <tableColumn id="7" xr3:uid="{00000000-0010-0000-0600-000007000000}" name="Jún" totalsRowFunction="sum" dataDxfId="98" totalsRowDxfId="309"/>
    <tableColumn id="8" xr3:uid="{00000000-0010-0000-0600-000008000000}" name="Júl" totalsRowFunction="sum" dataDxfId="97" totalsRowDxfId="308"/>
    <tableColumn id="9" xr3:uid="{00000000-0010-0000-0600-000009000000}" name="Aug" totalsRowFunction="sum" dataDxfId="96" totalsRowDxfId="307"/>
    <tableColumn id="10" xr3:uid="{00000000-0010-0000-0600-00000A000000}" name="Sep" totalsRowFunction="sum" dataDxfId="95" totalsRowDxfId="306"/>
    <tableColumn id="11" xr3:uid="{00000000-0010-0000-0600-00000B000000}" name="Okt" totalsRowFunction="sum" dataDxfId="94" totalsRowDxfId="305"/>
    <tableColumn id="12" xr3:uid="{00000000-0010-0000-0600-00000C000000}" name="Nov" totalsRowFunction="sum" dataDxfId="93" totalsRowDxfId="304"/>
    <tableColumn id="13" xr3:uid="{00000000-0010-0000-0600-00000D000000}" name="Dec" totalsRowFunction="sum" dataDxfId="92" totalsRowDxfId="303"/>
    <tableColumn id="14" xr3:uid="{00000000-0010-0000-0600-00000E000000}" name="ROK" totalsRowFunction="sum" dataDxfId="91" totalsRowDxfId="302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skutočné mesačné náklady na školenia a cestovanie. Súčet sa automaticky vypočítava na konci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Skutocne_naklady_na_zamestnancov" displayName="Skutocne_naklady_na_zamestnancov" ref="B5:O8" totalsRowCount="1" headerRowDxfId="301" totalsRowDxfId="298" headerRowBorderDxfId="300" tableBorderDxfId="299" totalsRowBorderDxfId="297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Náklady na zamestnancov" totalsRowLabel="Medzisúčet" dataDxfId="296" totalsRowDxfId="295"/>
    <tableColumn id="2" xr3:uid="{00000000-0010-0000-0700-000002000000}" name="Jan" totalsRowFunction="sum" dataDxfId="90" totalsRowDxfId="294">
      <calculatedColumnFormula>C5*0.27</calculatedColumnFormula>
    </tableColumn>
    <tableColumn id="3" xr3:uid="{00000000-0010-0000-0700-000003000000}" name="Feb" totalsRowFunction="sum" dataDxfId="89" totalsRowDxfId="293">
      <calculatedColumnFormula>D5*0.27</calculatedColumnFormula>
    </tableColumn>
    <tableColumn id="4" xr3:uid="{00000000-0010-0000-0700-000004000000}" name="Mar" totalsRowFunction="sum" dataDxfId="88" totalsRowDxfId="292">
      <calculatedColumnFormula>E5*0.27</calculatedColumnFormula>
    </tableColumn>
    <tableColumn id="5" xr3:uid="{00000000-0010-0000-0700-000005000000}" name="Apr" totalsRowFunction="sum" dataDxfId="87" totalsRowDxfId="291">
      <calculatedColumnFormula>F5*0.27</calculatedColumnFormula>
    </tableColumn>
    <tableColumn id="6" xr3:uid="{00000000-0010-0000-0700-000006000000}" name="Máj" totalsRowFunction="sum" dataDxfId="86" totalsRowDxfId="290">
      <calculatedColumnFormula>G5*0.27</calculatedColumnFormula>
    </tableColumn>
    <tableColumn id="7" xr3:uid="{00000000-0010-0000-0700-000007000000}" name="Jún" totalsRowFunction="sum" dataDxfId="85" totalsRowDxfId="289">
      <calculatedColumnFormula>H5*0.27</calculatedColumnFormula>
    </tableColumn>
    <tableColumn id="8" xr3:uid="{00000000-0010-0000-0700-000008000000}" name="Júl" totalsRowFunction="sum" dataDxfId="84" totalsRowDxfId="288"/>
    <tableColumn id="9" xr3:uid="{00000000-0010-0000-0700-000009000000}" name="Aug" totalsRowFunction="sum" dataDxfId="83" totalsRowDxfId="287"/>
    <tableColumn id="10" xr3:uid="{00000000-0010-0000-0700-00000A000000}" name="Sep" totalsRowFunction="sum" dataDxfId="82" totalsRowDxfId="286"/>
    <tableColumn id="11" xr3:uid="{00000000-0010-0000-0700-00000B000000}" name="Okt" totalsRowFunction="sum" dataDxfId="81" totalsRowDxfId="285"/>
    <tableColumn id="12" xr3:uid="{00000000-0010-0000-0700-00000C000000}" name="Nov" totalsRowFunction="sum" dataDxfId="80" totalsRowDxfId="284"/>
    <tableColumn id="13" xr3:uid="{00000000-0010-0000-0700-00000D000000}" name="Dec" totalsRowFunction="sum" dataDxfId="79" totalsRowDxfId="283"/>
    <tableColumn id="14" xr3:uid="{00000000-0010-0000-0700-00000E000000}" name="ROK" totalsRowFunction="sum" dataDxfId="78" totalsRowDxfId="282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skutočné mesačné náklady na zamestnancov. Súčet sa automaticky vypočítava na konci"/>
    </ext>
  </extLst>
</table>
</file>

<file path=xl/theme/theme1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.xml" Id="rId3" /><Relationship Type="http://schemas.openxmlformats.org/officeDocument/2006/relationships/table" Target="/xl/tables/table57.xml" Id="rId7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8.xml" Id="rId6" /><Relationship Type="http://schemas.openxmlformats.org/officeDocument/2006/relationships/table" Target="/xl/tables/table39.xml" Id="rId5" /><Relationship Type="http://schemas.openxmlformats.org/officeDocument/2006/relationships/table" Target="/xl/tables/table210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table" Target="/xl/tables/table102.xml" Id="rId7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93.xml" Id="rId6" /><Relationship Type="http://schemas.openxmlformats.org/officeDocument/2006/relationships/table" Target="/xl/tables/table84.xml" Id="rId5" /><Relationship Type="http://schemas.openxmlformats.org/officeDocument/2006/relationships/table" Target="/xl/tables/table75.xml" Id="rId4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1112.xml" Id="rId3" /><Relationship Type="http://schemas.openxmlformats.org/officeDocument/2006/relationships/table" Target="/xl/tables/table1513.xml" Id="rId7" /><Relationship Type="http://schemas.openxmlformats.org/officeDocument/2006/relationships/drawing" Target="/xl/drawings/drawing34.xml" Id="rId2" /><Relationship Type="http://schemas.openxmlformats.org/officeDocument/2006/relationships/printerSettings" Target="/xl/printerSettings/printerSettings45.bin" Id="rId1" /><Relationship Type="http://schemas.openxmlformats.org/officeDocument/2006/relationships/table" Target="/xl/tables/table1414.xml" Id="rId6" /><Relationship Type="http://schemas.openxmlformats.org/officeDocument/2006/relationships/table" Target="/xl/tables/table1315.xml" Id="rId5" /><Relationship Type="http://schemas.openxmlformats.org/officeDocument/2006/relationships/table" Target="/xl/tables/table1216.xml" Id="rId4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1611.xml" Id="rId3" /><Relationship Type="http://schemas.openxmlformats.org/officeDocument/2006/relationships/drawing" Target="/xl/drawings/drawing43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zoomScaleNormal="100" workbookViewId="0"/>
  </sheetViews>
  <sheetFormatPr defaultRowHeight="12.75" x14ac:dyDescent="0.2"/>
  <cols>
    <col min="1" max="1" width="2.7109375" customWidth="1"/>
    <col min="2" max="2" width="75.42578125" customWidth="1"/>
    <col min="3" max="3" width="2.7109375" customWidth="1"/>
  </cols>
  <sheetData>
    <row r="1" spans="2:2" s="32" customFormat="1" ht="30" customHeight="1" x14ac:dyDescent="0.2">
      <c r="B1" s="33" t="s">
        <v>0</v>
      </c>
    </row>
    <row r="2" spans="2:2" ht="41.25" customHeight="1" x14ac:dyDescent="0.2">
      <c r="B2" s="44" t="s">
        <v>1</v>
      </c>
    </row>
    <row r="3" spans="2:2" ht="30" customHeight="1" x14ac:dyDescent="0.2">
      <c r="B3" s="44" t="s">
        <v>2</v>
      </c>
    </row>
    <row r="4" spans="2:2" ht="47.25" customHeight="1" x14ac:dyDescent="0.2">
      <c r="B4" s="44" t="s">
        <v>3</v>
      </c>
    </row>
    <row r="5" spans="2:2" ht="41.25" customHeight="1" x14ac:dyDescent="0.2">
      <c r="B5" s="44" t="s">
        <v>4</v>
      </c>
    </row>
    <row r="6" spans="2:2" ht="36" customHeight="1" x14ac:dyDescent="0.2">
      <c r="B6" s="46" t="s">
        <v>5</v>
      </c>
    </row>
    <row r="7" spans="2:2" ht="53.25" customHeight="1" x14ac:dyDescent="0.2">
      <c r="B7" s="44" t="s">
        <v>6</v>
      </c>
    </row>
    <row r="8" spans="2:2" ht="40.5" customHeight="1" x14ac:dyDescent="0.25">
      <c r="B8" s="45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/>
  </sheetPr>
  <dimension ref="A1:T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6" style="1" customWidth="1"/>
    <col min="3" max="14" width="19.85546875" style="1" customWidth="1"/>
    <col min="15" max="15" width="19.28515625" style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ht="24" customHeight="1" x14ac:dyDescent="0.3">
      <c r="A1" s="36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20" ht="45" customHeight="1" x14ac:dyDescent="0.35">
      <c r="A2" s="34"/>
      <c r="B2" s="91" t="s">
        <v>8</v>
      </c>
      <c r="C2" s="91"/>
      <c r="D2" s="91"/>
      <c r="E2" s="11"/>
      <c r="F2" s="8"/>
      <c r="G2" s="8"/>
      <c r="H2" s="8"/>
      <c r="I2" s="8"/>
      <c r="J2" s="8"/>
      <c r="K2" s="96" t="s">
        <v>52</v>
      </c>
      <c r="L2" s="96"/>
      <c r="M2" s="96"/>
      <c r="N2" s="88"/>
      <c r="O2" s="88"/>
      <c r="P2" s="7"/>
    </row>
    <row r="3" spans="1:20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97" t="s">
        <v>53</v>
      </c>
      <c r="L3" s="97"/>
      <c r="M3" s="97"/>
      <c r="N3" s="88"/>
      <c r="O3" s="88"/>
      <c r="P3" s="7"/>
    </row>
    <row r="4" spans="1:20" s="13" customFormat="1" ht="49.5" customHeight="1" x14ac:dyDescent="0.3">
      <c r="A4" s="35"/>
      <c r="B4" s="24" t="s">
        <v>9</v>
      </c>
      <c r="C4" s="101" t="s">
        <v>36</v>
      </c>
      <c r="D4" s="101" t="s">
        <v>38</v>
      </c>
      <c r="E4" s="101" t="s">
        <v>40</v>
      </c>
      <c r="F4" s="101" t="s">
        <v>42</v>
      </c>
      <c r="G4" s="101" t="s">
        <v>44</v>
      </c>
      <c r="H4" s="101" t="s">
        <v>46</v>
      </c>
      <c r="I4" s="101" t="s">
        <v>48</v>
      </c>
      <c r="J4" s="101" t="s">
        <v>50</v>
      </c>
      <c r="K4" s="101" t="s">
        <v>54</v>
      </c>
      <c r="L4" s="101" t="s">
        <v>56</v>
      </c>
      <c r="M4" s="101" t="s">
        <v>58</v>
      </c>
      <c r="N4" s="101" t="s">
        <v>60</v>
      </c>
      <c r="O4" s="25" t="s">
        <v>62</v>
      </c>
      <c r="R4" s="94"/>
      <c r="S4" s="95"/>
      <c r="T4" s="95"/>
    </row>
    <row r="5" spans="1:20" ht="24.95" customHeight="1" thickBot="1" x14ac:dyDescent="0.35">
      <c r="A5" s="35"/>
      <c r="B5" s="47" t="s">
        <v>10</v>
      </c>
      <c r="C5" s="66" t="s">
        <v>37</v>
      </c>
      <c r="D5" s="63" t="s">
        <v>39</v>
      </c>
      <c r="E5" s="64" t="s">
        <v>41</v>
      </c>
      <c r="F5" s="63" t="s">
        <v>43</v>
      </c>
      <c r="G5" s="63" t="s">
        <v>45</v>
      </c>
      <c r="H5" s="63" t="s">
        <v>47</v>
      </c>
      <c r="I5" s="63" t="s">
        <v>49</v>
      </c>
      <c r="J5" s="63" t="s">
        <v>51</v>
      </c>
      <c r="K5" s="63" t="s">
        <v>55</v>
      </c>
      <c r="L5" s="63" t="s">
        <v>57</v>
      </c>
      <c r="M5" s="63" t="s">
        <v>59</v>
      </c>
      <c r="N5" s="63" t="s">
        <v>61</v>
      </c>
      <c r="O5" s="65" t="s">
        <v>62</v>
      </c>
      <c r="R5" s="95"/>
      <c r="S5" s="95"/>
      <c r="T5" s="95"/>
    </row>
    <row r="6" spans="1:20" ht="24.95" customHeight="1" thickBot="1" x14ac:dyDescent="0.35">
      <c r="A6" s="35"/>
      <c r="B6" s="48" t="s">
        <v>11</v>
      </c>
      <c r="C6" s="121">
        <v>85000</v>
      </c>
      <c r="D6" s="122">
        <v>85000</v>
      </c>
      <c r="E6" s="122">
        <v>85000</v>
      </c>
      <c r="F6" s="122">
        <v>87500</v>
      </c>
      <c r="G6" s="122">
        <v>87500</v>
      </c>
      <c r="H6" s="122">
        <v>87500</v>
      </c>
      <c r="I6" s="122">
        <v>87500</v>
      </c>
      <c r="J6" s="122">
        <v>92400</v>
      </c>
      <c r="K6" s="122">
        <v>92400</v>
      </c>
      <c r="L6" s="122">
        <v>92400</v>
      </c>
      <c r="M6" s="122">
        <v>92400</v>
      </c>
      <c r="N6" s="122">
        <v>92400</v>
      </c>
      <c r="O6" s="123">
        <f>SUM(C6:N6)</f>
        <v>1067000</v>
      </c>
      <c r="R6" s="95"/>
      <c r="S6" s="95"/>
      <c r="T6" s="95"/>
    </row>
    <row r="7" spans="1:20" ht="24.95" customHeight="1" thickBot="1" x14ac:dyDescent="0.35">
      <c r="A7" s="35"/>
      <c r="B7" s="48" t="s">
        <v>12</v>
      </c>
      <c r="C7" s="121">
        <f t="shared" ref="C7:N7" si="0">C6*0.27</f>
        <v>22950</v>
      </c>
      <c r="D7" s="122">
        <f t="shared" si="0"/>
        <v>22950</v>
      </c>
      <c r="E7" s="122">
        <f t="shared" si="0"/>
        <v>22950</v>
      </c>
      <c r="F7" s="122">
        <f t="shared" si="0"/>
        <v>23625</v>
      </c>
      <c r="G7" s="122">
        <f t="shared" si="0"/>
        <v>23625</v>
      </c>
      <c r="H7" s="122">
        <f t="shared" si="0"/>
        <v>23625</v>
      </c>
      <c r="I7" s="122">
        <f t="shared" si="0"/>
        <v>23625</v>
      </c>
      <c r="J7" s="122">
        <f t="shared" si="0"/>
        <v>24948</v>
      </c>
      <c r="K7" s="122">
        <f t="shared" si="0"/>
        <v>24948</v>
      </c>
      <c r="L7" s="122">
        <f t="shared" si="0"/>
        <v>24948</v>
      </c>
      <c r="M7" s="122">
        <f t="shared" si="0"/>
        <v>24948</v>
      </c>
      <c r="N7" s="122">
        <f t="shared" si="0"/>
        <v>24948</v>
      </c>
      <c r="O7" s="123">
        <f>SUM(C7:N7)</f>
        <v>288090</v>
      </c>
      <c r="R7" s="95"/>
      <c r="S7" s="95"/>
      <c r="T7" s="95"/>
    </row>
    <row r="8" spans="1:20" ht="24.95" customHeight="1" x14ac:dyDescent="0.3">
      <c r="A8" s="35"/>
      <c r="B8" s="49" t="s">
        <v>13</v>
      </c>
      <c r="C8" s="124">
        <f>SUBTOTAL(109,Planovane_naklady_na_zamestnancov[Jan])</f>
        <v>107950</v>
      </c>
      <c r="D8" s="125">
        <f>SUBTOTAL(109,Planovane_naklady_na_zamestnancov[Feb])</f>
        <v>107950</v>
      </c>
      <c r="E8" s="125">
        <f>SUBTOTAL(109,Planovane_naklady_na_zamestnancov[Mar])</f>
        <v>107950</v>
      </c>
      <c r="F8" s="125">
        <f>SUBTOTAL(109,Planovane_naklady_na_zamestnancov[Apr])</f>
        <v>111125</v>
      </c>
      <c r="G8" s="125">
        <f>SUBTOTAL(109,Planovane_naklady_na_zamestnancov[Máj])</f>
        <v>111125</v>
      </c>
      <c r="H8" s="125">
        <f>SUBTOTAL(109,Planovane_naklady_na_zamestnancov[Jún])</f>
        <v>111125</v>
      </c>
      <c r="I8" s="125">
        <f>SUBTOTAL(109,Planovane_naklady_na_zamestnancov[Júl])</f>
        <v>111125</v>
      </c>
      <c r="J8" s="125">
        <f>SUBTOTAL(109,Planovane_naklady_na_zamestnancov[Aug])</f>
        <v>117348</v>
      </c>
      <c r="K8" s="125">
        <f>SUBTOTAL(109,Planovane_naklady_na_zamestnancov[Sep])</f>
        <v>117348</v>
      </c>
      <c r="L8" s="125">
        <f>SUBTOTAL(109,Planovane_naklady_na_zamestnancov[Okt])</f>
        <v>117348</v>
      </c>
      <c r="M8" s="125">
        <f>SUBTOTAL(109,Planovane_naklady_na_zamestnancov[Nov])</f>
        <v>117348</v>
      </c>
      <c r="N8" s="125">
        <f>SUBTOTAL(109,Planovane_naklady_na_zamestnancov[Dec])</f>
        <v>117348</v>
      </c>
      <c r="O8" s="126">
        <f>SUBTOTAL(109,Planovane_naklady_na_zamestnancov[ROK])</f>
        <v>1355090</v>
      </c>
      <c r="R8" s="95"/>
      <c r="S8" s="95"/>
      <c r="T8" s="95"/>
    </row>
    <row r="9" spans="1:20" ht="21" customHeight="1" thickBot="1" x14ac:dyDescent="0.35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R9" s="95"/>
      <c r="S9" s="95"/>
      <c r="T9" s="95"/>
    </row>
    <row r="10" spans="1:20" ht="24.95" customHeight="1" thickBot="1" x14ac:dyDescent="0.35">
      <c r="A10" s="35"/>
      <c r="B10" s="60" t="s">
        <v>14</v>
      </c>
      <c r="C10" s="56" t="s">
        <v>37</v>
      </c>
      <c r="D10" s="57" t="s">
        <v>39</v>
      </c>
      <c r="E10" s="58" t="s">
        <v>41</v>
      </c>
      <c r="F10" s="57" t="s">
        <v>43</v>
      </c>
      <c r="G10" s="57" t="s">
        <v>45</v>
      </c>
      <c r="H10" s="57" t="s">
        <v>47</v>
      </c>
      <c r="I10" s="57" t="s">
        <v>49</v>
      </c>
      <c r="J10" s="57" t="s">
        <v>51</v>
      </c>
      <c r="K10" s="57" t="s">
        <v>55</v>
      </c>
      <c r="L10" s="57" t="s">
        <v>57</v>
      </c>
      <c r="M10" s="57" t="s">
        <v>59</v>
      </c>
      <c r="N10" s="57" t="s">
        <v>61</v>
      </c>
      <c r="O10" s="59" t="s">
        <v>62</v>
      </c>
      <c r="R10" s="95"/>
      <c r="S10" s="95"/>
      <c r="T10" s="95"/>
    </row>
    <row r="11" spans="1:20" ht="24.95" customHeight="1" thickBot="1" x14ac:dyDescent="0.35">
      <c r="A11" s="35"/>
      <c r="B11" s="85" t="s">
        <v>15</v>
      </c>
      <c r="C11" s="121">
        <v>9800</v>
      </c>
      <c r="D11" s="122">
        <v>9800</v>
      </c>
      <c r="E11" s="122">
        <v>9800</v>
      </c>
      <c r="F11" s="122">
        <v>9800</v>
      </c>
      <c r="G11" s="122">
        <v>9800</v>
      </c>
      <c r="H11" s="122">
        <v>9800</v>
      </c>
      <c r="I11" s="122">
        <v>9800</v>
      </c>
      <c r="J11" s="122">
        <v>9800</v>
      </c>
      <c r="K11" s="122">
        <v>9800</v>
      </c>
      <c r="L11" s="122">
        <v>9800</v>
      </c>
      <c r="M11" s="122">
        <v>9800</v>
      </c>
      <c r="N11" s="122">
        <v>9800</v>
      </c>
      <c r="O11" s="123">
        <f t="shared" ref="O11:O18" si="1">SUM(C11:N11)</f>
        <v>117600</v>
      </c>
      <c r="R11" s="95"/>
      <c r="S11" s="95"/>
      <c r="T11" s="95"/>
    </row>
    <row r="12" spans="1:20" ht="24.95" customHeight="1" thickBot="1" x14ac:dyDescent="0.35">
      <c r="A12" s="35"/>
      <c r="B12" s="85" t="s">
        <v>16</v>
      </c>
      <c r="C12" s="121"/>
      <c r="D12" s="122">
        <v>400</v>
      </c>
      <c r="E12" s="122">
        <v>400</v>
      </c>
      <c r="F12" s="122">
        <v>100</v>
      </c>
      <c r="G12" s="122">
        <v>100</v>
      </c>
      <c r="H12" s="122">
        <v>100</v>
      </c>
      <c r="I12" s="122">
        <v>100</v>
      </c>
      <c r="J12" s="122">
        <v>100</v>
      </c>
      <c r="K12" s="122">
        <v>100</v>
      </c>
      <c r="L12" s="122">
        <v>100</v>
      </c>
      <c r="M12" s="122">
        <v>400</v>
      </c>
      <c r="N12" s="122">
        <v>400</v>
      </c>
      <c r="O12" s="123">
        <f t="shared" si="1"/>
        <v>2300</v>
      </c>
      <c r="R12" s="95"/>
      <c r="S12" s="95"/>
      <c r="T12" s="95"/>
    </row>
    <row r="13" spans="1:20" ht="24.95" customHeight="1" thickBot="1" x14ac:dyDescent="0.35">
      <c r="A13" s="35"/>
      <c r="B13" s="85" t="s">
        <v>17</v>
      </c>
      <c r="C13" s="121">
        <v>300</v>
      </c>
      <c r="D13" s="122">
        <v>300</v>
      </c>
      <c r="E13" s="122">
        <v>300</v>
      </c>
      <c r="F13" s="122">
        <v>300</v>
      </c>
      <c r="G13" s="122">
        <v>300</v>
      </c>
      <c r="H13" s="122">
        <v>300</v>
      </c>
      <c r="I13" s="122">
        <v>300</v>
      </c>
      <c r="J13" s="122">
        <v>300</v>
      </c>
      <c r="K13" s="122">
        <v>300</v>
      </c>
      <c r="L13" s="122">
        <v>300</v>
      </c>
      <c r="M13" s="122">
        <v>300</v>
      </c>
      <c r="N13" s="122">
        <v>300</v>
      </c>
      <c r="O13" s="123">
        <f t="shared" si="1"/>
        <v>3600</v>
      </c>
      <c r="R13" s="95"/>
      <c r="S13" s="95"/>
      <c r="T13" s="95"/>
    </row>
    <row r="14" spans="1:20" ht="24.95" customHeight="1" thickBot="1" x14ac:dyDescent="0.35">
      <c r="A14" s="35"/>
      <c r="B14" s="85" t="s">
        <v>18</v>
      </c>
      <c r="C14" s="121">
        <v>40</v>
      </c>
      <c r="D14" s="122">
        <v>40</v>
      </c>
      <c r="E14" s="122">
        <v>40</v>
      </c>
      <c r="F14" s="122">
        <v>40</v>
      </c>
      <c r="G14" s="122">
        <v>40</v>
      </c>
      <c r="H14" s="122">
        <v>40</v>
      </c>
      <c r="I14" s="122">
        <v>40</v>
      </c>
      <c r="J14" s="122">
        <v>40</v>
      </c>
      <c r="K14" s="122">
        <v>40</v>
      </c>
      <c r="L14" s="122">
        <v>40</v>
      </c>
      <c r="M14" s="122">
        <v>40</v>
      </c>
      <c r="N14" s="122">
        <v>40</v>
      </c>
      <c r="O14" s="123">
        <f t="shared" si="1"/>
        <v>480</v>
      </c>
    </row>
    <row r="15" spans="1:20" ht="24.95" customHeight="1" thickBot="1" x14ac:dyDescent="0.35">
      <c r="A15" s="35"/>
      <c r="B15" s="85" t="s">
        <v>19</v>
      </c>
      <c r="C15" s="121">
        <v>250</v>
      </c>
      <c r="D15" s="122">
        <v>250</v>
      </c>
      <c r="E15" s="122">
        <v>250</v>
      </c>
      <c r="F15" s="122">
        <v>250</v>
      </c>
      <c r="G15" s="122">
        <v>250</v>
      </c>
      <c r="H15" s="122">
        <v>250</v>
      </c>
      <c r="I15" s="122">
        <v>250</v>
      </c>
      <c r="J15" s="122">
        <v>250</v>
      </c>
      <c r="K15" s="122">
        <v>250</v>
      </c>
      <c r="L15" s="122">
        <v>250</v>
      </c>
      <c r="M15" s="122">
        <v>250</v>
      </c>
      <c r="N15" s="122">
        <v>250</v>
      </c>
      <c r="O15" s="123">
        <f t="shared" si="1"/>
        <v>3000</v>
      </c>
    </row>
    <row r="16" spans="1:20" ht="24.95" customHeight="1" thickBot="1" x14ac:dyDescent="0.35">
      <c r="A16" s="35"/>
      <c r="B16" s="85" t="s">
        <v>20</v>
      </c>
      <c r="C16" s="121">
        <v>180</v>
      </c>
      <c r="D16" s="122">
        <v>180</v>
      </c>
      <c r="E16" s="122">
        <v>180</v>
      </c>
      <c r="F16" s="122">
        <v>180</v>
      </c>
      <c r="G16" s="122">
        <v>180</v>
      </c>
      <c r="H16" s="122">
        <v>180</v>
      </c>
      <c r="I16" s="122">
        <v>180</v>
      </c>
      <c r="J16" s="122">
        <v>180</v>
      </c>
      <c r="K16" s="122">
        <v>180</v>
      </c>
      <c r="L16" s="122">
        <v>180</v>
      </c>
      <c r="M16" s="122">
        <v>180</v>
      </c>
      <c r="N16" s="122">
        <v>180</v>
      </c>
      <c r="O16" s="123">
        <f t="shared" si="1"/>
        <v>2160</v>
      </c>
    </row>
    <row r="17" spans="1:15" ht="24.95" customHeight="1" thickBot="1" x14ac:dyDescent="0.35">
      <c r="A17" s="35"/>
      <c r="B17" s="85" t="s">
        <v>21</v>
      </c>
      <c r="C17" s="121">
        <v>200</v>
      </c>
      <c r="D17" s="122">
        <v>200</v>
      </c>
      <c r="E17" s="122">
        <v>200</v>
      </c>
      <c r="F17" s="122">
        <v>200</v>
      </c>
      <c r="G17" s="122">
        <v>200</v>
      </c>
      <c r="H17" s="122">
        <v>200</v>
      </c>
      <c r="I17" s="122">
        <v>200</v>
      </c>
      <c r="J17" s="122">
        <v>200</v>
      </c>
      <c r="K17" s="122">
        <v>200</v>
      </c>
      <c r="L17" s="122">
        <v>200</v>
      </c>
      <c r="M17" s="122">
        <v>200</v>
      </c>
      <c r="N17" s="122">
        <v>200</v>
      </c>
      <c r="O17" s="123">
        <f t="shared" si="1"/>
        <v>2400</v>
      </c>
    </row>
    <row r="18" spans="1:15" ht="24.95" customHeight="1" thickBot="1" x14ac:dyDescent="0.35">
      <c r="A18" s="35"/>
      <c r="B18" s="85" t="s">
        <v>22</v>
      </c>
      <c r="C18" s="121">
        <v>600</v>
      </c>
      <c r="D18" s="122">
        <v>600</v>
      </c>
      <c r="E18" s="122">
        <v>600</v>
      </c>
      <c r="F18" s="122">
        <v>600</v>
      </c>
      <c r="G18" s="122">
        <v>600</v>
      </c>
      <c r="H18" s="122">
        <v>600</v>
      </c>
      <c r="I18" s="122">
        <v>600</v>
      </c>
      <c r="J18" s="122">
        <v>600</v>
      </c>
      <c r="K18" s="122">
        <v>600</v>
      </c>
      <c r="L18" s="122">
        <v>600</v>
      </c>
      <c r="M18" s="122">
        <v>600</v>
      </c>
      <c r="N18" s="122">
        <v>600</v>
      </c>
      <c r="O18" s="123">
        <f t="shared" si="1"/>
        <v>7200</v>
      </c>
    </row>
    <row r="19" spans="1:15" ht="24.95" customHeight="1" thickBot="1" x14ac:dyDescent="0.35">
      <c r="A19" s="35"/>
      <c r="B19" s="67" t="s">
        <v>13</v>
      </c>
      <c r="C19" s="127">
        <f>SUBTOTAL(109,Planovane_naklady_na_kancelariu[Jan])</f>
        <v>11370</v>
      </c>
      <c r="D19" s="128">
        <f>SUBTOTAL(109,Planovane_naklady_na_kancelariu[Feb])</f>
        <v>11770</v>
      </c>
      <c r="E19" s="128">
        <f>SUBTOTAL(109,Planovane_naklady_na_kancelariu[Mar])</f>
        <v>11770</v>
      </c>
      <c r="F19" s="128">
        <f>SUBTOTAL(109,Planovane_naklady_na_kancelariu[Apr])</f>
        <v>11470</v>
      </c>
      <c r="G19" s="128">
        <f>SUBTOTAL(109,Planovane_naklady_na_kancelariu[Máj])</f>
        <v>11470</v>
      </c>
      <c r="H19" s="128">
        <f>SUBTOTAL(109,Planovane_naklady_na_kancelariu[Jún])</f>
        <v>11470</v>
      </c>
      <c r="I19" s="128">
        <f>SUBTOTAL(109,Planovane_naklady_na_kancelariu[Júl])</f>
        <v>11470</v>
      </c>
      <c r="J19" s="128">
        <f>SUBTOTAL(109,Planovane_naklady_na_kancelariu[Aug])</f>
        <v>11470</v>
      </c>
      <c r="K19" s="128">
        <f>SUBTOTAL(109,Planovane_naklady_na_kancelariu[Sep])</f>
        <v>11470</v>
      </c>
      <c r="L19" s="128">
        <f>SUBTOTAL(109,Planovane_naklady_na_kancelariu[Okt])</f>
        <v>11470</v>
      </c>
      <c r="M19" s="128">
        <f>SUBTOTAL(109,Planovane_naklady_na_kancelariu[Nov])</f>
        <v>11770</v>
      </c>
      <c r="N19" s="128">
        <f>SUBTOTAL(109,Planovane_naklady_na_kancelariu[Dec])</f>
        <v>11770</v>
      </c>
      <c r="O19" s="129">
        <f>SUBTOTAL(109,Planovane_naklady_na_kancelariu[ROK])</f>
        <v>138740</v>
      </c>
    </row>
    <row r="20" spans="1:15" ht="21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61" t="s">
        <v>23</v>
      </c>
      <c r="C21" s="52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48" t="s">
        <v>24</v>
      </c>
      <c r="C22" s="104">
        <v>500</v>
      </c>
      <c r="D22" s="105">
        <v>500</v>
      </c>
      <c r="E22" s="105">
        <v>500</v>
      </c>
      <c r="F22" s="105">
        <v>500</v>
      </c>
      <c r="G22" s="105">
        <v>500</v>
      </c>
      <c r="H22" s="105">
        <v>500</v>
      </c>
      <c r="I22" s="105">
        <v>500</v>
      </c>
      <c r="J22" s="105">
        <v>500</v>
      </c>
      <c r="K22" s="105">
        <v>500</v>
      </c>
      <c r="L22" s="105">
        <v>500</v>
      </c>
      <c r="M22" s="105">
        <v>500</v>
      </c>
      <c r="N22" s="105">
        <v>500</v>
      </c>
      <c r="O22" s="123">
        <f t="shared" ref="O22:O27" si="2">SUM(C22:N22)</f>
        <v>6000</v>
      </c>
    </row>
    <row r="23" spans="1:15" ht="24.95" customHeight="1" thickBot="1" x14ac:dyDescent="0.35">
      <c r="A23" s="35"/>
      <c r="B23" s="48" t="s">
        <v>25</v>
      </c>
      <c r="C23" s="104">
        <v>200</v>
      </c>
      <c r="D23" s="105">
        <v>200</v>
      </c>
      <c r="E23" s="105">
        <v>200</v>
      </c>
      <c r="F23" s="105">
        <v>200</v>
      </c>
      <c r="G23" s="105">
        <v>200</v>
      </c>
      <c r="H23" s="105">
        <v>1000</v>
      </c>
      <c r="I23" s="105">
        <v>200</v>
      </c>
      <c r="J23" s="105">
        <v>200</v>
      </c>
      <c r="K23" s="105">
        <v>200</v>
      </c>
      <c r="L23" s="105">
        <v>200</v>
      </c>
      <c r="M23" s="105">
        <v>200</v>
      </c>
      <c r="N23" s="105">
        <v>1000</v>
      </c>
      <c r="O23" s="123">
        <f t="shared" si="2"/>
        <v>4000</v>
      </c>
    </row>
    <row r="24" spans="1:15" ht="24.95" customHeight="1" thickBot="1" x14ac:dyDescent="0.35">
      <c r="A24" s="35"/>
      <c r="B24" s="48" t="s">
        <v>26</v>
      </c>
      <c r="C24" s="104">
        <v>5000</v>
      </c>
      <c r="D24" s="105">
        <v>0</v>
      </c>
      <c r="E24" s="105">
        <v>0</v>
      </c>
      <c r="F24" s="105">
        <v>5000</v>
      </c>
      <c r="G24" s="105">
        <v>0</v>
      </c>
      <c r="H24" s="105">
        <v>0</v>
      </c>
      <c r="I24" s="105">
        <v>5000</v>
      </c>
      <c r="J24" s="105">
        <v>0</v>
      </c>
      <c r="K24" s="105">
        <v>0</v>
      </c>
      <c r="L24" s="105">
        <v>5000</v>
      </c>
      <c r="M24" s="105">
        <v>0</v>
      </c>
      <c r="N24" s="105">
        <v>0</v>
      </c>
      <c r="O24" s="123">
        <f t="shared" si="2"/>
        <v>20000</v>
      </c>
    </row>
    <row r="25" spans="1:15" ht="24.95" customHeight="1" thickBot="1" x14ac:dyDescent="0.35">
      <c r="A25" s="35"/>
      <c r="B25" s="48" t="s">
        <v>27</v>
      </c>
      <c r="C25" s="104">
        <v>200</v>
      </c>
      <c r="D25" s="105">
        <v>200</v>
      </c>
      <c r="E25" s="105">
        <v>200</v>
      </c>
      <c r="F25" s="105">
        <v>200</v>
      </c>
      <c r="G25" s="105">
        <v>200</v>
      </c>
      <c r="H25" s="105">
        <v>200</v>
      </c>
      <c r="I25" s="105">
        <v>200</v>
      </c>
      <c r="J25" s="105">
        <v>200</v>
      </c>
      <c r="K25" s="105">
        <v>200</v>
      </c>
      <c r="L25" s="105">
        <v>200</v>
      </c>
      <c r="M25" s="105">
        <v>200</v>
      </c>
      <c r="N25" s="105">
        <v>200</v>
      </c>
      <c r="O25" s="123">
        <f t="shared" si="2"/>
        <v>2400</v>
      </c>
    </row>
    <row r="26" spans="1:15" ht="24.95" customHeight="1" thickBot="1" x14ac:dyDescent="0.35">
      <c r="A26" s="35"/>
      <c r="B26" s="48" t="s">
        <v>28</v>
      </c>
      <c r="C26" s="104">
        <v>2000</v>
      </c>
      <c r="D26" s="105">
        <v>2000</v>
      </c>
      <c r="E26" s="105">
        <v>2000</v>
      </c>
      <c r="F26" s="105">
        <v>5000</v>
      </c>
      <c r="G26" s="105">
        <v>2000</v>
      </c>
      <c r="H26" s="105">
        <v>2000</v>
      </c>
      <c r="I26" s="105">
        <v>2000</v>
      </c>
      <c r="J26" s="105">
        <v>5000</v>
      </c>
      <c r="K26" s="105">
        <v>2000</v>
      </c>
      <c r="L26" s="105">
        <v>2000</v>
      </c>
      <c r="M26" s="105">
        <v>2000</v>
      </c>
      <c r="N26" s="105">
        <v>5000</v>
      </c>
      <c r="O26" s="123">
        <f t="shared" si="2"/>
        <v>33000</v>
      </c>
    </row>
    <row r="27" spans="1:15" ht="24.95" customHeight="1" thickBot="1" x14ac:dyDescent="0.35">
      <c r="A27" s="35"/>
      <c r="B27" s="48" t="s">
        <v>29</v>
      </c>
      <c r="C27" s="104">
        <v>200</v>
      </c>
      <c r="D27" s="105">
        <v>200</v>
      </c>
      <c r="E27" s="105">
        <v>200</v>
      </c>
      <c r="F27" s="105">
        <v>200</v>
      </c>
      <c r="G27" s="105">
        <v>200</v>
      </c>
      <c r="H27" s="105">
        <v>200</v>
      </c>
      <c r="I27" s="105">
        <v>200</v>
      </c>
      <c r="J27" s="105">
        <v>200</v>
      </c>
      <c r="K27" s="105">
        <v>200</v>
      </c>
      <c r="L27" s="105">
        <v>200</v>
      </c>
      <c r="M27" s="105">
        <v>200</v>
      </c>
      <c r="N27" s="105">
        <v>200</v>
      </c>
      <c r="O27" s="123">
        <f t="shared" si="2"/>
        <v>2400</v>
      </c>
    </row>
    <row r="28" spans="1:15" ht="24.95" customHeight="1" x14ac:dyDescent="0.3">
      <c r="A28" s="35"/>
      <c r="B28" s="50" t="s">
        <v>13</v>
      </c>
      <c r="C28" s="124">
        <f>SUBTOTAL(109,Planovane_naklady_na_marketing[Jan])</f>
        <v>8100</v>
      </c>
      <c r="D28" s="125">
        <f>SUBTOTAL(109,Planovane_naklady_na_marketing[Feb])</f>
        <v>3100</v>
      </c>
      <c r="E28" s="125">
        <f>SUBTOTAL(109,Planovane_naklady_na_marketing[Mar])</f>
        <v>3100</v>
      </c>
      <c r="F28" s="125">
        <f>SUBTOTAL(109,Planovane_naklady_na_marketing[Apr])</f>
        <v>11100</v>
      </c>
      <c r="G28" s="125">
        <f>SUBTOTAL(109,Planovane_naklady_na_marketing[Máj])</f>
        <v>3100</v>
      </c>
      <c r="H28" s="125">
        <f>SUBTOTAL(109,Planovane_naklady_na_marketing[Jún])</f>
        <v>3900</v>
      </c>
      <c r="I28" s="125">
        <f>SUBTOTAL(109,Planovane_naklady_na_marketing[Júl])</f>
        <v>8100</v>
      </c>
      <c r="J28" s="125">
        <f>SUBTOTAL(109,Planovane_naklady_na_marketing[Aug])</f>
        <v>6100</v>
      </c>
      <c r="K28" s="125">
        <f>SUBTOTAL(109,Planovane_naklady_na_marketing[Sep])</f>
        <v>3100</v>
      </c>
      <c r="L28" s="125">
        <f>SUBTOTAL(109,Planovane_naklady_na_marketing[Okt])</f>
        <v>8100</v>
      </c>
      <c r="M28" s="125">
        <f>SUBTOTAL(109,Planovane_naklady_na_marketing[Nov])</f>
        <v>3100</v>
      </c>
      <c r="N28" s="125">
        <f>SUBTOTAL(109,Planovane_naklady_na_marketing[Dec])</f>
        <v>6900</v>
      </c>
      <c r="O28" s="126">
        <f>SUBTOTAL(109,Planovane_naklady_na_marketing[ROK])</f>
        <v>67800</v>
      </c>
    </row>
    <row r="29" spans="1:15" ht="21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1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1" customHeight="1" thickBot="1" x14ac:dyDescent="0.35">
      <c r="A31" s="35"/>
      <c r="B31" s="48" t="s">
        <v>31</v>
      </c>
      <c r="C31" s="104">
        <v>2000</v>
      </c>
      <c r="D31" s="105">
        <v>2000</v>
      </c>
      <c r="E31" s="105">
        <v>2000</v>
      </c>
      <c r="F31" s="105">
        <v>2000</v>
      </c>
      <c r="G31" s="105">
        <v>2000</v>
      </c>
      <c r="H31" s="105">
        <v>2000</v>
      </c>
      <c r="I31" s="105">
        <v>2000</v>
      </c>
      <c r="J31" s="105">
        <v>2000</v>
      </c>
      <c r="K31" s="105">
        <v>2000</v>
      </c>
      <c r="L31" s="105">
        <v>2000</v>
      </c>
      <c r="M31" s="105">
        <v>2000</v>
      </c>
      <c r="N31" s="105">
        <v>2000</v>
      </c>
      <c r="O31" s="106">
        <f>SUM(C31:N31)</f>
        <v>24000</v>
      </c>
    </row>
    <row r="32" spans="1:15" ht="21" customHeight="1" thickBot="1" x14ac:dyDescent="0.35">
      <c r="A32" s="35"/>
      <c r="B32" s="48" t="s">
        <v>32</v>
      </c>
      <c r="C32" s="104">
        <v>2000</v>
      </c>
      <c r="D32" s="105">
        <v>2000</v>
      </c>
      <c r="E32" s="105">
        <v>2000</v>
      </c>
      <c r="F32" s="105">
        <v>2000</v>
      </c>
      <c r="G32" s="105">
        <v>2000</v>
      </c>
      <c r="H32" s="105">
        <v>2000</v>
      </c>
      <c r="I32" s="105">
        <v>2000</v>
      </c>
      <c r="J32" s="105">
        <v>2000</v>
      </c>
      <c r="K32" s="105">
        <v>2000</v>
      </c>
      <c r="L32" s="105">
        <v>2000</v>
      </c>
      <c r="M32" s="105">
        <v>2000</v>
      </c>
      <c r="N32" s="105">
        <v>2000</v>
      </c>
      <c r="O32" s="106">
        <f>SUM(C32:N32)</f>
        <v>24000</v>
      </c>
    </row>
    <row r="33" spans="1:15" ht="21" customHeight="1" x14ac:dyDescent="0.3">
      <c r="A33" s="35"/>
      <c r="B33" s="50" t="s">
        <v>13</v>
      </c>
      <c r="C33" s="130">
        <f>SUBTOTAL(109,Planovane_naklady_na_skolenia_a_cestovanie[Jan])</f>
        <v>4000</v>
      </c>
      <c r="D33" s="113">
        <f>SUBTOTAL(109,Planovane_naklady_na_skolenia_a_cestovanie[Feb])</f>
        <v>4000</v>
      </c>
      <c r="E33" s="113">
        <f>SUBTOTAL(109,Planovane_naklady_na_skolenia_a_cestovanie[Mar])</f>
        <v>4000</v>
      </c>
      <c r="F33" s="113">
        <f>SUBTOTAL(109,Planovane_naklady_na_skolenia_a_cestovanie[Apr])</f>
        <v>4000</v>
      </c>
      <c r="G33" s="113">
        <f>SUBTOTAL(109,Planovane_naklady_na_skolenia_a_cestovanie[Máj])</f>
        <v>4000</v>
      </c>
      <c r="H33" s="113">
        <f>SUBTOTAL(109,Planovane_naklady_na_skolenia_a_cestovanie[Jún])</f>
        <v>4000</v>
      </c>
      <c r="I33" s="113">
        <f>SUBTOTAL(109,Planovane_naklady_na_skolenia_a_cestovanie[Júl])</f>
        <v>4000</v>
      </c>
      <c r="J33" s="113">
        <f>SUBTOTAL(109,Planovane_naklady_na_skolenia_a_cestovanie[Aug])</f>
        <v>4000</v>
      </c>
      <c r="K33" s="113">
        <f>SUBTOTAL(109,Planovane_naklady_na_skolenia_a_cestovanie[Sep])</f>
        <v>4000</v>
      </c>
      <c r="L33" s="113">
        <f>SUBTOTAL(109,Planovane_naklady_na_skolenia_a_cestovanie[Okt])</f>
        <v>4000</v>
      </c>
      <c r="M33" s="113">
        <f>SUBTOTAL(109,Planovane_naklady_na_skolenia_a_cestovanie[Nov])</f>
        <v>4000</v>
      </c>
      <c r="N33" s="113">
        <f>SUBTOTAL(109,Planovane_naklady_na_skolenia_a_cestovanie[Dec])</f>
        <v>4000</v>
      </c>
      <c r="O33" s="114">
        <f>SUBTOTAL(109,Planovane_naklady_na_skolenia_a_cestovanie[ROK])</f>
        <v>48000</v>
      </c>
    </row>
    <row r="34" spans="1:15" ht="21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35"/>
      <c r="B35" s="26" t="s">
        <v>33</v>
      </c>
      <c r="C35" s="28" t="s">
        <v>37</v>
      </c>
      <c r="D35" s="28" t="s">
        <v>39</v>
      </c>
      <c r="E35" s="28" t="s">
        <v>41</v>
      </c>
      <c r="F35" s="28" t="s">
        <v>43</v>
      </c>
      <c r="G35" s="28" t="s">
        <v>45</v>
      </c>
      <c r="H35" s="28" t="s">
        <v>47</v>
      </c>
      <c r="I35" s="28" t="s">
        <v>49</v>
      </c>
      <c r="J35" s="28" t="s">
        <v>51</v>
      </c>
      <c r="K35" s="28" t="s">
        <v>55</v>
      </c>
      <c r="L35" s="28" t="s">
        <v>57</v>
      </c>
      <c r="M35" s="28" t="s">
        <v>59</v>
      </c>
      <c r="N35" s="28" t="s">
        <v>61</v>
      </c>
      <c r="O35" s="28" t="s">
        <v>63</v>
      </c>
    </row>
    <row r="36" spans="1:15" ht="24.95" customHeight="1" thickBot="1" x14ac:dyDescent="0.35">
      <c r="A36" s="35"/>
      <c r="B36" s="27" t="s">
        <v>34</v>
      </c>
      <c r="C36" s="131">
        <f>Planovane_naklady_na_skolenia_a_cestovanie[[#Totals],[Jan]]+Planovane_naklady_na_marketing[[#Totals],[Jan]]+Planovane_naklady_na_kancelariu[[#Totals],[Jan]]+Planovane_naklady_na_zamestnancov[[#Totals],[Jan]]</f>
        <v>131420</v>
      </c>
      <c r="D36" s="131">
        <f>Planovane_naklady_na_skolenia_a_cestovanie[[#Totals],[Feb]]+Planovane_naklady_na_marketing[[#Totals],[Feb]]+Planovane_naklady_na_kancelariu[[#Totals],[Feb]]+Planovane_naklady_na_zamestnancov[[#Totals],[Feb]]</f>
        <v>126820</v>
      </c>
      <c r="E36" s="131">
        <f>Planovane_naklady_na_skolenia_a_cestovanie[[#Totals],[Mar]]+Planovane_naklady_na_marketing[[#Totals],[Mar]]+Planovane_naklady_na_kancelariu[[#Totals],[Mar]]+Planovane_naklady_na_zamestnancov[[#Totals],[Mar]]</f>
        <v>126820</v>
      </c>
      <c r="F36" s="131">
        <f>Planovane_naklady_na_skolenia_a_cestovanie[[#Totals],[Apr]]+Planovane_naklady_na_marketing[[#Totals],[Apr]]+Planovane_naklady_na_kancelariu[[#Totals],[Apr]]+Planovane_naklady_na_zamestnancov[[#Totals],[Apr]]</f>
        <v>137695</v>
      </c>
      <c r="G36" s="131">
        <f>Planovane_naklady_na_skolenia_a_cestovanie[[#Totals],[Máj]]+Planovane_naklady_na_marketing[[#Totals],[Máj]]+Planovane_naklady_na_kancelariu[[#Totals],[Máj]]+Planovane_naklady_na_zamestnancov[[#Totals],[Máj]]</f>
        <v>129695</v>
      </c>
      <c r="H36" s="131">
        <f>Planovane_naklady_na_skolenia_a_cestovanie[[#Totals],[Jún]]+Planovane_naklady_na_marketing[[#Totals],[Jún]]+Planovane_naklady_na_kancelariu[[#Totals],[Jún]]+Planovane_naklady_na_zamestnancov[[#Totals],[Jún]]</f>
        <v>130495</v>
      </c>
      <c r="I36" s="132">
        <f>Planovane_naklady_na_skolenia_a_cestovanie[[#Totals],[Júl]]+Planovane_naklady_na_marketing[[#Totals],[Júl]]+Planovane_naklady_na_kancelariu[[#Totals],[Júl]]+Planovane_naklady_na_zamestnancov[[#Totals],[Júl]]</f>
        <v>134695</v>
      </c>
      <c r="J36" s="131">
        <f>Planovane_naklady_na_skolenia_a_cestovanie[[#Totals],[Aug]]+Planovane_naklady_na_marketing[[#Totals],[Aug]]+Planovane_naklady_na_kancelariu[[#Totals],[Aug]]+Planovane_naklady_na_zamestnancov[[#Totals],[Aug]]</f>
        <v>138918</v>
      </c>
      <c r="K36" s="131">
        <f>Planovane_naklady_na_skolenia_a_cestovanie[[#Totals],[Sep]]+Planovane_naklady_na_marketing[[#Totals],[Sep]]+Planovane_naklady_na_kancelariu[[#Totals],[Sep]]+Planovane_naklady_na_zamestnancov[[#Totals],[Sep]]</f>
        <v>135918</v>
      </c>
      <c r="L36" s="131">
        <f>Planovane_naklady_na_skolenia_a_cestovanie[[#Totals],[Okt]]+Planovane_naklady_na_marketing[[#Totals],[Okt]]+Planovane_naklady_na_kancelariu[[#Totals],[Okt]]+Planovane_naklady_na_zamestnancov[[#Totals],[Okt]]</f>
        <v>140918</v>
      </c>
      <c r="M36" s="131">
        <f>Planovane_naklady_na_skolenia_a_cestovanie[[#Totals],[Nov]]+Planovane_naklady_na_marketing[[#Totals],[Nov]]+Planovane_naklady_na_kancelariu[[#Totals],[Nov]]+Planovane_naklady_na_zamestnancov[[#Totals],[Nov]]</f>
        <v>136218</v>
      </c>
      <c r="N36" s="131">
        <f>Planovane_naklady_na_skolenia_a_cestovanie[[#Totals],[Dec]]+Planovane_naklady_na_marketing[[#Totals],[Dec]]+Planovane_naklady_na_kancelariu[[#Totals],[Dec]]+Planovane_naklady_na_zamestnancov[[#Totals],[Dec]]</f>
        <v>140018</v>
      </c>
      <c r="O36" s="131">
        <f>Planovane_naklady_na_skolenia_a_cestovanie[[#Totals],[ROK]]+Planovane_naklady_na_marketing[[#Totals],[ROK]]+Planovane_naklady_na_kancelariu[[#Totals],[ROK]]+Planovane_naklady_na_zamestnancov[[#Totals],[ROK]]</f>
        <v>1609630</v>
      </c>
    </row>
    <row r="37" spans="1:15" ht="24.95" customHeight="1" x14ac:dyDescent="0.3">
      <c r="A37" s="35"/>
      <c r="B37" s="27" t="s">
        <v>35</v>
      </c>
      <c r="C37" s="131">
        <f>SUM($C$36:C36)</f>
        <v>131420</v>
      </c>
      <c r="D37" s="131">
        <f>SUM($C$36:D36)</f>
        <v>258240</v>
      </c>
      <c r="E37" s="131">
        <f>SUM($C$36:E36)</f>
        <v>385060</v>
      </c>
      <c r="F37" s="131">
        <f>SUM($C$36:F36)</f>
        <v>522755</v>
      </c>
      <c r="G37" s="131">
        <f>SUM($C$36:G36)</f>
        <v>652450</v>
      </c>
      <c r="H37" s="131">
        <f>SUM($C$36:H36)</f>
        <v>782945</v>
      </c>
      <c r="I37" s="131">
        <f>SUM($C$36:I36)</f>
        <v>917640</v>
      </c>
      <c r="J37" s="131">
        <f>SUM($C$36:J36)</f>
        <v>1056558</v>
      </c>
      <c r="K37" s="131">
        <f>SUM($C$36:K36)</f>
        <v>1192476</v>
      </c>
      <c r="L37" s="131">
        <f>SUM($C$36:L36)</f>
        <v>1333394</v>
      </c>
      <c r="M37" s="131">
        <f>SUM($C$36:M36)</f>
        <v>1469612</v>
      </c>
      <c r="N37" s="131">
        <f>SUM($C$36:N36)</f>
        <v>1609630</v>
      </c>
      <c r="O37" s="131"/>
    </row>
    <row r="38" spans="1:15" ht="21" customHeight="1" x14ac:dyDescent="0.3">
      <c r="A38" s="35"/>
    </row>
  </sheetData>
  <mergeCells count="3">
    <mergeCell ref="R4:T13"/>
    <mergeCell ref="K2:M2"/>
    <mergeCell ref="K3:M3"/>
  </mergeCells>
  <dataValidations count="10">
    <dataValidation allowBlank="1" showInputMessage="1" showErrorMessage="1" prompt="Tip: AKO POUŽÍVAŤ TÚTO ŠABLÓNU_x000a_Vložte údaje do bielych políčok na pracovných listoch PLÁNOVANÉ VÝDAVKY a SKUTOČNÉ VÝDAVKY a vypočítajú sa za vás VARIANCIE VÝDAVKOV a ANALÝZA VÝDAVKOV. Ak pridáte riadok na jednom hárku, ostatné hárky sa musia zhodovať." sqref="R4:T13" xr:uid="{D85A6A5C-0DE6-4E23-8EF4-E4198877A2E2}"/>
    <dataValidation allowBlank="1" showInputMessage="1" showErrorMessage="1" prompt="V tejto bunke je zástupné logo." sqref="N2" xr:uid="{945E4055-1BEA-4F2B-AF1A-B15640887A38}"/>
    <dataValidation allowBlank="1" showInputMessage="1" showErrorMessage="1" prompt="V bunke napravo je uvedené označenie Plánované výdavky, v bunkách C4 až N4 sú mesiace, v bunke O4 je označenie Rok a bunka R4 obsahuje pokyny na používanie tejto šablóny." sqref="A4" xr:uid="{FC1A50C5-6C61-4FA0-BFBA-2CC82DE4DC0B}"/>
    <dataValidation allowBlank="1" showInputMessage="1" showErrorMessage="1" prompt="Zadajte náklady na zamestnancov do tabuľky Plán zamestnancov, začínajúc bunkou vpravo. Ďalší pokyn je v bunke A10." sqref="A5" xr:uid="{EED19FC0-ADDC-4580-BE69-2FEDE2EE49A6}"/>
    <dataValidation allowBlank="1" showInputMessage="1" showErrorMessage="1" prompt="Zadajte náklady na kanceláriu do tabuľky Plán kancelárie od bunky vpravo. Ďalší pokyn je v bunke A21." sqref="A10" xr:uid="{8C5477C2-13FC-4F55-AAB3-60246BBB7A64}"/>
    <dataValidation allowBlank="1" showInputMessage="1" showErrorMessage="1" prompt="Marketingové náklady zadajte do tabuľky Marketingový plán, začínajúc bunkou vpravo. Ďalší pokyn je v bunke A30." sqref="A21" xr:uid="{66411362-0BD5-4E49-BFA8-E0A0A55D07AD}"/>
    <dataValidation allowBlank="1" showInputMessage="1" showErrorMessage="1" prompt="Súčty v tabuľke celkových plánovaných nákladov začínajúcej v bunke napravo sa vypočítajú automaticky." sqref="A30" xr:uid="{6B0B8404-700F-48B3-AD96-0ED1CE7011E9}"/>
    <dataValidation allowBlank="1" showInputMessage="1" showErrorMessage="1" sqref="A1" xr:uid="{C6D84CBA-4A3E-4161-9004-1D9F785E5541}"/>
    <dataValidation allowBlank="1" showInputMessage="1" showErrorMessage="1" prompt="Do bunky vpravo zadajte názov spoločnosti a do bunky N2 logo. Názov tohto pracovného hárku je v bunke K2." sqref="A2" xr:uid="{B4473BB7-021E-4A63-A5F5-4234C1B5B724}"/>
    <dataValidation allowBlank="1" showInputMessage="1" showErrorMessage="1" prompt="V bunke K3 je uvedený tip." sqref="A3" xr:uid="{3ECF8058-2463-465E-ADF4-F540ECB4A91E}"/>
  </dataValidations>
  <pageMargins left="0.7" right="0.7" top="0.75" bottom="0.75" header="0.3" footer="0.3"/>
  <pageSetup paperSize="9" scale="56" fitToHeight="0" orientation="portrait" r:id="rId1"/>
  <colBreaks count="1" manualBreakCount="1">
    <brk id="8" max="37" man="1"/>
  </colBreaks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6" style="2" customWidth="1"/>
    <col min="3" max="14" width="19.85546875" style="2" customWidth="1"/>
    <col min="15" max="15" width="19.2851562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6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16" s="1" customFormat="1" ht="45" customHeight="1" x14ac:dyDescent="0.35">
      <c r="A2" s="34"/>
      <c r="B2" s="91" t="str">
        <f>'PLÁNOVANÉ VÝDAVKY'!B2:D3</f>
        <v>Názov spoločnosti</v>
      </c>
      <c r="C2" s="91"/>
      <c r="D2" s="91"/>
      <c r="E2" s="11"/>
      <c r="F2" s="8"/>
      <c r="G2" s="8"/>
      <c r="H2" s="8"/>
      <c r="I2" s="8"/>
      <c r="J2" s="8"/>
      <c r="K2" s="96" t="str">
        <f>worksheet_title</f>
        <v>Podrobné odhady výdavkov</v>
      </c>
      <c r="L2" s="96"/>
      <c r="M2" s="96"/>
      <c r="N2" s="88"/>
      <c r="O2" s="88"/>
      <c r="P2" s="7"/>
    </row>
    <row r="3" spans="1:16" s="1" customFormat="1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98" t="s">
        <v>53</v>
      </c>
      <c r="L3" s="98"/>
      <c r="M3" s="98"/>
      <c r="N3" s="88"/>
      <c r="O3" s="88"/>
      <c r="P3" s="7"/>
    </row>
    <row r="4" spans="1:16" s="13" customFormat="1" ht="49.5" customHeight="1" x14ac:dyDescent="0.3">
      <c r="A4" s="35"/>
      <c r="B4" s="24" t="s">
        <v>65</v>
      </c>
      <c r="C4" s="101" t="s">
        <v>36</v>
      </c>
      <c r="D4" s="101" t="s">
        <v>38</v>
      </c>
      <c r="E4" s="101" t="s">
        <v>40</v>
      </c>
      <c r="F4" s="101" t="s">
        <v>42</v>
      </c>
      <c r="G4" s="101" t="s">
        <v>44</v>
      </c>
      <c r="H4" s="101" t="s">
        <v>46</v>
      </c>
      <c r="I4" s="101" t="s">
        <v>48</v>
      </c>
      <c r="J4" s="101" t="s">
        <v>50</v>
      </c>
      <c r="K4" s="101" t="s">
        <v>54</v>
      </c>
      <c r="L4" s="101" t="s">
        <v>56</v>
      </c>
      <c r="M4" s="101" t="s">
        <v>58</v>
      </c>
      <c r="N4" s="101" t="s">
        <v>60</v>
      </c>
      <c r="O4" s="25" t="s">
        <v>62</v>
      </c>
    </row>
    <row r="5" spans="1:16" ht="24.95" customHeight="1" thickBot="1" x14ac:dyDescent="0.35">
      <c r="A5" s="35"/>
      <c r="B5" s="47" t="s">
        <v>10</v>
      </c>
      <c r="C5" s="71" t="s">
        <v>37</v>
      </c>
      <c r="D5" s="52" t="s">
        <v>39</v>
      </c>
      <c r="E5" s="53" t="s">
        <v>41</v>
      </c>
      <c r="F5" s="52" t="s">
        <v>43</v>
      </c>
      <c r="G5" s="52" t="s">
        <v>45</v>
      </c>
      <c r="H5" s="52" t="s">
        <v>47</v>
      </c>
      <c r="I5" s="52" t="s">
        <v>49</v>
      </c>
      <c r="J5" s="52" t="s">
        <v>51</v>
      </c>
      <c r="K5" s="52" t="s">
        <v>55</v>
      </c>
      <c r="L5" s="52" t="s">
        <v>57</v>
      </c>
      <c r="M5" s="52" t="s">
        <v>59</v>
      </c>
      <c r="N5" s="52" t="s">
        <v>61</v>
      </c>
      <c r="O5" s="54" t="s">
        <v>62</v>
      </c>
    </row>
    <row r="6" spans="1:16" ht="24.95" customHeight="1" thickBot="1" x14ac:dyDescent="0.35">
      <c r="A6" s="35"/>
      <c r="B6" s="48" t="s">
        <v>11</v>
      </c>
      <c r="C6" s="104">
        <v>85000</v>
      </c>
      <c r="D6" s="105">
        <v>85000</v>
      </c>
      <c r="E6" s="105">
        <v>85000</v>
      </c>
      <c r="F6" s="105">
        <v>88000</v>
      </c>
      <c r="G6" s="105">
        <v>88000</v>
      </c>
      <c r="H6" s="105">
        <v>88000</v>
      </c>
      <c r="I6" s="105"/>
      <c r="J6" s="105"/>
      <c r="K6" s="105"/>
      <c r="L6" s="105"/>
      <c r="M6" s="105"/>
      <c r="N6" s="105"/>
      <c r="O6" s="106">
        <f>SUM(C6:N6)</f>
        <v>519000</v>
      </c>
    </row>
    <row r="7" spans="1:16" ht="24.95" customHeight="1" thickBot="1" x14ac:dyDescent="0.35">
      <c r="A7" s="35"/>
      <c r="B7" s="48" t="s">
        <v>12</v>
      </c>
      <c r="C7" s="104">
        <f t="shared" ref="C7:N7" si="0">C6*0.27</f>
        <v>22950</v>
      </c>
      <c r="D7" s="105">
        <f t="shared" si="0"/>
        <v>22950</v>
      </c>
      <c r="E7" s="105">
        <f t="shared" si="0"/>
        <v>22950</v>
      </c>
      <c r="F7" s="105">
        <f t="shared" si="0"/>
        <v>23760</v>
      </c>
      <c r="G7" s="105">
        <f t="shared" si="0"/>
        <v>23760</v>
      </c>
      <c r="H7" s="105">
        <f t="shared" si="0"/>
        <v>23760</v>
      </c>
      <c r="I7" s="105">
        <f t="shared" si="0"/>
        <v>0</v>
      </c>
      <c r="J7" s="105">
        <f t="shared" si="0"/>
        <v>0</v>
      </c>
      <c r="K7" s="105">
        <f t="shared" si="0"/>
        <v>0</v>
      </c>
      <c r="L7" s="105">
        <f t="shared" si="0"/>
        <v>0</v>
      </c>
      <c r="M7" s="105">
        <f t="shared" si="0"/>
        <v>0</v>
      </c>
      <c r="N7" s="105">
        <f t="shared" si="0"/>
        <v>0</v>
      </c>
      <c r="O7" s="106">
        <f>SUM(C7:N7)</f>
        <v>140130</v>
      </c>
    </row>
    <row r="8" spans="1:16" ht="24.95" customHeight="1" x14ac:dyDescent="0.3">
      <c r="A8" s="35"/>
      <c r="B8" s="72" t="s">
        <v>13</v>
      </c>
      <c r="C8" s="112">
        <f>SUBTOTAL(109,Skutocne_naklady_na_zamestnancov[Jan])</f>
        <v>107950</v>
      </c>
      <c r="D8" s="107">
        <f>SUBTOTAL(109,Skutocne_naklady_na_zamestnancov[Feb])</f>
        <v>107950</v>
      </c>
      <c r="E8" s="107">
        <f>SUBTOTAL(109,Skutocne_naklady_na_zamestnancov[Mar])</f>
        <v>107950</v>
      </c>
      <c r="F8" s="107">
        <f>SUBTOTAL(109,Skutocne_naklady_na_zamestnancov[Apr])</f>
        <v>111760</v>
      </c>
      <c r="G8" s="107">
        <f>SUBTOTAL(109,Skutocne_naklady_na_zamestnancov[Máj])</f>
        <v>111760</v>
      </c>
      <c r="H8" s="107">
        <f>SUBTOTAL(109,Skutocne_naklady_na_zamestnancov[Jún])</f>
        <v>111760</v>
      </c>
      <c r="I8" s="107">
        <f>SUBTOTAL(109,Skutocne_naklady_na_zamestnancov[Júl])</f>
        <v>0</v>
      </c>
      <c r="J8" s="107">
        <f>SUBTOTAL(109,Skutocne_naklady_na_zamestnancov[Aug])</f>
        <v>0</v>
      </c>
      <c r="K8" s="107">
        <f>SUBTOTAL(109,Skutocne_naklady_na_zamestnancov[Sep])</f>
        <v>0</v>
      </c>
      <c r="L8" s="107">
        <f>SUBTOTAL(109,Skutocne_naklady_na_zamestnancov[Okt])</f>
        <v>0</v>
      </c>
      <c r="M8" s="107">
        <f>SUBTOTAL(109,Skutocne_naklady_na_zamestnancov[Nov])</f>
        <v>0</v>
      </c>
      <c r="N8" s="107">
        <f>SUBTOTAL(109,Skutocne_naklady_na_zamestnancov[Dec])</f>
        <v>0</v>
      </c>
      <c r="O8" s="108">
        <f>SUBTOTAL(109,Skutocne_naklady_na_zamestnancov[ROK])</f>
        <v>659130</v>
      </c>
    </row>
    <row r="9" spans="1:16" s="1" customFormat="1" ht="21" customHeight="1" x14ac:dyDescent="0.3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5"/>
      <c r="B10" s="55" t="s">
        <v>14</v>
      </c>
      <c r="C10" s="71" t="s">
        <v>37</v>
      </c>
      <c r="D10" s="52" t="s">
        <v>39</v>
      </c>
      <c r="E10" s="53" t="s">
        <v>41</v>
      </c>
      <c r="F10" s="52" t="s">
        <v>43</v>
      </c>
      <c r="G10" s="52" t="s">
        <v>45</v>
      </c>
      <c r="H10" s="52" t="s">
        <v>47</v>
      </c>
      <c r="I10" s="52" t="s">
        <v>49</v>
      </c>
      <c r="J10" s="52" t="s">
        <v>51</v>
      </c>
      <c r="K10" s="52" t="s">
        <v>55</v>
      </c>
      <c r="L10" s="52" t="s">
        <v>57</v>
      </c>
      <c r="M10" s="52" t="s">
        <v>59</v>
      </c>
      <c r="N10" s="52" t="s">
        <v>61</v>
      </c>
      <c r="O10" s="54" t="s">
        <v>62</v>
      </c>
    </row>
    <row r="11" spans="1:16" ht="24.95" customHeight="1" thickBot="1" x14ac:dyDescent="0.35">
      <c r="A11" s="35"/>
      <c r="B11" s="48" t="s">
        <v>15</v>
      </c>
      <c r="C11" s="104">
        <v>9800</v>
      </c>
      <c r="D11" s="105">
        <v>9800</v>
      </c>
      <c r="E11" s="105">
        <v>9800</v>
      </c>
      <c r="F11" s="105">
        <v>9800</v>
      </c>
      <c r="G11" s="105">
        <v>9800</v>
      </c>
      <c r="H11" s="105">
        <v>9800</v>
      </c>
      <c r="I11" s="105"/>
      <c r="J11" s="105"/>
      <c r="K11" s="105"/>
      <c r="L11" s="105"/>
      <c r="M11" s="105"/>
      <c r="N11" s="105"/>
      <c r="O11" s="106">
        <f t="shared" ref="O11:O18" si="1">SUM(C11:N11)</f>
        <v>58800</v>
      </c>
    </row>
    <row r="12" spans="1:16" ht="24.95" customHeight="1" thickBot="1" x14ac:dyDescent="0.35">
      <c r="A12" s="35"/>
      <c r="B12" s="48" t="s">
        <v>16</v>
      </c>
      <c r="C12" s="104">
        <v>4</v>
      </c>
      <c r="D12" s="105">
        <v>430</v>
      </c>
      <c r="E12" s="105">
        <v>385</v>
      </c>
      <c r="F12" s="105">
        <v>230</v>
      </c>
      <c r="G12" s="105">
        <v>87</v>
      </c>
      <c r="H12" s="105">
        <v>88</v>
      </c>
      <c r="I12" s="105"/>
      <c r="J12" s="105"/>
      <c r="K12" s="105"/>
      <c r="L12" s="105"/>
      <c r="M12" s="105"/>
      <c r="N12" s="105"/>
      <c r="O12" s="106">
        <f t="shared" si="1"/>
        <v>1224</v>
      </c>
    </row>
    <row r="13" spans="1:16" ht="24.95" customHeight="1" thickBot="1" x14ac:dyDescent="0.35">
      <c r="A13" s="35"/>
      <c r="B13" s="48" t="s">
        <v>17</v>
      </c>
      <c r="C13" s="104">
        <v>288</v>
      </c>
      <c r="D13" s="105">
        <v>278</v>
      </c>
      <c r="E13" s="105">
        <v>268</v>
      </c>
      <c r="F13" s="105">
        <v>299</v>
      </c>
      <c r="G13" s="105">
        <v>306</v>
      </c>
      <c r="H13" s="105">
        <v>290</v>
      </c>
      <c r="I13" s="105"/>
      <c r="J13" s="105"/>
      <c r="K13" s="105"/>
      <c r="L13" s="105"/>
      <c r="M13" s="105"/>
      <c r="N13" s="105"/>
      <c r="O13" s="106">
        <f t="shared" si="1"/>
        <v>1729</v>
      </c>
    </row>
    <row r="14" spans="1:16" ht="24.95" customHeight="1" thickBot="1" x14ac:dyDescent="0.35">
      <c r="A14" s="35"/>
      <c r="B14" s="48" t="s">
        <v>18</v>
      </c>
      <c r="C14" s="104">
        <v>35</v>
      </c>
      <c r="D14" s="105">
        <v>33</v>
      </c>
      <c r="E14" s="105">
        <v>34</v>
      </c>
      <c r="F14" s="105">
        <v>36</v>
      </c>
      <c r="G14" s="105">
        <v>34</v>
      </c>
      <c r="H14" s="105">
        <v>36</v>
      </c>
      <c r="I14" s="105"/>
      <c r="J14" s="105"/>
      <c r="K14" s="105"/>
      <c r="L14" s="105"/>
      <c r="M14" s="105"/>
      <c r="N14" s="105"/>
      <c r="O14" s="106">
        <f t="shared" si="1"/>
        <v>208</v>
      </c>
    </row>
    <row r="15" spans="1:16" ht="24.95" customHeight="1" thickBot="1" x14ac:dyDescent="0.35">
      <c r="A15" s="35"/>
      <c r="B15" s="48" t="s">
        <v>19</v>
      </c>
      <c r="C15" s="104">
        <v>224</v>
      </c>
      <c r="D15" s="105">
        <v>235</v>
      </c>
      <c r="E15" s="105">
        <v>265</v>
      </c>
      <c r="F15" s="105">
        <v>245</v>
      </c>
      <c r="G15" s="105">
        <v>245</v>
      </c>
      <c r="H15" s="105">
        <v>220</v>
      </c>
      <c r="I15" s="105"/>
      <c r="J15" s="105"/>
      <c r="K15" s="105"/>
      <c r="L15" s="105"/>
      <c r="M15" s="105"/>
      <c r="N15" s="105"/>
      <c r="O15" s="106">
        <f t="shared" si="1"/>
        <v>1434</v>
      </c>
    </row>
    <row r="16" spans="1:16" ht="24.95" customHeight="1" thickBot="1" x14ac:dyDescent="0.35">
      <c r="A16" s="35"/>
      <c r="B16" s="48" t="s">
        <v>20</v>
      </c>
      <c r="C16" s="104">
        <v>180</v>
      </c>
      <c r="D16" s="105">
        <v>180</v>
      </c>
      <c r="E16" s="105">
        <v>180</v>
      </c>
      <c r="F16" s="105">
        <v>180</v>
      </c>
      <c r="G16" s="105">
        <v>180</v>
      </c>
      <c r="H16" s="105">
        <v>180</v>
      </c>
      <c r="I16" s="105"/>
      <c r="J16" s="105"/>
      <c r="K16" s="105"/>
      <c r="L16" s="105"/>
      <c r="M16" s="105"/>
      <c r="N16" s="105"/>
      <c r="O16" s="106">
        <f t="shared" si="1"/>
        <v>1080</v>
      </c>
    </row>
    <row r="17" spans="1:15" ht="24.95" customHeight="1" thickBot="1" x14ac:dyDescent="0.35">
      <c r="A17" s="35"/>
      <c r="B17" s="48" t="s">
        <v>21</v>
      </c>
      <c r="C17" s="104">
        <v>256</v>
      </c>
      <c r="D17" s="105">
        <v>142</v>
      </c>
      <c r="E17" s="105">
        <v>160</v>
      </c>
      <c r="F17" s="105">
        <v>221</v>
      </c>
      <c r="G17" s="105">
        <v>256</v>
      </c>
      <c r="H17" s="105">
        <v>240</v>
      </c>
      <c r="I17" s="105"/>
      <c r="J17" s="105"/>
      <c r="K17" s="105"/>
      <c r="L17" s="105"/>
      <c r="M17" s="105"/>
      <c r="N17" s="105"/>
      <c r="O17" s="106">
        <f t="shared" si="1"/>
        <v>1275</v>
      </c>
    </row>
    <row r="18" spans="1:15" ht="24.95" customHeight="1" thickBot="1" x14ac:dyDescent="0.35">
      <c r="A18" s="35"/>
      <c r="B18" s="48" t="s">
        <v>22</v>
      </c>
      <c r="C18" s="104">
        <v>600</v>
      </c>
      <c r="D18" s="105">
        <v>600</v>
      </c>
      <c r="E18" s="105">
        <v>600</v>
      </c>
      <c r="F18" s="105">
        <v>600</v>
      </c>
      <c r="G18" s="105">
        <v>600</v>
      </c>
      <c r="H18" s="105">
        <v>600</v>
      </c>
      <c r="I18" s="105"/>
      <c r="J18" s="105"/>
      <c r="K18" s="105"/>
      <c r="L18" s="105"/>
      <c r="M18" s="105"/>
      <c r="N18" s="105"/>
      <c r="O18" s="106">
        <f t="shared" si="1"/>
        <v>3600</v>
      </c>
    </row>
    <row r="19" spans="1:15" ht="24.95" customHeight="1" x14ac:dyDescent="0.3">
      <c r="A19" s="35"/>
      <c r="B19" s="73" t="s">
        <v>13</v>
      </c>
      <c r="C19" s="113">
        <f>SUBTOTAL(109,Skutocne_naklady_na_kancelariu[Jan])</f>
        <v>11387</v>
      </c>
      <c r="D19" s="113">
        <f>SUBTOTAL(109,Skutocne_naklady_na_kancelariu[Feb])</f>
        <v>11698</v>
      </c>
      <c r="E19" s="113">
        <f>SUBTOTAL(109,Skutocne_naklady_na_kancelariu[Mar])</f>
        <v>11692</v>
      </c>
      <c r="F19" s="113">
        <f>SUBTOTAL(109,Skutocne_naklady_na_kancelariu[Apr])</f>
        <v>11611</v>
      </c>
      <c r="G19" s="113">
        <f>SUBTOTAL(109,Skutocne_naklady_na_kancelariu[Máj])</f>
        <v>11508</v>
      </c>
      <c r="H19" s="113">
        <f>SUBTOTAL(109,Skutocne_naklady_na_kancelariu[Jún])</f>
        <v>11454</v>
      </c>
      <c r="I19" s="113">
        <f>SUBTOTAL(109,Skutocne_naklady_na_kancelariu[Júl])</f>
        <v>0</v>
      </c>
      <c r="J19" s="113">
        <f>SUBTOTAL(109,Skutocne_naklady_na_kancelariu[Aug])</f>
        <v>0</v>
      </c>
      <c r="K19" s="113">
        <f>SUBTOTAL(109,Skutocne_naklady_na_kancelariu[Sep])</f>
        <v>0</v>
      </c>
      <c r="L19" s="113">
        <f>SUBTOTAL(109,Skutocne_naklady_na_kancelariu[Okt])</f>
        <v>0</v>
      </c>
      <c r="M19" s="113">
        <f>SUBTOTAL(109,Skutocne_naklady_na_kancelariu[Nov])</f>
        <v>0</v>
      </c>
      <c r="N19" s="113">
        <f>SUBTOTAL(109,Skutocne_naklady_na_kancelariu[Dec])</f>
        <v>0</v>
      </c>
      <c r="O19" s="114">
        <f>SUBTOTAL(109,Skutocne_naklady_na_kancelariu[ROK])</f>
        <v>69350</v>
      </c>
    </row>
    <row r="20" spans="1:15" ht="21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74" t="s">
        <v>23</v>
      </c>
      <c r="C21" s="71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48" t="s">
        <v>24</v>
      </c>
      <c r="C22" s="104">
        <v>500</v>
      </c>
      <c r="D22" s="105">
        <v>500</v>
      </c>
      <c r="E22" s="105">
        <v>500</v>
      </c>
      <c r="F22" s="105">
        <v>500</v>
      </c>
      <c r="G22" s="105">
        <v>500</v>
      </c>
      <c r="H22" s="105">
        <v>500</v>
      </c>
      <c r="I22" s="105"/>
      <c r="J22" s="105"/>
      <c r="K22" s="105"/>
      <c r="L22" s="105"/>
      <c r="M22" s="105"/>
      <c r="N22" s="105"/>
      <c r="O22" s="106">
        <f t="shared" ref="O22:O27" si="2">SUM(C22:N22)</f>
        <v>3000</v>
      </c>
    </row>
    <row r="23" spans="1:15" ht="24.95" customHeight="1" thickBot="1" x14ac:dyDescent="0.35">
      <c r="A23" s="35"/>
      <c r="B23" s="48" t="s">
        <v>25</v>
      </c>
      <c r="C23" s="104">
        <v>200</v>
      </c>
      <c r="D23" s="105">
        <v>200</v>
      </c>
      <c r="E23" s="105">
        <v>200</v>
      </c>
      <c r="F23" s="105">
        <v>200</v>
      </c>
      <c r="G23" s="105">
        <v>200</v>
      </c>
      <c r="H23" s="105">
        <v>1500</v>
      </c>
      <c r="I23" s="105"/>
      <c r="J23" s="105"/>
      <c r="K23" s="105"/>
      <c r="L23" s="105"/>
      <c r="M23" s="105"/>
      <c r="N23" s="105"/>
      <c r="O23" s="106">
        <f t="shared" si="2"/>
        <v>2500</v>
      </c>
    </row>
    <row r="24" spans="1:15" ht="24.95" customHeight="1" thickBot="1" x14ac:dyDescent="0.35">
      <c r="A24" s="35"/>
      <c r="B24" s="48" t="s">
        <v>26</v>
      </c>
      <c r="C24" s="104">
        <v>4800</v>
      </c>
      <c r="D24" s="105">
        <v>0</v>
      </c>
      <c r="E24" s="105">
        <v>0</v>
      </c>
      <c r="F24" s="105">
        <v>5500</v>
      </c>
      <c r="G24" s="105">
        <v>0</v>
      </c>
      <c r="H24" s="105">
        <v>0</v>
      </c>
      <c r="I24" s="105"/>
      <c r="J24" s="105"/>
      <c r="K24" s="105"/>
      <c r="L24" s="105"/>
      <c r="M24" s="105"/>
      <c r="N24" s="105"/>
      <c r="O24" s="106">
        <f t="shared" si="2"/>
        <v>10300</v>
      </c>
    </row>
    <row r="25" spans="1:15" ht="24.95" customHeight="1" thickBot="1" x14ac:dyDescent="0.35">
      <c r="A25" s="35"/>
      <c r="B25" s="48" t="s">
        <v>27</v>
      </c>
      <c r="C25" s="104">
        <v>100</v>
      </c>
      <c r="D25" s="105">
        <v>500</v>
      </c>
      <c r="E25" s="105">
        <v>100</v>
      </c>
      <c r="F25" s="105">
        <v>100</v>
      </c>
      <c r="G25" s="105">
        <v>600</v>
      </c>
      <c r="H25" s="105">
        <v>180</v>
      </c>
      <c r="I25" s="105"/>
      <c r="J25" s="105"/>
      <c r="K25" s="105"/>
      <c r="L25" s="105"/>
      <c r="M25" s="105"/>
      <c r="N25" s="105"/>
      <c r="O25" s="106">
        <f t="shared" si="2"/>
        <v>1580</v>
      </c>
    </row>
    <row r="26" spans="1:15" ht="24.95" customHeight="1" thickBot="1" x14ac:dyDescent="0.35">
      <c r="A26" s="35"/>
      <c r="B26" s="48" t="s">
        <v>28</v>
      </c>
      <c r="C26" s="104">
        <v>1800</v>
      </c>
      <c r="D26" s="105">
        <v>2200</v>
      </c>
      <c r="E26" s="105">
        <v>2200</v>
      </c>
      <c r="F26" s="105">
        <v>4700</v>
      </c>
      <c r="G26" s="105">
        <v>1500</v>
      </c>
      <c r="H26" s="105">
        <v>2300</v>
      </c>
      <c r="I26" s="105"/>
      <c r="J26" s="105"/>
      <c r="K26" s="105"/>
      <c r="L26" s="105"/>
      <c r="M26" s="105"/>
      <c r="N26" s="105"/>
      <c r="O26" s="106">
        <f t="shared" si="2"/>
        <v>14700</v>
      </c>
    </row>
    <row r="27" spans="1:15" ht="24.95" customHeight="1" thickBot="1" x14ac:dyDescent="0.35">
      <c r="A27" s="35"/>
      <c r="B27" s="48" t="s">
        <v>29</v>
      </c>
      <c r="C27" s="104">
        <v>145</v>
      </c>
      <c r="D27" s="105">
        <v>156</v>
      </c>
      <c r="E27" s="105">
        <v>123</v>
      </c>
      <c r="F27" s="105">
        <v>223</v>
      </c>
      <c r="G27" s="105">
        <v>187</v>
      </c>
      <c r="H27" s="105">
        <v>245</v>
      </c>
      <c r="I27" s="105"/>
      <c r="J27" s="105"/>
      <c r="K27" s="105"/>
      <c r="L27" s="105"/>
      <c r="M27" s="105"/>
      <c r="N27" s="105"/>
      <c r="O27" s="106">
        <f t="shared" si="2"/>
        <v>1079</v>
      </c>
    </row>
    <row r="28" spans="1:15" ht="24.95" customHeight="1" x14ac:dyDescent="0.3">
      <c r="A28" s="35"/>
      <c r="B28" s="70" t="s">
        <v>13</v>
      </c>
      <c r="C28" s="115">
        <f>SUBTOTAL(109,Skutocne_naklady_na_marketing[Jan])</f>
        <v>7545</v>
      </c>
      <c r="D28" s="113">
        <f>SUBTOTAL(109,Skutocne_naklady_na_marketing[Feb])</f>
        <v>3556</v>
      </c>
      <c r="E28" s="113">
        <f>SUBTOTAL(109,Skutocne_naklady_na_marketing[Mar])</f>
        <v>3123</v>
      </c>
      <c r="F28" s="113">
        <f>SUBTOTAL(109,Skutocne_naklady_na_marketing[Apr])</f>
        <v>11223</v>
      </c>
      <c r="G28" s="113">
        <f>SUBTOTAL(109,Skutocne_naklady_na_marketing[Máj])</f>
        <v>2987</v>
      </c>
      <c r="H28" s="113">
        <f>SUBTOTAL(109,Skutocne_naklady_na_marketing[Jún])</f>
        <v>4725</v>
      </c>
      <c r="I28" s="113">
        <f>SUBTOTAL(109,Skutocne_naklady_na_marketing[Júl])</f>
        <v>0</v>
      </c>
      <c r="J28" s="113">
        <f>SUBTOTAL(109,Skutocne_naklady_na_marketing[Aug])</f>
        <v>0</v>
      </c>
      <c r="K28" s="113">
        <f>SUBTOTAL(109,Skutocne_naklady_na_marketing[Sep])</f>
        <v>0</v>
      </c>
      <c r="L28" s="113">
        <f>SUBTOTAL(109,Skutocne_naklady_na_marketing[Okt])</f>
        <v>0</v>
      </c>
      <c r="M28" s="113">
        <f>SUBTOTAL(109,Skutocne_naklady_na_marketing[Nov])</f>
        <v>0</v>
      </c>
      <c r="N28" s="113">
        <f>SUBTOTAL(109,Skutocne_naklady_na_marketing[Dec])</f>
        <v>0</v>
      </c>
      <c r="O28" s="114">
        <f>SUBTOTAL(109,Skutocne_naklady_na_marketing[ROK])</f>
        <v>33159</v>
      </c>
    </row>
    <row r="29" spans="1:15" ht="21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4.95" customHeight="1" thickBot="1" x14ac:dyDescent="0.35">
      <c r="A31" s="35"/>
      <c r="B31" s="69" t="s">
        <v>31</v>
      </c>
      <c r="C31" s="105">
        <v>1600</v>
      </c>
      <c r="D31" s="105">
        <v>2400</v>
      </c>
      <c r="E31" s="105">
        <v>1400</v>
      </c>
      <c r="F31" s="105">
        <v>1600</v>
      </c>
      <c r="G31" s="105">
        <v>1200</v>
      </c>
      <c r="H31" s="105">
        <v>2800</v>
      </c>
      <c r="I31" s="105"/>
      <c r="J31" s="105"/>
      <c r="K31" s="105"/>
      <c r="L31" s="105"/>
      <c r="M31" s="105"/>
      <c r="N31" s="105"/>
      <c r="O31" s="106">
        <f>SUM(C31:N31)</f>
        <v>11000</v>
      </c>
    </row>
    <row r="32" spans="1:15" ht="24.95" customHeight="1" thickBot="1" x14ac:dyDescent="0.35">
      <c r="A32" s="35"/>
      <c r="B32" s="69" t="s">
        <v>32</v>
      </c>
      <c r="C32" s="105">
        <v>1200</v>
      </c>
      <c r="D32" s="105">
        <v>2200</v>
      </c>
      <c r="E32" s="105">
        <v>1400</v>
      </c>
      <c r="F32" s="105">
        <v>1200</v>
      </c>
      <c r="G32" s="105">
        <v>800</v>
      </c>
      <c r="H32" s="105">
        <v>3500</v>
      </c>
      <c r="I32" s="105"/>
      <c r="J32" s="105"/>
      <c r="K32" s="105"/>
      <c r="L32" s="105"/>
      <c r="M32" s="105"/>
      <c r="N32" s="105"/>
      <c r="O32" s="106">
        <f>SUM(C32:N32)</f>
        <v>10300</v>
      </c>
    </row>
    <row r="33" spans="1:16" ht="24.95" customHeight="1" x14ac:dyDescent="0.3">
      <c r="A33" s="35"/>
      <c r="B33" s="73" t="s">
        <v>13</v>
      </c>
      <c r="C33" s="113">
        <f>SUBTOTAL(109,Skutocne_naklady_na_skolenia_a_cestovanie[Jan])</f>
        <v>2800</v>
      </c>
      <c r="D33" s="113">
        <f>SUBTOTAL(109,Skutocne_naklady_na_skolenia_a_cestovanie[Feb])</f>
        <v>4600</v>
      </c>
      <c r="E33" s="113">
        <f>SUBTOTAL(109,Skutocne_naklady_na_skolenia_a_cestovanie[Mar])</f>
        <v>2800</v>
      </c>
      <c r="F33" s="113">
        <f>SUBTOTAL(109,Skutocne_naklady_na_skolenia_a_cestovanie[Apr])</f>
        <v>2800</v>
      </c>
      <c r="G33" s="113">
        <f>SUBTOTAL(109,Skutocne_naklady_na_skolenia_a_cestovanie[Máj])</f>
        <v>2000</v>
      </c>
      <c r="H33" s="113">
        <f>SUBTOTAL(109,Skutocne_naklady_na_skolenia_a_cestovanie[Jún])</f>
        <v>6300</v>
      </c>
      <c r="I33" s="113">
        <f>SUBTOTAL(109,Skutocne_naklady_na_skolenia_a_cestovanie[Júl])</f>
        <v>0</v>
      </c>
      <c r="J33" s="113">
        <f>SUBTOTAL(109,Skutocne_naklady_na_skolenia_a_cestovanie[Aug])</f>
        <v>0</v>
      </c>
      <c r="K33" s="113">
        <f>SUBTOTAL(109,Skutocne_naklady_na_skolenia_a_cestovanie[Sep])</f>
        <v>0</v>
      </c>
      <c r="L33" s="113">
        <f>SUBTOTAL(109,Skutocne_naklady_na_skolenia_a_cestovanie[Okt])</f>
        <v>0</v>
      </c>
      <c r="M33" s="113">
        <f>SUBTOTAL(109,Skutocne_naklady_na_skolenia_a_cestovanie[Nov])</f>
        <v>0</v>
      </c>
      <c r="N33" s="113">
        <f>SUBTOTAL(109,Skutocne_naklady_na_skolenia_a_cestovanie[Dec])</f>
        <v>0</v>
      </c>
      <c r="O33" s="114">
        <f>SUBTOTAL(109,Skutocne_naklady_na_skolenia_a_cestovanie[ROK])</f>
        <v>21300</v>
      </c>
    </row>
    <row r="34" spans="1:16" ht="21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24.95" customHeight="1" thickBot="1" x14ac:dyDescent="0.35">
      <c r="A35" s="35"/>
      <c r="B35" s="30" t="s">
        <v>35</v>
      </c>
      <c r="C35" s="31" t="s">
        <v>37</v>
      </c>
      <c r="D35" s="31" t="s">
        <v>39</v>
      </c>
      <c r="E35" s="31" t="s">
        <v>41</v>
      </c>
      <c r="F35" s="31" t="s">
        <v>43</v>
      </c>
      <c r="G35" s="31" t="s">
        <v>45</v>
      </c>
      <c r="H35" s="31" t="s">
        <v>47</v>
      </c>
      <c r="I35" s="31" t="s">
        <v>49</v>
      </c>
      <c r="J35" s="31" t="s">
        <v>51</v>
      </c>
      <c r="K35" s="31" t="s">
        <v>55</v>
      </c>
      <c r="L35" s="31" t="s">
        <v>57</v>
      </c>
      <c r="M35" s="31" t="s">
        <v>59</v>
      </c>
      <c r="N35" s="31" t="s">
        <v>61</v>
      </c>
      <c r="O35" s="76" t="s">
        <v>63</v>
      </c>
    </row>
    <row r="36" spans="1:16" ht="24.95" customHeight="1" thickBot="1" x14ac:dyDescent="0.35">
      <c r="A36" s="35"/>
      <c r="B36" s="75" t="s">
        <v>66</v>
      </c>
      <c r="C36" s="116">
        <f>Skutocne_naklady_na_skolenia_a_cestovanie[[#Totals],[Jan]]+Skutocne_naklady_na_marketing[[#Totals],[Jan]]+Skutocne_naklady_na_kancelariu[[#Totals],[Jan]]+Skutocne_naklady_na_zamestnancov[[#Totals],[Jan]]</f>
        <v>129682</v>
      </c>
      <c r="D36" s="117">
        <f>Skutocne_naklady_na_skolenia_a_cestovanie[[#Totals],[Feb]]+Skutocne_naklady_na_marketing[[#Totals],[Feb]]+Skutocne_naklady_na_kancelariu[[#Totals],[Feb]]+Skutocne_naklady_na_zamestnancov[[#Totals],[Feb]]</f>
        <v>127804</v>
      </c>
      <c r="E36" s="117">
        <f>Skutocne_naklady_na_skolenia_a_cestovanie[[#Totals],[Mar]]+Skutocne_naklady_na_marketing[[#Totals],[Mar]]+Skutocne_naklady_na_kancelariu[[#Totals],[Mar]]+Skutocne_naklady_na_zamestnancov[[#Totals],[Mar]]</f>
        <v>125565</v>
      </c>
      <c r="F36" s="117">
        <f>Skutocne_naklady_na_skolenia_a_cestovanie[[#Totals],[Apr]]+Skutocne_naklady_na_marketing[[#Totals],[Apr]]+Skutocne_naklady_na_kancelariu[[#Totals],[Apr]]+Skutocne_naklady_na_zamestnancov[[#Totals],[Apr]]</f>
        <v>137394</v>
      </c>
      <c r="G36" s="117">
        <f>Skutocne_naklady_na_skolenia_a_cestovanie[[#Totals],[Máj]]+Skutocne_naklady_na_marketing[[#Totals],[Máj]]+Skutocne_naklady_na_kancelariu[[#Totals],[Máj]]+Skutocne_naklady_na_zamestnancov[[#Totals],[Máj]]</f>
        <v>128255</v>
      </c>
      <c r="H36" s="117">
        <f>Skutocne_naklady_na_skolenia_a_cestovanie[[#Totals],[Jún]]+Skutocne_naklady_na_marketing[[#Totals],[Jún]]+Skutocne_naklady_na_kancelariu[[#Totals],[Jún]]+Skutocne_naklady_na_zamestnancov[[#Totals],[Jún]]</f>
        <v>134239</v>
      </c>
      <c r="I36" s="117">
        <f>Skutocne_naklady_na_skolenia_a_cestovanie[[#Totals],[Júl]]+Skutocne_naklady_na_marketing[[#Totals],[Júl]]+Skutocne_naklady_na_kancelariu[[#Totals],[Júl]]+Skutocne_naklady_na_zamestnancov[[#Totals],[Júl]]</f>
        <v>0</v>
      </c>
      <c r="J36" s="117">
        <f>Skutocne_naklady_na_skolenia_a_cestovanie[[#Totals],[Aug]]+Skutocne_naklady_na_marketing[[#Totals],[Aug]]+Skutocne_naklady_na_kancelariu[[#Totals],[Aug]]+Skutocne_naklady_na_zamestnancov[[#Totals],[Aug]]</f>
        <v>0</v>
      </c>
      <c r="K36" s="117">
        <f>Skutocne_naklady_na_skolenia_a_cestovanie[[#Totals],[Sep]]+Skutocne_naklady_na_marketing[[#Totals],[Sep]]+Skutocne_naklady_na_kancelariu[[#Totals],[Sep]]+Skutocne_naklady_na_zamestnancov[[#Totals],[Sep]]</f>
        <v>0</v>
      </c>
      <c r="L36" s="117">
        <f>Skutocne_naklady_na_skolenia_a_cestovanie[[#Totals],[Okt]]+Skutocne_naklady_na_marketing[[#Totals],[Okt]]+Skutocne_naklady_na_kancelariu[[#Totals],[Okt]]+Skutocne_naklady_na_zamestnancov[[#Totals],[Okt]]</f>
        <v>0</v>
      </c>
      <c r="M36" s="117">
        <f>Skutocne_naklady_na_skolenia_a_cestovanie[[#Totals],[Nov]]+Skutocne_naklady_na_marketing[[#Totals],[Nov]]+Skutocne_naklady_na_kancelariu[[#Totals],[Nov]]+Skutocne_naklady_na_zamestnancov[[#Totals],[Nov]]</f>
        <v>0</v>
      </c>
      <c r="N36" s="117">
        <f>Skutocne_naklady_na_skolenia_a_cestovanie[[#Totals],[Dec]]+Skutocne_naklady_na_marketing[[#Totals],[Dec]]+Skutocne_naklady_na_kancelariu[[#Totals],[Dec]]+Skutocne_naklady_na_zamestnancov[[#Totals],[Dec]]</f>
        <v>0</v>
      </c>
      <c r="O36" s="117">
        <f>Skutocne_naklady_na_skolenia_a_cestovanie[[#Totals],[ROK]]+Skutocne_naklady_na_marketing[[#Totals],[ROK]]+Skutocne_naklady_na_kancelariu[[#Totals],[ROK]]+Skutocne_naklady_na_zamestnancov[[#Totals],[ROK]]</f>
        <v>782939</v>
      </c>
      <c r="P36"/>
    </row>
    <row r="37" spans="1:16" ht="24.95" customHeight="1" thickBot="1" x14ac:dyDescent="0.35">
      <c r="A37" s="35"/>
      <c r="B37" s="75" t="s">
        <v>67</v>
      </c>
      <c r="C37" s="118">
        <f>SUM($C$36:C36)</f>
        <v>129682</v>
      </c>
      <c r="D37" s="119">
        <f>SUM($C$36:D36)</f>
        <v>257486</v>
      </c>
      <c r="E37" s="119">
        <f>SUM($C$36:E36)</f>
        <v>383051</v>
      </c>
      <c r="F37" s="119">
        <f>SUM($C$36:F36)</f>
        <v>520445</v>
      </c>
      <c r="G37" s="119">
        <f>SUM($C$36:G36)</f>
        <v>648700</v>
      </c>
      <c r="H37" s="120">
        <f>SUM($C$36:H36)</f>
        <v>782939</v>
      </c>
      <c r="I37" s="119">
        <f>SUM($C$36:I36)</f>
        <v>782939</v>
      </c>
      <c r="J37" s="119">
        <f>SUM($C$36:J36)</f>
        <v>782939</v>
      </c>
      <c r="K37" s="119">
        <f>SUM($C$36:K36)</f>
        <v>782939</v>
      </c>
      <c r="L37" s="119">
        <f>SUM($C$36:L36)</f>
        <v>782939</v>
      </c>
      <c r="M37" s="120">
        <f>SUM($C$36:M36)</f>
        <v>782939</v>
      </c>
      <c r="N37" s="119">
        <f>SUM($C$36:N36)</f>
        <v>782939</v>
      </c>
      <c r="O37" s="120"/>
      <c r="P37"/>
    </row>
    <row r="38" spans="1:16" ht="21" customHeight="1" x14ac:dyDescent="0.3">
      <c r="L38" s="16"/>
      <c r="M38" s="16"/>
      <c r="N38" s="16"/>
      <c r="O38" s="16"/>
    </row>
  </sheetData>
  <mergeCells count="2">
    <mergeCell ref="K2:M2"/>
    <mergeCell ref="K3:M3"/>
  </mergeCells>
  <dataValidations count="9">
    <dataValidation allowBlank="1" showInputMessage="1" showErrorMessage="1" prompt="V tejto bunke je zástupné logo." sqref="N2" xr:uid="{C95257D8-3930-4F5C-8D70-88B292233801}"/>
    <dataValidation allowBlank="1" showInputMessage="1" showErrorMessage="1" prompt="V tabuľke celkových skutočných nákladov začínajúcej v bunke napravo sa automaticky vypočítajú celkové skutočné výdavky." sqref="A4" xr:uid="{177C6CBD-70F5-4EE0-A8BD-78C9CA33B2BD}"/>
    <dataValidation allowBlank="1" showInputMessage="1" showErrorMessage="1" prompt="Zadajte náklady na zamestnancov do tabuľky Skutoční zamestnanci, začínajúc bunkou vpravo. Ďalší pokyn je v bunke A10." sqref="A5" xr:uid="{C3141D3D-0B91-4F53-BE3F-38687FD87D6B}"/>
    <dataValidation allowBlank="1" showInputMessage="1" showErrorMessage="1" prompt="Do tabuľky Office Actual zadajte náklady na kanceláriu počnúc bunkou vpravo. Ďalší pokyn je v bunke A21." sqref="A10" xr:uid="{6B251561-6C81-4CE6-8EBF-9D5790C7CB5E}"/>
    <dataValidation allowBlank="1" showInputMessage="1" showErrorMessage="1" prompt="Marketingové náklady zadajte do tabuľky Marketing Actual (Skutočné marketingové náklady) počnúc bunkou vpravo. Ďalší pokyn je v bunke A30." sqref="A21" xr:uid="{D284BFB1-3C99-4A34-BA1D-2099E5838FB2}"/>
    <dataValidation allowBlank="1" showInputMessage="1" showErrorMessage="1" prompt="Zadajte náklady na školenie alebo cestovné náklady do tabuľky Skutočné náklady na školenie a cestovné náklady počnúc bunkou vpravo. Ďalší pokyn je v bunke A35." sqref="A30" xr:uid="{255C7F8A-67BD-4F48-9D93-C907D407CF4C}"/>
    <dataValidation allowBlank="1" showInputMessage="1" showErrorMessage="1" sqref="A1" xr:uid="{79AE6394-A51C-466A-B4A1-C38D88BF4EBB}"/>
    <dataValidation allowBlank="1" showInputMessage="1" showErrorMessage="1" prompt="Názov spoločnosti sa automaticky aktualizuje v bunke vpravo. Názov tohto pracovného hárka je v bunke K2. Do bunky N2 zadajte logo." sqref="A2" xr:uid="{26A4B1D9-8F73-440F-9A07-A3F7DBC9AEEF}"/>
    <dataValidation allowBlank="1" showInputMessage="1" showErrorMessage="1" prompt="V bunke K3 je uvedený tip." sqref="A3" xr:uid="{7DD6B845-A534-4A07-B96C-7DC7C0D747FC}"/>
  </dataValidations>
  <pageMargins left="0.7" right="0.7" top="0.75" bottom="0.75" header="0.3" footer="0.3"/>
  <pageSetup paperSize="9" scale="68" fitToHeight="0" orientation="portrait" r:id="rId1"/>
  <colBreaks count="1" manualBreakCount="1">
    <brk id="8" max="37" man="1"/>
  </colBreaks>
  <ignoredErrors>
    <ignoredError sqref="B2 O31:O33 O22:O28 O11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6" style="2" customWidth="1"/>
    <col min="3" max="14" width="19.85546875" style="2" customWidth="1"/>
    <col min="15" max="15" width="19.2851562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6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16" s="1" customFormat="1" ht="45" customHeight="1" x14ac:dyDescent="0.35">
      <c r="A2" s="34"/>
      <c r="B2" s="91" t="str">
        <f>'PLÁNOVANÉ VÝDAVKY'!B2:D3</f>
        <v>Názov spoločnosti</v>
      </c>
      <c r="C2" s="91"/>
      <c r="D2" s="91"/>
      <c r="E2" s="11"/>
      <c r="F2" s="8"/>
      <c r="G2" s="8"/>
      <c r="H2" s="8"/>
      <c r="I2" s="8"/>
      <c r="J2" s="8"/>
      <c r="K2" s="96" t="str">
        <f>worksheet_title</f>
        <v>Podrobné odhady výdavkov</v>
      </c>
      <c r="L2" s="96"/>
      <c r="M2" s="96"/>
      <c r="N2" s="88"/>
      <c r="O2" s="88"/>
      <c r="P2" s="7"/>
    </row>
    <row r="3" spans="1:16" s="1" customFormat="1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98" t="s">
        <v>53</v>
      </c>
      <c r="L3" s="98"/>
      <c r="M3" s="98"/>
      <c r="N3" s="88"/>
      <c r="O3" s="88"/>
      <c r="P3" s="7"/>
    </row>
    <row r="4" spans="1:16" s="13" customFormat="1" ht="49.5" customHeight="1" x14ac:dyDescent="0.3">
      <c r="A4" s="35"/>
      <c r="B4" s="24" t="s">
        <v>68</v>
      </c>
      <c r="C4" s="101" t="s">
        <v>36</v>
      </c>
      <c r="D4" s="101" t="s">
        <v>38</v>
      </c>
      <c r="E4" s="101" t="s">
        <v>40</v>
      </c>
      <c r="F4" s="101" t="s">
        <v>42</v>
      </c>
      <c r="G4" s="101" t="s">
        <v>44</v>
      </c>
      <c r="H4" s="101" t="s">
        <v>46</v>
      </c>
      <c r="I4" s="101" t="s">
        <v>48</v>
      </c>
      <c r="J4" s="101" t="s">
        <v>50</v>
      </c>
      <c r="K4" s="101" t="s">
        <v>54</v>
      </c>
      <c r="L4" s="101" t="s">
        <v>56</v>
      </c>
      <c r="M4" s="101" t="s">
        <v>58</v>
      </c>
      <c r="N4" s="101" t="s">
        <v>60</v>
      </c>
      <c r="O4" s="25" t="s">
        <v>62</v>
      </c>
    </row>
    <row r="5" spans="1:16" ht="24.95" customHeight="1" thickBot="1" x14ac:dyDescent="0.35">
      <c r="A5" s="35"/>
      <c r="B5" s="62" t="s">
        <v>10</v>
      </c>
      <c r="C5" s="77" t="s">
        <v>37</v>
      </c>
      <c r="D5" s="77" t="s">
        <v>39</v>
      </c>
      <c r="E5" s="78" t="s">
        <v>41</v>
      </c>
      <c r="F5" s="77" t="s">
        <v>43</v>
      </c>
      <c r="G5" s="77" t="s">
        <v>45</v>
      </c>
      <c r="H5" s="77" t="s">
        <v>47</v>
      </c>
      <c r="I5" s="77" t="s">
        <v>49</v>
      </c>
      <c r="J5" s="77" t="s">
        <v>51</v>
      </c>
      <c r="K5" s="77" t="s">
        <v>55</v>
      </c>
      <c r="L5" s="77" t="s">
        <v>57</v>
      </c>
      <c r="M5" s="77" t="s">
        <v>59</v>
      </c>
      <c r="N5" s="77" t="s">
        <v>61</v>
      </c>
      <c r="O5" s="79" t="s">
        <v>62</v>
      </c>
    </row>
    <row r="6" spans="1:16" ht="24.95" customHeight="1" thickBot="1" x14ac:dyDescent="0.35">
      <c r="A6" s="35"/>
      <c r="B6" s="48" t="s">
        <v>11</v>
      </c>
      <c r="C6" s="104">
        <f>INDEX(Planovane_naklady_na_zamestnancov[],MATCH(INDEX(Odchylky_v_nakladoch[],ROW()-ROW(Odchylky_v_nakladoch[[#Headers],[Jan]]),1),INDEX(Planovane_naklady_na_zamestnancov[],,1),0),MATCH(Odchylky_v_nakladoch[[#Headers],[Jan]],Planovane_naklady_na_zamestnancov[#Headers],0))-INDEX(Skutocne_naklady_na_zamestnancov[],MATCH(INDEX(Odchylky_v_nakladoch[],ROW()-ROW(Odchylky_v_nakladoch[[#Headers],[Jan]]),1),INDEX(Planovane_naklady_na_zamestnancov[],,1),0),MATCH(Odchylky_v_nakladoch[[#Headers],[Jan]],Skutocne_naklady_na_zamestnancov[#Headers],0))</f>
        <v>0</v>
      </c>
      <c r="D6" s="105">
        <f>INDEX(Planovane_naklady_na_zamestnancov[],MATCH(INDEX(Odchylky_v_nakladoch[],ROW()-ROW(Odchylky_v_nakladoch[[#Headers],[Feb]]),1),INDEX(Planovane_naklady_na_zamestnancov[],,1),0),MATCH(Odchylky_v_nakladoch[[#Headers],[Feb]],Planovane_naklady_na_zamestnancov[#Headers],0))-INDEX(Skutocne_naklady_na_zamestnancov[],MATCH(INDEX(Odchylky_v_nakladoch[],ROW()-ROW(Odchylky_v_nakladoch[[#Headers],[Feb]]),1),INDEX(Planovane_naklady_na_zamestnancov[],,1),0),MATCH(Odchylky_v_nakladoch[[#Headers],[Feb]],Skutocne_naklady_na_zamestnancov[#Headers],0))</f>
        <v>0</v>
      </c>
      <c r="E6" s="105">
        <f>INDEX(Planovane_naklady_na_zamestnancov[],MATCH(INDEX(Odchylky_v_nakladoch[],ROW()-ROW(Odchylky_v_nakladoch[[#Headers],[Mar]]),1),INDEX(Planovane_naklady_na_zamestnancov[],,1),0),MATCH(Odchylky_v_nakladoch[[#Headers],[Mar]],Planovane_naklady_na_zamestnancov[#Headers],0))-INDEX(Skutocne_naklady_na_zamestnancov[],MATCH(INDEX(Odchylky_v_nakladoch[],ROW()-ROW(Odchylky_v_nakladoch[[#Headers],[Mar]]),1),INDEX(Planovane_naklady_na_zamestnancov[],,1),0),MATCH(Odchylky_v_nakladoch[[#Headers],[Mar]],Skutocne_naklady_na_zamestnancov[#Headers],0))</f>
        <v>0</v>
      </c>
      <c r="F6" s="105">
        <f>INDEX(Planovane_naklady_na_zamestnancov[],MATCH(INDEX(Odchylky_v_nakladoch[],ROW()-ROW(Odchylky_v_nakladoch[[#Headers],[Apr]]),1),INDEX(Planovane_naklady_na_zamestnancov[],,1),0),MATCH(Odchylky_v_nakladoch[[#Headers],[Apr]],Planovane_naklady_na_zamestnancov[#Headers],0))-INDEX(Skutocne_naklady_na_zamestnancov[],MATCH(INDEX(Odchylky_v_nakladoch[],ROW()-ROW(Odchylky_v_nakladoch[[#Headers],[Apr]]),1),INDEX(Planovane_naklady_na_zamestnancov[],,1),0),MATCH(Odchylky_v_nakladoch[[#Headers],[Apr]],Skutocne_naklady_na_zamestnancov[#Headers],0))</f>
        <v>-500</v>
      </c>
      <c r="G6" s="105">
        <f>INDEX(Planovane_naklady_na_zamestnancov[],MATCH(INDEX(Odchylky_v_nakladoch[],ROW()-ROW(Odchylky_v_nakladoch[[#Headers],[Máj]]),1),INDEX(Planovane_naklady_na_zamestnancov[],,1),0),MATCH(Odchylky_v_nakladoch[[#Headers],[Máj]],Planovane_naklady_na_zamestnancov[#Headers],0))-INDEX(Skutocne_naklady_na_zamestnancov[],MATCH(INDEX(Odchylky_v_nakladoch[],ROW()-ROW(Odchylky_v_nakladoch[[#Headers],[Máj]]),1),INDEX(Planovane_naklady_na_zamestnancov[],,1),0),MATCH(Odchylky_v_nakladoch[[#Headers],[Máj]],Skutocne_naklady_na_zamestnancov[#Headers],0))</f>
        <v>-500</v>
      </c>
      <c r="H6" s="105">
        <f>INDEX(Planovane_naklady_na_zamestnancov[],MATCH(INDEX(Odchylky_v_nakladoch[],ROW()-ROW(Odchylky_v_nakladoch[[#Headers],[Jún]]),1),INDEX(Planovane_naklady_na_zamestnancov[],,1),0),MATCH(Odchylky_v_nakladoch[[#Headers],[Jún]],Planovane_naklady_na_zamestnancov[#Headers],0))-INDEX(Skutocne_naklady_na_zamestnancov[],MATCH(INDEX(Odchylky_v_nakladoch[],ROW()-ROW(Odchylky_v_nakladoch[[#Headers],[Jún]]),1),INDEX(Planovane_naklady_na_zamestnancov[],,1),0),MATCH(Odchylky_v_nakladoch[[#Headers],[Jún]],Skutocne_naklady_na_zamestnancov[#Headers],0))</f>
        <v>-500</v>
      </c>
      <c r="I6" s="105">
        <f>INDEX(Planovane_naklady_na_zamestnancov[],MATCH(INDEX(Odchylky_v_nakladoch[],ROW()-ROW(Odchylky_v_nakladoch[[#Headers],[Júl]]),1),INDEX(Planovane_naklady_na_zamestnancov[],,1),0),MATCH(Odchylky_v_nakladoch[[#Headers],[Júl]],Planovane_naklady_na_zamestnancov[#Headers],0))-INDEX(Skutocne_naklady_na_zamestnancov[],MATCH(INDEX(Odchylky_v_nakladoch[],ROW()-ROW(Odchylky_v_nakladoch[[#Headers],[Júl]]),1),INDEX(Planovane_naklady_na_zamestnancov[],,1),0),MATCH(Odchylky_v_nakladoch[[#Headers],[Júl]],Skutocne_naklady_na_zamestnancov[#Headers],0))</f>
        <v>87500</v>
      </c>
      <c r="J6" s="105">
        <f>INDEX(Planovane_naklady_na_zamestnancov[],MATCH(INDEX(Odchylky_v_nakladoch[],ROW()-ROW(Odchylky_v_nakladoch[[#Headers],[Aug]]),1),INDEX(Planovane_naklady_na_zamestnancov[],,1),0),MATCH(Odchylky_v_nakladoch[[#Headers],[Aug]],Planovane_naklady_na_zamestnancov[#Headers],0))-INDEX(Skutocne_naklady_na_zamestnancov[],MATCH(INDEX(Odchylky_v_nakladoch[],ROW()-ROW(Odchylky_v_nakladoch[[#Headers],[Aug]]),1),INDEX(Planovane_naklady_na_zamestnancov[],,1),0),MATCH(Odchylky_v_nakladoch[[#Headers],[Aug]],Skutocne_naklady_na_zamestnancov[#Headers],0))</f>
        <v>92400</v>
      </c>
      <c r="K6" s="105">
        <f>INDEX(Planovane_naklady_na_zamestnancov[],MATCH(INDEX(Odchylky_v_nakladoch[],ROW()-ROW(Odchylky_v_nakladoch[[#Headers],[Sep]]),1),INDEX(Planovane_naklady_na_zamestnancov[],,1),0),MATCH(Odchylky_v_nakladoch[[#Headers],[Sep]],Planovane_naklady_na_zamestnancov[#Headers],0))-INDEX(Skutocne_naklady_na_zamestnancov[],MATCH(INDEX(Odchylky_v_nakladoch[],ROW()-ROW(Odchylky_v_nakladoch[[#Headers],[Sep]]),1),INDEX(Planovane_naklady_na_zamestnancov[],,1),0),MATCH(Odchylky_v_nakladoch[[#Headers],[Sep]],Skutocne_naklady_na_zamestnancov[#Headers],0))</f>
        <v>92400</v>
      </c>
      <c r="L6" s="105">
        <f>INDEX(Planovane_naklady_na_zamestnancov[],MATCH(INDEX(Odchylky_v_nakladoch[],ROW()-ROW(Odchylky_v_nakladoch[[#Headers],[Okt]]),1),INDEX(Planovane_naklady_na_zamestnancov[],,1),0),MATCH(Odchylky_v_nakladoch[[#Headers],[Okt]],Planovane_naklady_na_zamestnancov[#Headers],0))-INDEX(Skutocne_naklady_na_zamestnancov[],MATCH(INDEX(Odchylky_v_nakladoch[],ROW()-ROW(Odchylky_v_nakladoch[[#Headers],[Okt]]),1),INDEX(Planovane_naklady_na_zamestnancov[],,1),0),MATCH(Odchylky_v_nakladoch[[#Headers],[Okt]],Skutocne_naklady_na_zamestnancov[#Headers],0))</f>
        <v>92400</v>
      </c>
      <c r="M6" s="105">
        <f>INDEX(Planovane_naklady_na_zamestnancov[],MATCH(INDEX(Odchylky_v_nakladoch[],ROW()-ROW(Odchylky_v_nakladoch[[#Headers],[Nov]]),1),INDEX(Planovane_naklady_na_zamestnancov[],,1),0),MATCH(Odchylky_v_nakladoch[[#Headers],[Nov]],Planovane_naklady_na_zamestnancov[#Headers],0))-INDEX(Skutocne_naklady_na_zamestnancov[],MATCH(INDEX(Odchylky_v_nakladoch[],ROW()-ROW(Odchylky_v_nakladoch[[#Headers],[Nov]]),1),INDEX(Planovane_naklady_na_zamestnancov[],,1),0),MATCH(Odchylky_v_nakladoch[[#Headers],[Nov]],Skutocne_naklady_na_zamestnancov[#Headers],0))</f>
        <v>92400</v>
      </c>
      <c r="N6" s="105">
        <f>INDEX(Planovane_naklady_na_zamestnancov[],MATCH(INDEX(Odchylky_v_nakladoch[],ROW()-ROW(Odchylky_v_nakladoch[[#Headers],[Dec]]),1),INDEX(Planovane_naklady_na_zamestnancov[],,1),0),MATCH(Odchylky_v_nakladoch[[#Headers],[Dec]],Planovane_naklady_na_zamestnancov[#Headers],0))-INDEX(Skutocne_naklady_na_zamestnancov[],MATCH(INDEX(Odchylky_v_nakladoch[],ROW()-ROW(Odchylky_v_nakladoch[[#Headers],[Dec]]),1),INDEX(Planovane_naklady_na_zamestnancov[],,1),0),MATCH(Odchylky_v_nakladoch[[#Headers],[Dec]],Skutocne_naklady_na_zamestnancov[#Headers],0))</f>
        <v>92400</v>
      </c>
      <c r="O6" s="106">
        <f>SUM(Odchylky_v_nakladoch[[#This Row],[Jan]:[Dec]])</f>
        <v>548000</v>
      </c>
    </row>
    <row r="7" spans="1:16" ht="24.95" customHeight="1" thickBot="1" x14ac:dyDescent="0.35">
      <c r="A7" s="35"/>
      <c r="B7" s="48" t="s">
        <v>12</v>
      </c>
      <c r="C7" s="104">
        <f>INDEX(Planovane_naklady_na_zamestnancov[],MATCH(INDEX(Odchylky_v_nakladoch[],ROW()-ROW(Odchylky_v_nakladoch[[#Headers],[Jan]]),1),INDEX(Planovane_naklady_na_zamestnancov[],,1),0),MATCH(Odchylky_v_nakladoch[[#Headers],[Jan]],Planovane_naklady_na_zamestnancov[#Headers],0))-INDEX(Skutocne_naklady_na_zamestnancov[],MATCH(INDEX(Odchylky_v_nakladoch[],ROW()-ROW(Odchylky_v_nakladoch[[#Headers],[Jan]]),1),INDEX(Planovane_naklady_na_zamestnancov[],,1),0),MATCH(Odchylky_v_nakladoch[[#Headers],[Jan]],Skutocne_naklady_na_zamestnancov[#Headers],0))</f>
        <v>0</v>
      </c>
      <c r="D7" s="105">
        <f>INDEX(Planovane_naklady_na_zamestnancov[],MATCH(INDEX(Odchylky_v_nakladoch[],ROW()-ROW(Odchylky_v_nakladoch[[#Headers],[Feb]]),1),INDEX(Planovane_naklady_na_zamestnancov[],,1),0),MATCH(Odchylky_v_nakladoch[[#Headers],[Feb]],Planovane_naklady_na_zamestnancov[#Headers],0))-INDEX(Skutocne_naklady_na_zamestnancov[],MATCH(INDEX(Odchylky_v_nakladoch[],ROW()-ROW(Odchylky_v_nakladoch[[#Headers],[Feb]]),1),INDEX(Planovane_naklady_na_zamestnancov[],,1),0),MATCH(Odchylky_v_nakladoch[[#Headers],[Feb]],Skutocne_naklady_na_zamestnancov[#Headers],0))</f>
        <v>0</v>
      </c>
      <c r="E7" s="105">
        <f>INDEX(Planovane_naklady_na_zamestnancov[],MATCH(INDEX(Odchylky_v_nakladoch[],ROW()-ROW(Odchylky_v_nakladoch[[#Headers],[Mar]]),1),INDEX(Planovane_naklady_na_zamestnancov[],,1),0),MATCH(Odchylky_v_nakladoch[[#Headers],[Mar]],Planovane_naklady_na_zamestnancov[#Headers],0))-INDEX(Skutocne_naklady_na_zamestnancov[],MATCH(INDEX(Odchylky_v_nakladoch[],ROW()-ROW(Odchylky_v_nakladoch[[#Headers],[Mar]]),1),INDEX(Planovane_naklady_na_zamestnancov[],,1),0),MATCH(Odchylky_v_nakladoch[[#Headers],[Mar]],Skutocne_naklady_na_zamestnancov[#Headers],0))</f>
        <v>0</v>
      </c>
      <c r="F7" s="105">
        <f>INDEX(Planovane_naklady_na_zamestnancov[],MATCH(INDEX(Odchylky_v_nakladoch[],ROW()-ROW(Odchylky_v_nakladoch[[#Headers],[Apr]]),1),INDEX(Planovane_naklady_na_zamestnancov[],,1),0),MATCH(Odchylky_v_nakladoch[[#Headers],[Apr]],Planovane_naklady_na_zamestnancov[#Headers],0))-INDEX(Skutocne_naklady_na_zamestnancov[],MATCH(INDEX(Odchylky_v_nakladoch[],ROW()-ROW(Odchylky_v_nakladoch[[#Headers],[Apr]]),1),INDEX(Planovane_naklady_na_zamestnancov[],,1),0),MATCH(Odchylky_v_nakladoch[[#Headers],[Apr]],Skutocne_naklady_na_zamestnancov[#Headers],0))</f>
        <v>-135</v>
      </c>
      <c r="G7" s="105">
        <f>INDEX(Planovane_naklady_na_zamestnancov[],MATCH(INDEX(Odchylky_v_nakladoch[],ROW()-ROW(Odchylky_v_nakladoch[[#Headers],[Máj]]),1),INDEX(Planovane_naklady_na_zamestnancov[],,1),0),MATCH(Odchylky_v_nakladoch[[#Headers],[Máj]],Planovane_naklady_na_zamestnancov[#Headers],0))-INDEX(Skutocne_naklady_na_zamestnancov[],MATCH(INDEX(Odchylky_v_nakladoch[],ROW()-ROW(Odchylky_v_nakladoch[[#Headers],[Máj]]),1),INDEX(Planovane_naklady_na_zamestnancov[],,1),0),MATCH(Odchylky_v_nakladoch[[#Headers],[Máj]],Skutocne_naklady_na_zamestnancov[#Headers],0))</f>
        <v>-135</v>
      </c>
      <c r="H7" s="105">
        <f>INDEX(Planovane_naklady_na_zamestnancov[],MATCH(INDEX(Odchylky_v_nakladoch[],ROW()-ROW(Odchylky_v_nakladoch[[#Headers],[Jún]]),1),INDEX(Planovane_naklady_na_zamestnancov[],,1),0),MATCH(Odchylky_v_nakladoch[[#Headers],[Jún]],Planovane_naklady_na_zamestnancov[#Headers],0))-INDEX(Skutocne_naklady_na_zamestnancov[],MATCH(INDEX(Odchylky_v_nakladoch[],ROW()-ROW(Odchylky_v_nakladoch[[#Headers],[Jún]]),1),INDEX(Planovane_naklady_na_zamestnancov[],,1),0),MATCH(Odchylky_v_nakladoch[[#Headers],[Jún]],Skutocne_naklady_na_zamestnancov[#Headers],0))</f>
        <v>-135</v>
      </c>
      <c r="I7" s="105">
        <f>INDEX(Planovane_naklady_na_zamestnancov[],MATCH(INDEX(Odchylky_v_nakladoch[],ROW()-ROW(Odchylky_v_nakladoch[[#Headers],[Júl]]),1),INDEX(Planovane_naklady_na_zamestnancov[],,1),0),MATCH(Odchylky_v_nakladoch[[#Headers],[Júl]],Planovane_naklady_na_zamestnancov[#Headers],0))-INDEX(Skutocne_naklady_na_zamestnancov[],MATCH(INDEX(Odchylky_v_nakladoch[],ROW()-ROW(Odchylky_v_nakladoch[[#Headers],[Júl]]),1),INDEX(Planovane_naklady_na_zamestnancov[],,1),0),MATCH(Odchylky_v_nakladoch[[#Headers],[Júl]],Skutocne_naklady_na_zamestnancov[#Headers],0))</f>
        <v>23625</v>
      </c>
      <c r="J7" s="105">
        <f>INDEX(Planovane_naklady_na_zamestnancov[],MATCH(INDEX(Odchylky_v_nakladoch[],ROW()-ROW(Odchylky_v_nakladoch[[#Headers],[Aug]]),1),INDEX(Planovane_naklady_na_zamestnancov[],,1),0),MATCH(Odchylky_v_nakladoch[[#Headers],[Aug]],Planovane_naklady_na_zamestnancov[#Headers],0))-INDEX(Skutocne_naklady_na_zamestnancov[],MATCH(INDEX(Odchylky_v_nakladoch[],ROW()-ROW(Odchylky_v_nakladoch[[#Headers],[Aug]]),1),INDEX(Planovane_naklady_na_zamestnancov[],,1),0),MATCH(Odchylky_v_nakladoch[[#Headers],[Aug]],Skutocne_naklady_na_zamestnancov[#Headers],0))</f>
        <v>24948</v>
      </c>
      <c r="K7" s="105">
        <f>INDEX(Planovane_naklady_na_zamestnancov[],MATCH(INDEX(Odchylky_v_nakladoch[],ROW()-ROW(Odchylky_v_nakladoch[[#Headers],[Sep]]),1),INDEX(Planovane_naklady_na_zamestnancov[],,1),0),MATCH(Odchylky_v_nakladoch[[#Headers],[Sep]],Planovane_naklady_na_zamestnancov[#Headers],0))-INDEX(Skutocne_naklady_na_zamestnancov[],MATCH(INDEX(Odchylky_v_nakladoch[],ROW()-ROW(Odchylky_v_nakladoch[[#Headers],[Sep]]),1),INDEX(Planovane_naklady_na_zamestnancov[],,1),0),MATCH(Odchylky_v_nakladoch[[#Headers],[Sep]],Skutocne_naklady_na_zamestnancov[#Headers],0))</f>
        <v>24948</v>
      </c>
      <c r="L7" s="105">
        <f>INDEX(Planovane_naklady_na_zamestnancov[],MATCH(INDEX(Odchylky_v_nakladoch[],ROW()-ROW(Odchylky_v_nakladoch[[#Headers],[Okt]]),1),INDEX(Planovane_naklady_na_zamestnancov[],,1),0),MATCH(Odchylky_v_nakladoch[[#Headers],[Okt]],Planovane_naklady_na_zamestnancov[#Headers],0))-INDEX(Skutocne_naklady_na_zamestnancov[],MATCH(INDEX(Odchylky_v_nakladoch[],ROW()-ROW(Odchylky_v_nakladoch[[#Headers],[Okt]]),1),INDEX(Planovane_naklady_na_zamestnancov[],,1),0),MATCH(Odchylky_v_nakladoch[[#Headers],[Okt]],Skutocne_naklady_na_zamestnancov[#Headers],0))</f>
        <v>24948</v>
      </c>
      <c r="M7" s="105">
        <f>INDEX(Planovane_naklady_na_zamestnancov[],MATCH(INDEX(Odchylky_v_nakladoch[],ROW()-ROW(Odchylky_v_nakladoch[[#Headers],[Nov]]),1),INDEX(Planovane_naklady_na_zamestnancov[],,1),0),MATCH(Odchylky_v_nakladoch[[#Headers],[Nov]],Planovane_naklady_na_zamestnancov[#Headers],0))-INDEX(Skutocne_naklady_na_zamestnancov[],MATCH(INDEX(Odchylky_v_nakladoch[],ROW()-ROW(Odchylky_v_nakladoch[[#Headers],[Nov]]),1),INDEX(Planovane_naklady_na_zamestnancov[],,1),0),MATCH(Odchylky_v_nakladoch[[#Headers],[Nov]],Skutocne_naklady_na_zamestnancov[#Headers],0))</f>
        <v>24948</v>
      </c>
      <c r="N7" s="105">
        <f>INDEX(Planovane_naklady_na_zamestnancov[],MATCH(INDEX(Odchylky_v_nakladoch[],ROW()-ROW(Odchylky_v_nakladoch[[#Headers],[Dec]]),1),INDEX(Planovane_naklady_na_zamestnancov[],,1),0),MATCH(Odchylky_v_nakladoch[[#Headers],[Dec]],Planovane_naklady_na_zamestnancov[#Headers],0))-INDEX(Skutocne_naklady_na_zamestnancov[],MATCH(INDEX(Odchylky_v_nakladoch[],ROW()-ROW(Odchylky_v_nakladoch[[#Headers],[Dec]]),1),INDEX(Planovane_naklady_na_zamestnancov[],,1),0),MATCH(Odchylky_v_nakladoch[[#Headers],[Dec]],Skutocne_naklady_na_zamestnancov[#Headers],0))</f>
        <v>24948</v>
      </c>
      <c r="O7" s="106">
        <f>SUM(Odchylky_v_nakladoch[[#This Row],[Jan]:[Dec]])</f>
        <v>147960</v>
      </c>
    </row>
    <row r="8" spans="1:16" ht="24.95" customHeight="1" x14ac:dyDescent="0.3">
      <c r="A8" s="35"/>
      <c r="B8" s="80" t="s">
        <v>13</v>
      </c>
      <c r="C8" s="107">
        <f>SUBTOTAL(109,Odchylky_v_nakladoch[Jan])</f>
        <v>0</v>
      </c>
      <c r="D8" s="107">
        <f>SUBTOTAL(109,Odchylky_v_nakladoch[Feb])</f>
        <v>0</v>
      </c>
      <c r="E8" s="107">
        <f>SUBTOTAL(109,Odchylky_v_nakladoch[Mar])</f>
        <v>0</v>
      </c>
      <c r="F8" s="107">
        <f>SUBTOTAL(109,Odchylky_v_nakladoch[Apr])</f>
        <v>-635</v>
      </c>
      <c r="G8" s="107">
        <f>SUBTOTAL(109,Odchylky_v_nakladoch[Máj])</f>
        <v>-635</v>
      </c>
      <c r="H8" s="107">
        <f>SUBTOTAL(109,Odchylky_v_nakladoch[Jún])</f>
        <v>-635</v>
      </c>
      <c r="I8" s="107">
        <f>SUBTOTAL(109,Odchylky_v_nakladoch[Júl])</f>
        <v>111125</v>
      </c>
      <c r="J8" s="107">
        <f>SUBTOTAL(109,Odchylky_v_nakladoch[Aug])</f>
        <v>117348</v>
      </c>
      <c r="K8" s="107">
        <f>SUBTOTAL(109,Odchylky_v_nakladoch[Sep])</f>
        <v>117348</v>
      </c>
      <c r="L8" s="107">
        <f>SUBTOTAL(109,Odchylky_v_nakladoch[Okt])</f>
        <v>117348</v>
      </c>
      <c r="M8" s="107">
        <f>SUBTOTAL(109,Odchylky_v_nakladoch[Nov])</f>
        <v>117348</v>
      </c>
      <c r="N8" s="107">
        <f>SUBTOTAL(109,Odchylky_v_nakladoch[Dec])</f>
        <v>117348</v>
      </c>
      <c r="O8" s="108">
        <f>SUBTOTAL(109,Odchylky_v_nakladoch[ROK])</f>
        <v>695960</v>
      </c>
    </row>
    <row r="9" spans="1:16" ht="21" customHeight="1" x14ac:dyDescent="0.3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5"/>
      <c r="B10" s="51" t="s">
        <v>14</v>
      </c>
      <c r="C10" s="52" t="s">
        <v>37</v>
      </c>
      <c r="D10" s="52" t="s">
        <v>39</v>
      </c>
      <c r="E10" s="53" t="s">
        <v>41</v>
      </c>
      <c r="F10" s="52" t="s">
        <v>43</v>
      </c>
      <c r="G10" s="52" t="s">
        <v>45</v>
      </c>
      <c r="H10" s="52" t="s">
        <v>47</v>
      </c>
      <c r="I10" s="52" t="s">
        <v>49</v>
      </c>
      <c r="J10" s="52" t="s">
        <v>51</v>
      </c>
      <c r="K10" s="52" t="s">
        <v>55</v>
      </c>
      <c r="L10" s="52" t="s">
        <v>57</v>
      </c>
      <c r="M10" s="52" t="s">
        <v>59</v>
      </c>
      <c r="N10" s="52" t="s">
        <v>61</v>
      </c>
      <c r="O10" s="54" t="s">
        <v>62</v>
      </c>
    </row>
    <row r="11" spans="1:16" ht="24.95" customHeight="1" thickBot="1" x14ac:dyDescent="0.35">
      <c r="A11" s="35"/>
      <c r="B11" s="69" t="s">
        <v>15</v>
      </c>
      <c r="C11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0</v>
      </c>
      <c r="D11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0</v>
      </c>
      <c r="E11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0</v>
      </c>
      <c r="F11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0</v>
      </c>
      <c r="G11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0</v>
      </c>
      <c r="H11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0</v>
      </c>
      <c r="I11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9800</v>
      </c>
      <c r="J11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9800</v>
      </c>
      <c r="K11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9800</v>
      </c>
      <c r="L11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9800</v>
      </c>
      <c r="M11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9800</v>
      </c>
      <c r="N11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9800</v>
      </c>
      <c r="O11" s="106">
        <f>SUM(Odchylky_v_nakladoch_na_kancelariu[[#This Row],[Jan]:[Dec]])</f>
        <v>58800</v>
      </c>
    </row>
    <row r="12" spans="1:16" ht="24.95" customHeight="1" thickBot="1" x14ac:dyDescent="0.35">
      <c r="A12" s="35"/>
      <c r="B12" s="69" t="s">
        <v>16</v>
      </c>
      <c r="C12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-4</v>
      </c>
      <c r="D12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-30</v>
      </c>
      <c r="E12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15</v>
      </c>
      <c r="F12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-130</v>
      </c>
      <c r="G12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13</v>
      </c>
      <c r="H12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12</v>
      </c>
      <c r="I12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100</v>
      </c>
      <c r="J12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100</v>
      </c>
      <c r="K12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100</v>
      </c>
      <c r="L12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100</v>
      </c>
      <c r="M12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400</v>
      </c>
      <c r="N12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400</v>
      </c>
      <c r="O12" s="106">
        <f>SUM(Odchylky_v_nakladoch_na_kancelariu[[#This Row],[Jan]:[Dec]])</f>
        <v>1076</v>
      </c>
    </row>
    <row r="13" spans="1:16" ht="24.95" customHeight="1" thickBot="1" x14ac:dyDescent="0.35">
      <c r="A13" s="35"/>
      <c r="B13" s="69" t="s">
        <v>17</v>
      </c>
      <c r="C13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12</v>
      </c>
      <c r="D13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22</v>
      </c>
      <c r="E13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32</v>
      </c>
      <c r="F13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1</v>
      </c>
      <c r="G13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-6</v>
      </c>
      <c r="H13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10</v>
      </c>
      <c r="I13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300</v>
      </c>
      <c r="J13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300</v>
      </c>
      <c r="K13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300</v>
      </c>
      <c r="L13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300</v>
      </c>
      <c r="M13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300</v>
      </c>
      <c r="N13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300</v>
      </c>
      <c r="O13" s="106">
        <f>SUM(Odchylky_v_nakladoch_na_kancelariu[[#This Row],[Jan]:[Dec]])</f>
        <v>1871</v>
      </c>
    </row>
    <row r="14" spans="1:16" ht="24.95" customHeight="1" thickBot="1" x14ac:dyDescent="0.35">
      <c r="A14" s="35"/>
      <c r="B14" s="69" t="s">
        <v>18</v>
      </c>
      <c r="C14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5</v>
      </c>
      <c r="D14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7</v>
      </c>
      <c r="E14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6</v>
      </c>
      <c r="F14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4</v>
      </c>
      <c r="G14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6</v>
      </c>
      <c r="H14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4</v>
      </c>
      <c r="I14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40</v>
      </c>
      <c r="J14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40</v>
      </c>
      <c r="K14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40</v>
      </c>
      <c r="L14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40</v>
      </c>
      <c r="M14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40</v>
      </c>
      <c r="N14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40</v>
      </c>
      <c r="O14" s="106">
        <f>SUM(Odchylky_v_nakladoch_na_kancelariu[[#This Row],[Jan]:[Dec]])</f>
        <v>272</v>
      </c>
    </row>
    <row r="15" spans="1:16" ht="24.95" customHeight="1" thickBot="1" x14ac:dyDescent="0.35">
      <c r="A15" s="35"/>
      <c r="B15" s="69" t="s">
        <v>19</v>
      </c>
      <c r="C15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26</v>
      </c>
      <c r="D15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15</v>
      </c>
      <c r="E15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-15</v>
      </c>
      <c r="F15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5</v>
      </c>
      <c r="G15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5</v>
      </c>
      <c r="H15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30</v>
      </c>
      <c r="I15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250</v>
      </c>
      <c r="J15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250</v>
      </c>
      <c r="K15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250</v>
      </c>
      <c r="L15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250</v>
      </c>
      <c r="M15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250</v>
      </c>
      <c r="N15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250</v>
      </c>
      <c r="O15" s="106">
        <f>SUM(Odchylky_v_nakladoch_na_kancelariu[[#This Row],[Jan]:[Dec]])</f>
        <v>1566</v>
      </c>
    </row>
    <row r="16" spans="1:16" ht="24.95" customHeight="1" thickBot="1" x14ac:dyDescent="0.35">
      <c r="A16" s="35"/>
      <c r="B16" s="69" t="s">
        <v>20</v>
      </c>
      <c r="C16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0</v>
      </c>
      <c r="D16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0</v>
      </c>
      <c r="E16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0</v>
      </c>
      <c r="F16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0</v>
      </c>
      <c r="G16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0</v>
      </c>
      <c r="H16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0</v>
      </c>
      <c r="I16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180</v>
      </c>
      <c r="J16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180</v>
      </c>
      <c r="K16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180</v>
      </c>
      <c r="L16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180</v>
      </c>
      <c r="M16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180</v>
      </c>
      <c r="N16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180</v>
      </c>
      <c r="O16" s="106">
        <f>SUM(Odchylky_v_nakladoch_na_kancelariu[[#This Row],[Jan]:[Dec]])</f>
        <v>1080</v>
      </c>
    </row>
    <row r="17" spans="1:15" ht="24.95" customHeight="1" thickBot="1" x14ac:dyDescent="0.35">
      <c r="A17" s="35"/>
      <c r="B17" s="69" t="s">
        <v>21</v>
      </c>
      <c r="C17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-56</v>
      </c>
      <c r="D17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58</v>
      </c>
      <c r="E17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40</v>
      </c>
      <c r="F17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-21</v>
      </c>
      <c r="G17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-56</v>
      </c>
      <c r="H17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-40</v>
      </c>
      <c r="I17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200</v>
      </c>
      <c r="J17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200</v>
      </c>
      <c r="K17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200</v>
      </c>
      <c r="L17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200</v>
      </c>
      <c r="M17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200</v>
      </c>
      <c r="N17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200</v>
      </c>
      <c r="O17" s="106">
        <f>SUM(Odchylky_v_nakladoch_na_kancelariu[[#This Row],[Jan]:[Dec]])</f>
        <v>1125</v>
      </c>
    </row>
    <row r="18" spans="1:15" ht="24.95" customHeight="1" thickBot="1" x14ac:dyDescent="0.35">
      <c r="A18" s="35"/>
      <c r="B18" s="69" t="s">
        <v>22</v>
      </c>
      <c r="C18" s="105">
        <f>INDEX(Planovane_naklady_na_kancelariu[],MATCH(INDEX(Odchylky_v_nakladoch_na_kancelariu[],ROW()-ROW(Odchylky_v_nakladoch_na_kancelariu[[#Headers],[Jan]]),1),INDEX(Planovane_naklady_na_kancelariu[],,1),0),MATCH(Odchylky_v_nakladoch_na_kancelariu[[#Headers],[Jan]],Planovane_naklady_na_kancelariu[#Headers],0))-INDEX(Skutocne_naklady_na_kancelariu[],MATCH(INDEX(Odchylky_v_nakladoch_na_kancelariu[],ROW()-ROW(Odchylky_v_nakladoch_na_kancelariu[[#Headers],[Jan]]),1),INDEX(Planovane_naklady_na_kancelariu[],,1),0),MATCH(Odchylky_v_nakladoch_na_kancelariu[[#Headers],[Jan]],Skutocne_naklady_na_kancelariu[#Headers],0))</f>
        <v>0</v>
      </c>
      <c r="D18" s="105">
        <f>INDEX(Planovane_naklady_na_kancelariu[],MATCH(INDEX(Odchylky_v_nakladoch_na_kancelariu[],ROW()-ROW(Odchylky_v_nakladoch_na_kancelariu[[#Headers],[Feb]]),1),INDEX(Planovane_naklady_na_kancelariu[],,1),0),MATCH(Odchylky_v_nakladoch_na_kancelariu[[#Headers],[Feb]],Planovane_naklady_na_kancelariu[#Headers],0))-INDEX(Skutocne_naklady_na_kancelariu[],MATCH(INDEX(Odchylky_v_nakladoch_na_kancelariu[],ROW()-ROW(Odchylky_v_nakladoch_na_kancelariu[[#Headers],[Feb]]),1),INDEX(Planovane_naklady_na_kancelariu[],,1),0),MATCH(Odchylky_v_nakladoch_na_kancelariu[[#Headers],[Feb]],Skutocne_naklady_na_kancelariu[#Headers],0))</f>
        <v>0</v>
      </c>
      <c r="E18" s="105">
        <f>INDEX(Planovane_naklady_na_kancelariu[],MATCH(INDEX(Odchylky_v_nakladoch_na_kancelariu[],ROW()-ROW(Odchylky_v_nakladoch_na_kancelariu[[#Headers],[Mar]]),1),INDEX(Planovane_naklady_na_kancelariu[],,1),0),MATCH(Odchylky_v_nakladoch_na_kancelariu[[#Headers],[Mar]],Planovane_naklady_na_kancelariu[#Headers],0))-INDEX(Skutocne_naklady_na_kancelariu[],MATCH(INDEX(Odchylky_v_nakladoch_na_kancelariu[],ROW()-ROW(Odchylky_v_nakladoch_na_kancelariu[[#Headers],[Mar]]),1),INDEX(Planovane_naklady_na_kancelariu[],,1),0),MATCH(Odchylky_v_nakladoch_na_kancelariu[[#Headers],[Mar]],Skutocne_naklady_na_kancelariu[#Headers],0))</f>
        <v>0</v>
      </c>
      <c r="F18" s="105">
        <f>INDEX(Planovane_naklady_na_kancelariu[],MATCH(INDEX(Odchylky_v_nakladoch_na_kancelariu[],ROW()-ROW(Odchylky_v_nakladoch_na_kancelariu[[#Headers],[Apr]]),1),INDEX(Planovane_naklady_na_kancelariu[],,1),0),MATCH(Odchylky_v_nakladoch_na_kancelariu[[#Headers],[Apr]],Planovane_naklady_na_kancelariu[#Headers],0))-INDEX(Skutocne_naklady_na_kancelariu[],MATCH(INDEX(Odchylky_v_nakladoch_na_kancelariu[],ROW()-ROW(Odchylky_v_nakladoch_na_kancelariu[[#Headers],[Apr]]),1),INDEX(Planovane_naklady_na_kancelariu[],,1),0),MATCH(Odchylky_v_nakladoch_na_kancelariu[[#Headers],[Apr]],Skutocne_naklady_na_kancelariu[#Headers],0))</f>
        <v>0</v>
      </c>
      <c r="G18" s="105">
        <f>INDEX(Planovane_naklady_na_kancelariu[],MATCH(INDEX(Odchylky_v_nakladoch_na_kancelariu[],ROW()-ROW(Odchylky_v_nakladoch_na_kancelariu[[#Headers],[Máj]]),1),INDEX(Planovane_naklady_na_kancelariu[],,1),0),MATCH(Odchylky_v_nakladoch_na_kancelariu[[#Headers],[Máj]],Planovane_naklady_na_kancelariu[#Headers],0))-INDEX(Skutocne_naklady_na_kancelariu[],MATCH(INDEX(Odchylky_v_nakladoch_na_kancelariu[],ROW()-ROW(Odchylky_v_nakladoch_na_kancelariu[[#Headers],[Máj]]),1),INDEX(Planovane_naklady_na_kancelariu[],,1),0),MATCH(Odchylky_v_nakladoch_na_kancelariu[[#Headers],[Máj]],Skutocne_naklady_na_kancelariu[#Headers],0))</f>
        <v>0</v>
      </c>
      <c r="H18" s="105">
        <f>INDEX(Planovane_naklady_na_kancelariu[],MATCH(INDEX(Odchylky_v_nakladoch_na_kancelariu[],ROW()-ROW(Odchylky_v_nakladoch_na_kancelariu[[#Headers],[Jún]]),1),INDEX(Planovane_naklady_na_kancelariu[],,1),0),MATCH(Odchylky_v_nakladoch_na_kancelariu[[#Headers],[Jún]],Planovane_naklady_na_kancelariu[#Headers],0))-INDEX(Skutocne_naklady_na_kancelariu[],MATCH(INDEX(Odchylky_v_nakladoch_na_kancelariu[],ROW()-ROW(Odchylky_v_nakladoch_na_kancelariu[[#Headers],[Jún]]),1),INDEX(Planovane_naklady_na_kancelariu[],,1),0),MATCH(Odchylky_v_nakladoch_na_kancelariu[[#Headers],[Jún]],Skutocne_naklady_na_kancelariu[#Headers],0))</f>
        <v>0</v>
      </c>
      <c r="I18" s="105">
        <f>INDEX(Planovane_naklady_na_kancelariu[],MATCH(INDEX(Odchylky_v_nakladoch_na_kancelariu[],ROW()-ROW(Odchylky_v_nakladoch_na_kancelariu[[#Headers],[Júl]]),1),INDEX(Planovane_naklady_na_kancelariu[],,1),0),MATCH(Odchylky_v_nakladoch_na_kancelariu[[#Headers],[Júl]],Planovane_naklady_na_kancelariu[#Headers],0))-INDEX(Skutocne_naklady_na_kancelariu[],MATCH(INDEX(Odchylky_v_nakladoch_na_kancelariu[],ROW()-ROW(Odchylky_v_nakladoch_na_kancelariu[[#Headers],[Júl]]),1),INDEX(Planovane_naklady_na_kancelariu[],,1),0),MATCH(Odchylky_v_nakladoch_na_kancelariu[[#Headers],[Júl]],Skutocne_naklady_na_kancelariu[#Headers],0))</f>
        <v>600</v>
      </c>
      <c r="J18" s="105">
        <f>INDEX(Planovane_naklady_na_kancelariu[],MATCH(INDEX(Odchylky_v_nakladoch_na_kancelariu[],ROW()-ROW(Odchylky_v_nakladoch_na_kancelariu[[#Headers],[Aug]]),1),INDEX(Planovane_naklady_na_kancelariu[],,1),0),MATCH(Odchylky_v_nakladoch_na_kancelariu[[#Headers],[Aug]],Planovane_naklady_na_kancelariu[#Headers],0))-INDEX(Skutocne_naklady_na_kancelariu[],MATCH(INDEX(Odchylky_v_nakladoch_na_kancelariu[],ROW()-ROW(Odchylky_v_nakladoch_na_kancelariu[[#Headers],[Aug]]),1),INDEX(Planovane_naklady_na_kancelariu[],,1),0),MATCH(Odchylky_v_nakladoch_na_kancelariu[[#Headers],[Aug]],Skutocne_naklady_na_kancelariu[#Headers],0))</f>
        <v>600</v>
      </c>
      <c r="K18" s="105">
        <f>INDEX(Planovane_naklady_na_kancelariu[],MATCH(INDEX(Odchylky_v_nakladoch_na_kancelariu[],ROW()-ROW(Odchylky_v_nakladoch_na_kancelariu[[#Headers],[Sep]]),1),INDEX(Planovane_naklady_na_kancelariu[],,1),0),MATCH(Odchylky_v_nakladoch_na_kancelariu[[#Headers],[Sep]],Planovane_naklady_na_kancelariu[#Headers],0))-INDEX(Skutocne_naklady_na_kancelariu[],MATCH(INDEX(Odchylky_v_nakladoch_na_kancelariu[],ROW()-ROW(Odchylky_v_nakladoch_na_kancelariu[[#Headers],[Sep]]),1),INDEX(Planovane_naklady_na_kancelariu[],,1),0),MATCH(Odchylky_v_nakladoch_na_kancelariu[[#Headers],[Sep]],Skutocne_naklady_na_kancelariu[#Headers],0))</f>
        <v>600</v>
      </c>
      <c r="L18" s="105">
        <f>INDEX(Planovane_naklady_na_kancelariu[],MATCH(INDEX(Odchylky_v_nakladoch_na_kancelariu[],ROW()-ROW(Odchylky_v_nakladoch_na_kancelariu[[#Headers],[Okt]]),1),INDEX(Planovane_naklady_na_kancelariu[],,1),0),MATCH(Odchylky_v_nakladoch_na_kancelariu[[#Headers],[Okt]],Planovane_naklady_na_kancelariu[#Headers],0))-INDEX(Skutocne_naklady_na_kancelariu[],MATCH(INDEX(Odchylky_v_nakladoch_na_kancelariu[],ROW()-ROW(Odchylky_v_nakladoch_na_kancelariu[[#Headers],[Okt]]),1),INDEX(Planovane_naklady_na_kancelariu[],,1),0),MATCH(Odchylky_v_nakladoch_na_kancelariu[[#Headers],[Okt]],Skutocne_naklady_na_kancelariu[#Headers],0))</f>
        <v>600</v>
      </c>
      <c r="M18" s="105">
        <f>INDEX(Planovane_naklady_na_kancelariu[],MATCH(INDEX(Odchylky_v_nakladoch_na_kancelariu[],ROW()-ROW(Odchylky_v_nakladoch_na_kancelariu[[#Headers],[Nov]]),1),INDEX(Planovane_naklady_na_kancelariu[],,1),0),MATCH(Odchylky_v_nakladoch_na_kancelariu[[#Headers],[Nov]],Planovane_naklady_na_kancelariu[#Headers],0))-INDEX(Skutocne_naklady_na_kancelariu[],MATCH(INDEX(Odchylky_v_nakladoch_na_kancelariu[],ROW()-ROW(Odchylky_v_nakladoch_na_kancelariu[[#Headers],[Nov]]),1),INDEX(Planovane_naklady_na_kancelariu[],,1),0),MATCH(Odchylky_v_nakladoch_na_kancelariu[[#Headers],[Nov]],Skutocne_naklady_na_kancelariu[#Headers],0))</f>
        <v>600</v>
      </c>
      <c r="N18" s="105">
        <f>INDEX(Planovane_naklady_na_kancelariu[],MATCH(INDEX(Odchylky_v_nakladoch_na_kancelariu[],ROW()-ROW(Odchylky_v_nakladoch_na_kancelariu[[#Headers],[Dec]]),1),INDEX(Planovane_naklady_na_kancelariu[],,1),0),MATCH(Odchylky_v_nakladoch_na_kancelariu[[#Headers],[Dec]],Planovane_naklady_na_kancelariu[#Headers],0))-INDEX(Skutocne_naklady_na_kancelariu[],MATCH(INDEX(Odchylky_v_nakladoch_na_kancelariu[],ROW()-ROW(Odchylky_v_nakladoch_na_kancelariu[[#Headers],[Dec]]),1),INDEX(Planovane_naklady_na_kancelariu[],,1),0),MATCH(Odchylky_v_nakladoch_na_kancelariu[[#Headers],[Dec]],Skutocne_naklady_na_kancelariu[#Headers],0))</f>
        <v>600</v>
      </c>
      <c r="O18" s="106">
        <f>SUM(Odchylky_v_nakladoch_na_kancelariu[[#This Row],[Jan]:[Dec]])</f>
        <v>3600</v>
      </c>
    </row>
    <row r="19" spans="1:15" ht="24.95" customHeight="1" x14ac:dyDescent="0.3">
      <c r="A19" s="35"/>
      <c r="B19" s="82" t="s">
        <v>13</v>
      </c>
      <c r="C19" s="109">
        <f>SUBTOTAL(109,Odchylky_v_nakladoch_na_kancelariu[Jan])</f>
        <v>-17</v>
      </c>
      <c r="D19" s="107">
        <f>SUBTOTAL(109,Odchylky_v_nakladoch_na_kancelariu[Feb])</f>
        <v>72</v>
      </c>
      <c r="E19" s="107">
        <f>SUBTOTAL(109,Odchylky_v_nakladoch_na_kancelariu[Mar])</f>
        <v>78</v>
      </c>
      <c r="F19" s="107">
        <f>SUBTOTAL(109,Odchylky_v_nakladoch_na_kancelariu[Apr])</f>
        <v>-141</v>
      </c>
      <c r="G19" s="107">
        <f>SUBTOTAL(109,Odchylky_v_nakladoch_na_kancelariu[Máj])</f>
        <v>-38</v>
      </c>
      <c r="H19" s="107">
        <f>SUBTOTAL(109,Odchylky_v_nakladoch_na_kancelariu[Jún])</f>
        <v>16</v>
      </c>
      <c r="I19" s="107">
        <f>SUBTOTAL(109,Odchylky_v_nakladoch_na_kancelariu[Júl])</f>
        <v>11470</v>
      </c>
      <c r="J19" s="107">
        <f>SUBTOTAL(109,Odchylky_v_nakladoch_na_kancelariu[Aug])</f>
        <v>11470</v>
      </c>
      <c r="K19" s="107">
        <f>SUBTOTAL(109,Odchylky_v_nakladoch_na_kancelariu[Sep])</f>
        <v>11470</v>
      </c>
      <c r="L19" s="107">
        <f>SUBTOTAL(109,Odchylky_v_nakladoch_na_kancelariu[Okt])</f>
        <v>11470</v>
      </c>
      <c r="M19" s="107">
        <f>SUBTOTAL(109,Odchylky_v_nakladoch_na_kancelariu[Nov])</f>
        <v>11770</v>
      </c>
      <c r="N19" s="107">
        <f>SUBTOTAL(109,Odchylky_v_nakladoch_na_kancelariu[Dec])</f>
        <v>11770</v>
      </c>
      <c r="O19" s="108">
        <f>SUBTOTAL(109,Odchylky_v_nakladoch_na_kancelariu[ROK])</f>
        <v>69390</v>
      </c>
    </row>
    <row r="20" spans="1:15" ht="21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61" t="s">
        <v>23</v>
      </c>
      <c r="C21" s="52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69" t="s">
        <v>24</v>
      </c>
      <c r="C22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0</v>
      </c>
      <c r="D22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0</v>
      </c>
      <c r="E22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0</v>
      </c>
      <c r="F22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0</v>
      </c>
      <c r="G22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0</v>
      </c>
      <c r="H22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0</v>
      </c>
      <c r="I22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500</v>
      </c>
      <c r="J22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500</v>
      </c>
      <c r="K22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500</v>
      </c>
      <c r="L22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500</v>
      </c>
      <c r="M22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500</v>
      </c>
      <c r="N22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500</v>
      </c>
      <c r="O22" s="106">
        <f>SUM(Odchylky_v_nakladoch_na_marketing[[#This Row],[Jan]:[Dec]])</f>
        <v>3000</v>
      </c>
    </row>
    <row r="23" spans="1:15" ht="24.95" customHeight="1" thickBot="1" x14ac:dyDescent="0.35">
      <c r="A23" s="35"/>
      <c r="B23" s="69" t="s">
        <v>25</v>
      </c>
      <c r="C23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0</v>
      </c>
      <c r="D23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0</v>
      </c>
      <c r="E23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0</v>
      </c>
      <c r="F23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0</v>
      </c>
      <c r="G23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0</v>
      </c>
      <c r="H23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-500</v>
      </c>
      <c r="I23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200</v>
      </c>
      <c r="J23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200</v>
      </c>
      <c r="K23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200</v>
      </c>
      <c r="L23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200</v>
      </c>
      <c r="M23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200</v>
      </c>
      <c r="N23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1000</v>
      </c>
      <c r="O23" s="106">
        <f>SUM(Odchylky_v_nakladoch_na_marketing[[#This Row],[Jan]:[Dec]])</f>
        <v>1500</v>
      </c>
    </row>
    <row r="24" spans="1:15" ht="24.95" customHeight="1" thickBot="1" x14ac:dyDescent="0.35">
      <c r="A24" s="35"/>
      <c r="B24" s="69" t="s">
        <v>26</v>
      </c>
      <c r="C24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200</v>
      </c>
      <c r="D24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0</v>
      </c>
      <c r="E24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0</v>
      </c>
      <c r="F24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-500</v>
      </c>
      <c r="G24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0</v>
      </c>
      <c r="H24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0</v>
      </c>
      <c r="I24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5000</v>
      </c>
      <c r="J24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0</v>
      </c>
      <c r="K24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0</v>
      </c>
      <c r="L24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5000</v>
      </c>
      <c r="M24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0</v>
      </c>
      <c r="N24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0</v>
      </c>
      <c r="O24" s="106">
        <f>SUM(Odchylky_v_nakladoch_na_marketing[[#This Row],[Jan]:[Dec]])</f>
        <v>9700</v>
      </c>
    </row>
    <row r="25" spans="1:15" ht="24.95" customHeight="1" thickBot="1" x14ac:dyDescent="0.35">
      <c r="A25" s="35"/>
      <c r="B25" s="69" t="s">
        <v>27</v>
      </c>
      <c r="C25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100</v>
      </c>
      <c r="D25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-300</v>
      </c>
      <c r="E25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100</v>
      </c>
      <c r="F25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100</v>
      </c>
      <c r="G25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-400</v>
      </c>
      <c r="H25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20</v>
      </c>
      <c r="I25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200</v>
      </c>
      <c r="J25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200</v>
      </c>
      <c r="K25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200</v>
      </c>
      <c r="L25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200</v>
      </c>
      <c r="M25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200</v>
      </c>
      <c r="N25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200</v>
      </c>
      <c r="O25" s="106">
        <f>SUM(Odchylky_v_nakladoch_na_marketing[[#This Row],[Jan]:[Dec]])</f>
        <v>820</v>
      </c>
    </row>
    <row r="26" spans="1:15" ht="24.95" customHeight="1" thickBot="1" x14ac:dyDescent="0.35">
      <c r="A26" s="35"/>
      <c r="B26" s="69" t="s">
        <v>28</v>
      </c>
      <c r="C26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200</v>
      </c>
      <c r="D26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-200</v>
      </c>
      <c r="E26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-200</v>
      </c>
      <c r="F26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300</v>
      </c>
      <c r="G26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500</v>
      </c>
      <c r="H26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-300</v>
      </c>
      <c r="I26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2000</v>
      </c>
      <c r="J26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5000</v>
      </c>
      <c r="K26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2000</v>
      </c>
      <c r="L26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2000</v>
      </c>
      <c r="M26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2000</v>
      </c>
      <c r="N26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5000</v>
      </c>
      <c r="O26" s="106">
        <f>SUM(Odchylky_v_nakladoch_na_marketing[[#This Row],[Jan]:[Dec]])</f>
        <v>18300</v>
      </c>
    </row>
    <row r="27" spans="1:15" ht="24.95" customHeight="1" thickBot="1" x14ac:dyDescent="0.35">
      <c r="A27" s="35"/>
      <c r="B27" s="69" t="s">
        <v>29</v>
      </c>
      <c r="C27" s="105">
        <f>INDEX(Planovane_naklady_na_marketing[],MATCH(INDEX(Odchylky_v_nakladoch_na_marketing[],ROW()-ROW(Odchylky_v_nakladoch_na_marketing[[#Headers],[Jan]]),1),INDEX(Planovane_naklady_na_marketing[],,1),0),MATCH(Odchylky_v_nakladoch_na_marketing[[#Headers],[Jan]],Planovane_naklady_na_marketing[#Headers],0))-INDEX(Skutocne_naklady_na_marketing[],MATCH(INDEX(Odchylky_v_nakladoch_na_marketing[],ROW()-ROW(Odchylky_v_nakladoch_na_marketing[[#Headers],[Jan]]),1),INDEX(Planovane_naklady_na_marketing[],,1),0),MATCH(Odchylky_v_nakladoch_na_marketing[[#Headers],[Jan]],Skutocne_naklady_na_marketing[#Headers],0))</f>
        <v>55</v>
      </c>
      <c r="D27" s="105">
        <f>INDEX(Planovane_naklady_na_marketing[],MATCH(INDEX(Odchylky_v_nakladoch_na_marketing[],ROW()-ROW(Odchylky_v_nakladoch_na_marketing[[#Headers],[Feb]]),1),INDEX(Planovane_naklady_na_marketing[],,1),0),MATCH(Odchylky_v_nakladoch_na_marketing[[#Headers],[Feb]],Planovane_naklady_na_marketing[#Headers],0))-INDEX(Skutocne_naklady_na_marketing[],MATCH(INDEX(Odchylky_v_nakladoch_na_marketing[],ROW()-ROW(Odchylky_v_nakladoch_na_marketing[[#Headers],[Feb]]),1),INDEX(Planovane_naklady_na_marketing[],,1),0),MATCH(Odchylky_v_nakladoch_na_marketing[[#Headers],[Feb]],Skutocne_naklady_na_marketing[#Headers],0))</f>
        <v>44</v>
      </c>
      <c r="E27" s="105">
        <f>INDEX(Planovane_naklady_na_marketing[],MATCH(INDEX(Odchylky_v_nakladoch_na_marketing[],ROW()-ROW(Odchylky_v_nakladoch_na_marketing[[#Headers],[Mar]]),1),INDEX(Planovane_naklady_na_marketing[],,1),0),MATCH(Odchylky_v_nakladoch_na_marketing[[#Headers],[Mar]],Planovane_naklady_na_marketing[#Headers],0))-INDEX(Skutocne_naklady_na_marketing[],MATCH(INDEX(Odchylky_v_nakladoch_na_marketing[],ROW()-ROW(Odchylky_v_nakladoch_na_marketing[[#Headers],[Mar]]),1),INDEX(Planovane_naklady_na_marketing[],,1),0),MATCH(Odchylky_v_nakladoch_na_marketing[[#Headers],[Mar]],Skutocne_naklady_na_marketing[#Headers],0))</f>
        <v>77</v>
      </c>
      <c r="F27" s="105">
        <f>INDEX(Planovane_naklady_na_marketing[],MATCH(INDEX(Odchylky_v_nakladoch_na_marketing[],ROW()-ROW(Odchylky_v_nakladoch_na_marketing[[#Headers],[Apr]]),1),INDEX(Planovane_naklady_na_marketing[],,1),0),MATCH(Odchylky_v_nakladoch_na_marketing[[#Headers],[Apr]],Planovane_naklady_na_marketing[#Headers],0))-INDEX(Skutocne_naklady_na_marketing[],MATCH(INDEX(Odchylky_v_nakladoch_na_marketing[],ROW()-ROW(Odchylky_v_nakladoch_na_marketing[[#Headers],[Apr]]),1),INDEX(Planovane_naklady_na_marketing[],,1),0),MATCH(Odchylky_v_nakladoch_na_marketing[[#Headers],[Apr]],Skutocne_naklady_na_marketing[#Headers],0))</f>
        <v>-23</v>
      </c>
      <c r="G27" s="105">
        <f>INDEX(Planovane_naklady_na_marketing[],MATCH(INDEX(Odchylky_v_nakladoch_na_marketing[],ROW()-ROW(Odchylky_v_nakladoch_na_marketing[[#Headers],[Máj]]),1),INDEX(Planovane_naklady_na_marketing[],,1),0),MATCH(Odchylky_v_nakladoch_na_marketing[[#Headers],[Máj]],Planovane_naklady_na_marketing[#Headers],0))-INDEX(Skutocne_naklady_na_marketing[],MATCH(INDEX(Odchylky_v_nakladoch_na_marketing[],ROW()-ROW(Odchylky_v_nakladoch_na_marketing[[#Headers],[Máj]]),1),INDEX(Planovane_naklady_na_marketing[],,1),0),MATCH(Odchylky_v_nakladoch_na_marketing[[#Headers],[Máj]],Skutocne_naklady_na_marketing[#Headers],0))</f>
        <v>13</v>
      </c>
      <c r="H27" s="105">
        <f>INDEX(Planovane_naklady_na_marketing[],MATCH(INDEX(Odchylky_v_nakladoch_na_marketing[],ROW()-ROW(Odchylky_v_nakladoch_na_marketing[[#Headers],[Jún]]),1),INDEX(Planovane_naklady_na_marketing[],,1),0),MATCH(Odchylky_v_nakladoch_na_marketing[[#Headers],[Jún]],Planovane_naklady_na_marketing[#Headers],0))-INDEX(Skutocne_naklady_na_marketing[],MATCH(INDEX(Odchylky_v_nakladoch_na_marketing[],ROW()-ROW(Odchylky_v_nakladoch_na_marketing[[#Headers],[Jún]]),1),INDEX(Planovane_naklady_na_marketing[],,1),0),MATCH(Odchylky_v_nakladoch_na_marketing[[#Headers],[Jún]],Skutocne_naklady_na_marketing[#Headers],0))</f>
        <v>-45</v>
      </c>
      <c r="I27" s="105">
        <f>INDEX(Planovane_naklady_na_marketing[],MATCH(INDEX(Odchylky_v_nakladoch_na_marketing[],ROW()-ROW(Odchylky_v_nakladoch_na_marketing[[#Headers],[Júl]]),1),INDEX(Planovane_naklady_na_marketing[],,1),0),MATCH(Odchylky_v_nakladoch_na_marketing[[#Headers],[Júl]],Planovane_naklady_na_marketing[#Headers],0))-INDEX(Skutocne_naklady_na_marketing[],MATCH(INDEX(Odchylky_v_nakladoch_na_marketing[],ROW()-ROW(Odchylky_v_nakladoch_na_marketing[[#Headers],[Júl]]),1),INDEX(Planovane_naklady_na_marketing[],,1),0),MATCH(Odchylky_v_nakladoch_na_marketing[[#Headers],[Júl]],Skutocne_naklady_na_marketing[#Headers],0))</f>
        <v>200</v>
      </c>
      <c r="J27" s="105">
        <f>INDEX(Planovane_naklady_na_marketing[],MATCH(INDEX(Odchylky_v_nakladoch_na_marketing[],ROW()-ROW(Odchylky_v_nakladoch_na_marketing[[#Headers],[Aug]]),1),INDEX(Planovane_naklady_na_marketing[],,1),0),MATCH(Odchylky_v_nakladoch_na_marketing[[#Headers],[Aug]],Planovane_naklady_na_marketing[#Headers],0))-INDEX(Skutocne_naklady_na_marketing[],MATCH(INDEX(Odchylky_v_nakladoch_na_marketing[],ROW()-ROW(Odchylky_v_nakladoch_na_marketing[[#Headers],[Aug]]),1),INDEX(Planovane_naklady_na_marketing[],,1),0),MATCH(Odchylky_v_nakladoch_na_marketing[[#Headers],[Aug]],Skutocne_naklady_na_marketing[#Headers],0))</f>
        <v>200</v>
      </c>
      <c r="K27" s="105">
        <f>INDEX(Planovane_naklady_na_marketing[],MATCH(INDEX(Odchylky_v_nakladoch_na_marketing[],ROW()-ROW(Odchylky_v_nakladoch_na_marketing[[#Headers],[Sep]]),1),INDEX(Planovane_naklady_na_marketing[],,1),0),MATCH(Odchylky_v_nakladoch_na_marketing[[#Headers],[Sep]],Planovane_naklady_na_marketing[#Headers],0))-INDEX(Skutocne_naklady_na_marketing[],MATCH(INDEX(Odchylky_v_nakladoch_na_marketing[],ROW()-ROW(Odchylky_v_nakladoch_na_marketing[[#Headers],[Sep]]),1),INDEX(Planovane_naklady_na_marketing[],,1),0),MATCH(Odchylky_v_nakladoch_na_marketing[[#Headers],[Sep]],Skutocne_naklady_na_marketing[#Headers],0))</f>
        <v>200</v>
      </c>
      <c r="L27" s="105">
        <f>INDEX(Planovane_naklady_na_marketing[],MATCH(INDEX(Odchylky_v_nakladoch_na_marketing[],ROW()-ROW(Odchylky_v_nakladoch_na_marketing[[#Headers],[Okt]]),1),INDEX(Planovane_naklady_na_marketing[],,1),0),MATCH(Odchylky_v_nakladoch_na_marketing[[#Headers],[Okt]],Planovane_naklady_na_marketing[#Headers],0))-INDEX(Skutocne_naklady_na_marketing[],MATCH(INDEX(Odchylky_v_nakladoch_na_marketing[],ROW()-ROW(Odchylky_v_nakladoch_na_marketing[[#Headers],[Okt]]),1),INDEX(Planovane_naklady_na_marketing[],,1),0),MATCH(Odchylky_v_nakladoch_na_marketing[[#Headers],[Okt]],Skutocne_naklady_na_marketing[#Headers],0))</f>
        <v>200</v>
      </c>
      <c r="M27" s="105">
        <f>INDEX(Planovane_naklady_na_marketing[],MATCH(INDEX(Odchylky_v_nakladoch_na_marketing[],ROW()-ROW(Odchylky_v_nakladoch_na_marketing[[#Headers],[Nov]]),1),INDEX(Planovane_naklady_na_marketing[],,1),0),MATCH(Odchylky_v_nakladoch_na_marketing[[#Headers],[Nov]],Planovane_naklady_na_marketing[#Headers],0))-INDEX(Skutocne_naklady_na_marketing[],MATCH(INDEX(Odchylky_v_nakladoch_na_marketing[],ROW()-ROW(Odchylky_v_nakladoch_na_marketing[[#Headers],[Nov]]),1),INDEX(Planovane_naklady_na_marketing[],,1),0),MATCH(Odchylky_v_nakladoch_na_marketing[[#Headers],[Nov]],Skutocne_naklady_na_marketing[#Headers],0))</f>
        <v>200</v>
      </c>
      <c r="N27" s="105">
        <f>INDEX(Planovane_naklady_na_marketing[],MATCH(INDEX(Odchylky_v_nakladoch_na_marketing[],ROW()-ROW(Odchylky_v_nakladoch_na_marketing[[#Headers],[Dec]]),1),INDEX(Planovane_naklady_na_marketing[],,1),0),MATCH(Odchylky_v_nakladoch_na_marketing[[#Headers],[Dec]],Planovane_naklady_na_marketing[#Headers],0))-INDEX(Skutocne_naklady_na_marketing[],MATCH(INDEX(Odchylky_v_nakladoch_na_marketing[],ROW()-ROW(Odchylky_v_nakladoch_na_marketing[[#Headers],[Dec]]),1),INDEX(Planovane_naklady_na_marketing[],,1),0),MATCH(Odchylky_v_nakladoch_na_marketing[[#Headers],[Dec]],Skutocne_naklady_na_marketing[#Headers],0))</f>
        <v>200</v>
      </c>
      <c r="O27" s="106">
        <f>SUM(Odchylky_v_nakladoch_na_marketing[[#This Row],[Jan]:[Dec]])</f>
        <v>1321</v>
      </c>
    </row>
    <row r="28" spans="1:15" ht="24.95" customHeight="1" x14ac:dyDescent="0.3">
      <c r="A28" s="35"/>
      <c r="B28" s="81" t="s">
        <v>13</v>
      </c>
      <c r="C28" s="107">
        <f>SUBTOTAL(109,Odchylky_v_nakladoch_na_marketing[Jan])</f>
        <v>555</v>
      </c>
      <c r="D28" s="107">
        <f>SUBTOTAL(109,Odchylky_v_nakladoch_na_marketing[Feb])</f>
        <v>-456</v>
      </c>
      <c r="E28" s="107">
        <f>SUBTOTAL(109,Odchylky_v_nakladoch_na_marketing[Mar])</f>
        <v>-23</v>
      </c>
      <c r="F28" s="107">
        <f>SUBTOTAL(109,Odchylky_v_nakladoch_na_marketing[Apr])</f>
        <v>-123</v>
      </c>
      <c r="G28" s="107">
        <f>SUBTOTAL(109,Odchylky_v_nakladoch_na_marketing[Máj])</f>
        <v>113</v>
      </c>
      <c r="H28" s="107">
        <f>SUBTOTAL(109,Odchylky_v_nakladoch_na_marketing[Jún])</f>
        <v>-825</v>
      </c>
      <c r="I28" s="107">
        <f>SUBTOTAL(109,Odchylky_v_nakladoch_na_marketing[Júl])</f>
        <v>8100</v>
      </c>
      <c r="J28" s="107">
        <f>SUBTOTAL(109,Odchylky_v_nakladoch_na_marketing[Aug])</f>
        <v>6100</v>
      </c>
      <c r="K28" s="107">
        <f>SUBTOTAL(109,Odchylky_v_nakladoch_na_marketing[Sep])</f>
        <v>3100</v>
      </c>
      <c r="L28" s="107">
        <f>SUBTOTAL(109,Odchylky_v_nakladoch_na_marketing[Okt])</f>
        <v>8100</v>
      </c>
      <c r="M28" s="107">
        <f>SUBTOTAL(109,Odchylky_v_nakladoch_na_marketing[Nov])</f>
        <v>3100</v>
      </c>
      <c r="N28" s="107">
        <f>SUBTOTAL(109,Odchylky_v_nakladoch_na_marketing[Dec])</f>
        <v>6900</v>
      </c>
      <c r="O28" s="108">
        <f>SUBTOTAL(109,Odchylky_v_nakladoch_na_marketing[ROK])</f>
        <v>34641</v>
      </c>
    </row>
    <row r="29" spans="1:15" ht="21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4.95" customHeight="1" thickBot="1" x14ac:dyDescent="0.35">
      <c r="A31" s="35"/>
      <c r="B31" s="69" t="s">
        <v>31</v>
      </c>
      <c r="C31" s="105">
        <f>INDEX(Planova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Planovane_naklady_na_skolenia_a_cestovanie[#Headers],0))-INDEX(Skutoc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Skutocne_naklady_na_skolenia_a_cestovanie[#Headers],0))</f>
        <v>400</v>
      </c>
      <c r="D31" s="105">
        <f>INDEX(Planova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Planovane_naklady_na_skolenia_a_cestovanie[#Headers],0))-INDEX(Skutoc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Skutocne_naklady_na_skolenia_a_cestovanie[#Headers],0))</f>
        <v>-400</v>
      </c>
      <c r="E31" s="105">
        <f>INDEX(Planova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Planovane_naklady_na_skolenia_a_cestovanie[#Headers],0))-INDEX(Skutoc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Skutocne_naklady_na_skolenia_a_cestovanie[#Headers],0))</f>
        <v>600</v>
      </c>
      <c r="F31" s="105">
        <f>INDEX(Planova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Planovane_naklady_na_skolenia_a_cestovanie[#Headers],0))-INDEX(Skutoc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Skutocne_naklady_na_skolenia_a_cestovanie[#Headers],0))</f>
        <v>400</v>
      </c>
      <c r="G31" s="105">
        <f>INDEX(Planova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Planovane_naklady_na_skolenia_a_cestovanie[#Headers],0))-INDEX(Skutoc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Skutocne_naklady_na_skolenia_a_cestovanie[#Headers],0))</f>
        <v>800</v>
      </c>
      <c r="H31" s="105">
        <f>INDEX(Planova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Planovane_naklady_na_skolenia_a_cestovanie[#Headers],0))-INDEX(Skutoc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Skutocne_naklady_na_skolenia_a_cestovanie[#Headers],0))</f>
        <v>-800</v>
      </c>
      <c r="I31" s="105">
        <f>INDEX(Planova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Planovane_naklady_na_skolenia_a_cestovanie[#Headers],0))-INDEX(Skutoc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Skutocne_naklady_na_skolenia_a_cestovanie[#Headers],0))</f>
        <v>2000</v>
      </c>
      <c r="J31" s="105">
        <f>INDEX(Planova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Planovane_naklady_na_skolenia_a_cestovanie[#Headers],0))-INDEX(Skutoc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Skutocne_naklady_na_skolenia_a_cestovanie[#Headers],0))</f>
        <v>2000</v>
      </c>
      <c r="K31" s="105">
        <f>INDEX(Planova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Planovane_naklady_na_skolenia_a_cestovanie[#Headers],0))-INDEX(Skutoc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Skutocne_naklady_na_skolenia_a_cestovanie[#Headers],0))</f>
        <v>2000</v>
      </c>
      <c r="L31" s="105">
        <f>INDEX(Planova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Planovane_naklady_na_skolenia_a_cestovanie[#Headers],0))-INDEX(Skutoc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Skutocne_naklady_na_skolenia_a_cestovanie[#Headers],0))</f>
        <v>2000</v>
      </c>
      <c r="M31" s="105">
        <f>INDEX(Planova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Planovane_naklady_na_skolenia_a_cestovanie[#Headers],0))-INDEX(Skutoc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Skutocne_naklady_na_skolenia_a_cestovanie[#Headers],0))</f>
        <v>2000</v>
      </c>
      <c r="N31" s="105">
        <f>INDEX(Planova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Planovane_naklady_na_skolenia_a_cestovanie[#Headers],0))-INDEX(Skutoc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Skutocne_naklady_na_skolenia_a_cestovanie[#Headers],0))</f>
        <v>2000</v>
      </c>
      <c r="O31" s="106">
        <f>SUM(Odchylky_v_nakladoch_na_skolenie_a_cestovne[[#This Row],[Jan]:[Dec]])</f>
        <v>13000</v>
      </c>
    </row>
    <row r="32" spans="1:15" ht="24.95" customHeight="1" thickBot="1" x14ac:dyDescent="0.35">
      <c r="A32" s="35"/>
      <c r="B32" s="69" t="s">
        <v>32</v>
      </c>
      <c r="C32" s="105">
        <f>INDEX(Planova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Planovane_naklady_na_skolenia_a_cestovanie[#Headers],0))-INDEX(Skutocne_naklady_na_skolenia_a_cestovanie[],MATCH(INDEX(Odchylky_v_nakladoch_na_skolenie_a_cestovne[],ROW()-ROW(Odchylky_v_nakladoch_na_skolenie_a_cestovne[[#Headers],[Jan]]),1),INDEX(Planovane_naklady_na_skolenia_a_cestovanie[],,1),0),MATCH(Odchylky_v_nakladoch_na_skolenie_a_cestovne[[#Headers],[Jan]],Skutocne_naklady_na_skolenia_a_cestovanie[#Headers],0))</f>
        <v>800</v>
      </c>
      <c r="D32" s="105">
        <f>INDEX(Planova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Planovane_naklady_na_skolenia_a_cestovanie[#Headers],0))-INDEX(Skutocne_naklady_na_skolenia_a_cestovanie[],MATCH(INDEX(Odchylky_v_nakladoch_na_skolenie_a_cestovne[],ROW()-ROW(Odchylky_v_nakladoch_na_skolenie_a_cestovne[[#Headers],[Feb]]),1),INDEX(Planovane_naklady_na_skolenia_a_cestovanie[],,1),0),MATCH(Odchylky_v_nakladoch_na_skolenie_a_cestovne[[#Headers],[Feb]],Skutocne_naklady_na_skolenia_a_cestovanie[#Headers],0))</f>
        <v>-200</v>
      </c>
      <c r="E32" s="105">
        <f>INDEX(Planova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Planovane_naklady_na_skolenia_a_cestovanie[#Headers],0))-INDEX(Skutocne_naklady_na_skolenia_a_cestovanie[],MATCH(INDEX(Odchylky_v_nakladoch_na_skolenie_a_cestovne[],ROW()-ROW(Odchylky_v_nakladoch_na_skolenie_a_cestovne[[#Headers],[Mar]]),1),INDEX(Planovane_naklady_na_skolenia_a_cestovanie[],,1),0),MATCH(Odchylky_v_nakladoch_na_skolenie_a_cestovne[[#Headers],[Mar]],Skutocne_naklady_na_skolenia_a_cestovanie[#Headers],0))</f>
        <v>600</v>
      </c>
      <c r="F32" s="105">
        <f>INDEX(Planova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Planovane_naklady_na_skolenia_a_cestovanie[#Headers],0))-INDEX(Skutocne_naklady_na_skolenia_a_cestovanie[],MATCH(INDEX(Odchylky_v_nakladoch_na_skolenie_a_cestovne[],ROW()-ROW(Odchylky_v_nakladoch_na_skolenie_a_cestovne[[#Headers],[Apr]]),1),INDEX(Planovane_naklady_na_skolenia_a_cestovanie[],,1),0),MATCH(Odchylky_v_nakladoch_na_skolenie_a_cestovne[[#Headers],[Apr]],Skutocne_naklady_na_skolenia_a_cestovanie[#Headers],0))</f>
        <v>800</v>
      </c>
      <c r="G32" s="105">
        <f>INDEX(Planova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Planovane_naklady_na_skolenia_a_cestovanie[#Headers],0))-INDEX(Skutocne_naklady_na_skolenia_a_cestovanie[],MATCH(INDEX(Odchylky_v_nakladoch_na_skolenie_a_cestovne[],ROW()-ROW(Odchylky_v_nakladoch_na_skolenie_a_cestovne[[#Headers],[Máj]]),1),INDEX(Planovane_naklady_na_skolenia_a_cestovanie[],,1),0),MATCH(Odchylky_v_nakladoch_na_skolenie_a_cestovne[[#Headers],[Máj]],Skutocne_naklady_na_skolenia_a_cestovanie[#Headers],0))</f>
        <v>1200</v>
      </c>
      <c r="H32" s="105">
        <f>INDEX(Planova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Planovane_naklady_na_skolenia_a_cestovanie[#Headers],0))-INDEX(Skutocne_naklady_na_skolenia_a_cestovanie[],MATCH(INDEX(Odchylky_v_nakladoch_na_skolenie_a_cestovne[],ROW()-ROW(Odchylky_v_nakladoch_na_skolenie_a_cestovne[[#Headers],[Jún]]),1),INDEX(Planovane_naklady_na_skolenia_a_cestovanie[],,1),0),MATCH(Odchylky_v_nakladoch_na_skolenie_a_cestovne[[#Headers],[Jún]],Skutocne_naklady_na_skolenia_a_cestovanie[#Headers],0))</f>
        <v>-1500</v>
      </c>
      <c r="I32" s="105">
        <f>INDEX(Planova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Planovane_naklady_na_skolenia_a_cestovanie[#Headers],0))-INDEX(Skutocne_naklady_na_skolenia_a_cestovanie[],MATCH(INDEX(Odchylky_v_nakladoch_na_skolenie_a_cestovne[],ROW()-ROW(Odchylky_v_nakladoch_na_skolenie_a_cestovne[[#Headers],[Júl]]),1),INDEX(Planovane_naklady_na_skolenia_a_cestovanie[],,1),0),MATCH(Odchylky_v_nakladoch_na_skolenie_a_cestovne[[#Headers],[Júl]],Skutocne_naklady_na_skolenia_a_cestovanie[#Headers],0))</f>
        <v>2000</v>
      </c>
      <c r="J32" s="105">
        <f>INDEX(Planova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Planovane_naklady_na_skolenia_a_cestovanie[#Headers],0))-INDEX(Skutocne_naklady_na_skolenia_a_cestovanie[],MATCH(INDEX(Odchylky_v_nakladoch_na_skolenie_a_cestovne[],ROW()-ROW(Odchylky_v_nakladoch_na_skolenie_a_cestovne[[#Headers],[Aug]]),1),INDEX(Planovane_naklady_na_skolenia_a_cestovanie[],,1),0),MATCH(Odchylky_v_nakladoch_na_skolenie_a_cestovne[[#Headers],[Aug]],Skutocne_naklady_na_skolenia_a_cestovanie[#Headers],0))</f>
        <v>2000</v>
      </c>
      <c r="K32" s="105">
        <f>INDEX(Planova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Planovane_naklady_na_skolenia_a_cestovanie[#Headers],0))-INDEX(Skutocne_naklady_na_skolenia_a_cestovanie[],MATCH(INDEX(Odchylky_v_nakladoch_na_skolenie_a_cestovne[],ROW()-ROW(Odchylky_v_nakladoch_na_skolenie_a_cestovne[[#Headers],[Sep]]),1),INDEX(Planovane_naklady_na_skolenia_a_cestovanie[],,1),0),MATCH(Odchylky_v_nakladoch_na_skolenie_a_cestovne[[#Headers],[Sep]],Skutocne_naklady_na_skolenia_a_cestovanie[#Headers],0))</f>
        <v>2000</v>
      </c>
      <c r="L32" s="105">
        <f>INDEX(Planova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Planovane_naklady_na_skolenia_a_cestovanie[#Headers],0))-INDEX(Skutocne_naklady_na_skolenia_a_cestovanie[],MATCH(INDEX(Odchylky_v_nakladoch_na_skolenie_a_cestovne[],ROW()-ROW(Odchylky_v_nakladoch_na_skolenie_a_cestovne[[#Headers],[Okt]]),1),INDEX(Planovane_naklady_na_skolenia_a_cestovanie[],,1),0),MATCH(Odchylky_v_nakladoch_na_skolenie_a_cestovne[[#Headers],[Okt]],Skutocne_naklady_na_skolenia_a_cestovanie[#Headers],0))</f>
        <v>2000</v>
      </c>
      <c r="M32" s="105">
        <f>INDEX(Planova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Planovane_naklady_na_skolenia_a_cestovanie[#Headers],0))-INDEX(Skutocne_naklady_na_skolenia_a_cestovanie[],MATCH(INDEX(Odchylky_v_nakladoch_na_skolenie_a_cestovne[],ROW()-ROW(Odchylky_v_nakladoch_na_skolenie_a_cestovne[[#Headers],[Nov]]),1),INDEX(Planovane_naklady_na_skolenia_a_cestovanie[],,1),0),MATCH(Odchylky_v_nakladoch_na_skolenie_a_cestovne[[#Headers],[Nov]],Skutocne_naklady_na_skolenia_a_cestovanie[#Headers],0))</f>
        <v>2000</v>
      </c>
      <c r="N32" s="105">
        <f>INDEX(Planova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Planovane_naklady_na_skolenia_a_cestovanie[#Headers],0))-INDEX(Skutocne_naklady_na_skolenia_a_cestovanie[],MATCH(INDEX(Odchylky_v_nakladoch_na_skolenie_a_cestovne[],ROW()-ROW(Odchylky_v_nakladoch_na_skolenie_a_cestovne[[#Headers],[Dec]]),1),INDEX(Planovane_naklady_na_skolenia_a_cestovanie[],,1),0),MATCH(Odchylky_v_nakladoch_na_skolenie_a_cestovne[[#Headers],[Dec]],Skutocne_naklady_na_skolenia_a_cestovanie[#Headers],0))</f>
        <v>2000</v>
      </c>
      <c r="O32" s="106">
        <f>SUM(Odchylky_v_nakladoch_na_skolenie_a_cestovne[[#This Row],[Jan]:[Dec]])</f>
        <v>13700</v>
      </c>
    </row>
    <row r="33" spans="1:15" ht="24.95" customHeight="1" x14ac:dyDescent="0.3">
      <c r="A33" s="35"/>
      <c r="B33" s="83" t="s">
        <v>13</v>
      </c>
      <c r="C33" s="107">
        <f>SUBTOTAL(109,Odchylky_v_nakladoch_na_skolenie_a_cestovne[Jan])</f>
        <v>1200</v>
      </c>
      <c r="D33" s="107">
        <f>SUBTOTAL(109,Odchylky_v_nakladoch_na_skolenie_a_cestovne[Feb])</f>
        <v>-600</v>
      </c>
      <c r="E33" s="107">
        <f>SUBTOTAL(109,Odchylky_v_nakladoch_na_skolenie_a_cestovne[Mar])</f>
        <v>1200</v>
      </c>
      <c r="F33" s="107">
        <f>SUBTOTAL(109,Odchylky_v_nakladoch_na_skolenie_a_cestovne[Apr])</f>
        <v>1200</v>
      </c>
      <c r="G33" s="107">
        <f>SUBTOTAL(109,Odchylky_v_nakladoch_na_skolenie_a_cestovne[Máj])</f>
        <v>2000</v>
      </c>
      <c r="H33" s="107">
        <f>SUBTOTAL(109,Odchylky_v_nakladoch_na_skolenie_a_cestovne[Jún])</f>
        <v>-2300</v>
      </c>
      <c r="I33" s="107">
        <f>SUBTOTAL(109,Odchylky_v_nakladoch_na_skolenie_a_cestovne[Júl])</f>
        <v>4000</v>
      </c>
      <c r="J33" s="107">
        <f>SUBTOTAL(109,Odchylky_v_nakladoch_na_skolenie_a_cestovne[Aug])</f>
        <v>4000</v>
      </c>
      <c r="K33" s="107">
        <f>SUBTOTAL(109,Odchylky_v_nakladoch_na_skolenie_a_cestovne[Sep])</f>
        <v>4000</v>
      </c>
      <c r="L33" s="107">
        <f>SUBTOTAL(109,Odchylky_v_nakladoch_na_skolenie_a_cestovne[Okt])</f>
        <v>4000</v>
      </c>
      <c r="M33" s="107">
        <f>SUBTOTAL(109,Odchylky_v_nakladoch_na_skolenie_a_cestovne[Nov])</f>
        <v>4000</v>
      </c>
      <c r="N33" s="107">
        <f>SUBTOTAL(109,Odchylky_v_nakladoch_na_skolenie_a_cestovne[Dec])</f>
        <v>4000</v>
      </c>
      <c r="O33" s="108">
        <f>SUBTOTAL(109,Odchylky_v_nakladoch_na_skolenie_a_cestovne[ROK])</f>
        <v>26700</v>
      </c>
    </row>
    <row r="34" spans="1:15" ht="21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43"/>
      <c r="B35" s="14" t="s">
        <v>33</v>
      </c>
      <c r="C35" s="31" t="s">
        <v>37</v>
      </c>
      <c r="D35" s="31" t="s">
        <v>39</v>
      </c>
      <c r="E35" s="31" t="s">
        <v>41</v>
      </c>
      <c r="F35" s="31" t="s">
        <v>43</v>
      </c>
      <c r="G35" s="31" t="s">
        <v>45</v>
      </c>
      <c r="H35" s="31" t="s">
        <v>47</v>
      </c>
      <c r="I35" s="31" t="s">
        <v>49</v>
      </c>
      <c r="J35" s="31" t="s">
        <v>51</v>
      </c>
      <c r="K35" s="31" t="s">
        <v>55</v>
      </c>
      <c r="L35" s="31" t="s">
        <v>57</v>
      </c>
      <c r="M35" s="31" t="s">
        <v>59</v>
      </c>
      <c r="N35" s="31" t="s">
        <v>61</v>
      </c>
      <c r="O35" s="31" t="s">
        <v>63</v>
      </c>
    </row>
    <row r="36" spans="1:15" ht="24.95" customHeight="1" thickBot="1" x14ac:dyDescent="0.35">
      <c r="A36" s="35"/>
      <c r="B36" s="15" t="s">
        <v>66</v>
      </c>
      <c r="C36" s="110">
        <f>Odchylky_v_nakladoch_na_skolenie_a_cestovne[[#Totals],[Jan]]+Odchylky_v_nakladoch_na_marketing[[#Totals],[Jan]]+Odchylky_v_nakladoch_na_kancelariu[[#Totals],[Jan]]+Odchylky_v_nakladoch[[#Totals],[Jan]]</f>
        <v>1738</v>
      </c>
      <c r="D36" s="110">
        <f>Odchylky_v_nakladoch_na_skolenie_a_cestovne[[#Totals],[Feb]]+Odchylky_v_nakladoch_na_marketing[[#Totals],[Feb]]+Odchylky_v_nakladoch_na_kancelariu[[#Totals],[Feb]]+Odchylky_v_nakladoch[[#Totals],[Feb]]</f>
        <v>-984</v>
      </c>
      <c r="E36" s="110">
        <f>Odchylky_v_nakladoch_na_skolenie_a_cestovne[[#Totals],[Mar]]+Odchylky_v_nakladoch_na_marketing[[#Totals],[Mar]]+Odchylky_v_nakladoch_na_kancelariu[[#Totals],[Mar]]+Odchylky_v_nakladoch[[#Totals],[Mar]]</f>
        <v>1255</v>
      </c>
      <c r="F36" s="110">
        <f>Odchylky_v_nakladoch_na_skolenie_a_cestovne[[#Totals],[Apr]]+Odchylky_v_nakladoch_na_marketing[[#Totals],[Apr]]+Odchylky_v_nakladoch_na_kancelariu[[#Totals],[Apr]]+Odchylky_v_nakladoch[[#Totals],[Apr]]</f>
        <v>301</v>
      </c>
      <c r="G36" s="110">
        <f>Odchylky_v_nakladoch_na_skolenie_a_cestovne[[#Totals],[Máj]]+Odchylky_v_nakladoch_na_marketing[[#Totals],[Máj]]+Odchylky_v_nakladoch_na_kancelariu[[#Totals],[Máj]]+Odchylky_v_nakladoch[[#Totals],[Máj]]</f>
        <v>1440</v>
      </c>
      <c r="H36" s="110">
        <f>Odchylky_v_nakladoch_na_skolenie_a_cestovne[[#Totals],[Jún]]+Odchylky_v_nakladoch_na_marketing[[#Totals],[Jún]]+Odchylky_v_nakladoch_na_kancelariu[[#Totals],[Jún]]+Odchylky_v_nakladoch[[#Totals],[Jún]]</f>
        <v>-3744</v>
      </c>
      <c r="I36" s="110">
        <f>Odchylky_v_nakladoch_na_skolenie_a_cestovne[[#Totals],[Júl]]+Odchylky_v_nakladoch_na_marketing[[#Totals],[Júl]]+Odchylky_v_nakladoch_na_kancelariu[[#Totals],[Júl]]+Odchylky_v_nakladoch[[#Totals],[Júl]]</f>
        <v>134695</v>
      </c>
      <c r="J36" s="110">
        <f>Odchylky_v_nakladoch_na_skolenie_a_cestovne[[#Totals],[Aug]]+Odchylky_v_nakladoch_na_marketing[[#Totals],[Aug]]+Odchylky_v_nakladoch_na_kancelariu[[#Totals],[Aug]]+Odchylky_v_nakladoch[[#Totals],[Aug]]</f>
        <v>138918</v>
      </c>
      <c r="K36" s="110">
        <f>Odchylky_v_nakladoch_na_skolenie_a_cestovne[[#Totals],[Sep]]+Odchylky_v_nakladoch_na_marketing[[#Totals],[Sep]]+Odchylky_v_nakladoch_na_kancelariu[[#Totals],[Sep]]+Odchylky_v_nakladoch[[#Totals],[Sep]]</f>
        <v>135918</v>
      </c>
      <c r="L36" s="110">
        <f>Odchylky_v_nakladoch_na_skolenie_a_cestovne[[#Totals],[Okt]]+Odchylky_v_nakladoch_na_marketing[[#Totals],[Okt]]+Odchylky_v_nakladoch_na_kancelariu[[#Totals],[Okt]]+Odchylky_v_nakladoch[[#Totals],[Okt]]</f>
        <v>140918</v>
      </c>
      <c r="M36" s="110">
        <f>Odchylky_v_nakladoch_na_skolenie_a_cestovne[[#Totals],[Nov]]+Odchylky_v_nakladoch_na_marketing[[#Totals],[Nov]]+Odchylky_v_nakladoch_na_kancelariu[[#Totals],[Nov]]+Odchylky_v_nakladoch[[#Totals],[Nov]]</f>
        <v>136218</v>
      </c>
      <c r="N36" s="110">
        <f>Odchylky_v_nakladoch_na_skolenie_a_cestovne[[#Totals],[Dec]]+Odchylky_v_nakladoch_na_marketing[[#Totals],[Dec]]+Odchylky_v_nakladoch_na_kancelariu[[#Totals],[Dec]]+Odchylky_v_nakladoch[[#Totals],[Dec]]</f>
        <v>140018</v>
      </c>
      <c r="O36" s="110">
        <f>Odchylky_v_nakladoch_na_skolenie_a_cestovne[[#Totals],[ROK]]+Odchylky_v_nakladoch_na_marketing[[#Totals],[ROK]]+Odchylky_v_nakladoch_na_kancelariu[[#Totals],[ROK]]+Odchylky_v_nakladoch[[#Totals],[ROK]]</f>
        <v>826691</v>
      </c>
    </row>
    <row r="37" spans="1:15" ht="24.95" customHeight="1" thickBot="1" x14ac:dyDescent="0.35">
      <c r="A37" s="35"/>
      <c r="B37" s="15" t="s">
        <v>67</v>
      </c>
      <c r="C37" s="111">
        <f>SUM($C$36:C36)</f>
        <v>1738</v>
      </c>
      <c r="D37" s="111">
        <f>SUM($C$36:D36)</f>
        <v>754</v>
      </c>
      <c r="E37" s="111">
        <f>SUM($C$36:E36)</f>
        <v>2009</v>
      </c>
      <c r="F37" s="111">
        <f>SUM($C$36:F36)</f>
        <v>2310</v>
      </c>
      <c r="G37" s="111">
        <f>SUM($C$36:G36)</f>
        <v>3750</v>
      </c>
      <c r="H37" s="111">
        <f>SUM($C$36:H36)</f>
        <v>6</v>
      </c>
      <c r="I37" s="111">
        <f>SUM($C$36:I36)</f>
        <v>134701</v>
      </c>
      <c r="J37" s="111">
        <f>SUM($C$36:J36)</f>
        <v>273619</v>
      </c>
      <c r="K37" s="111">
        <f>SUM($C$36:K36)</f>
        <v>409537</v>
      </c>
      <c r="L37" s="111">
        <f>SUM($C$36:L36)</f>
        <v>550455</v>
      </c>
      <c r="M37" s="111">
        <f>SUM($C$36:M36)</f>
        <v>686673</v>
      </c>
      <c r="N37" s="111">
        <f>SUM($C$36:N36)</f>
        <v>826691</v>
      </c>
      <c r="O37" s="111"/>
    </row>
    <row r="38" spans="1:15" ht="21" customHeight="1" x14ac:dyDescent="0.3">
      <c r="A38" s="35"/>
      <c r="D38" s="16"/>
    </row>
  </sheetData>
  <mergeCells count="2">
    <mergeCell ref="K2:M2"/>
    <mergeCell ref="K3:M3"/>
  </mergeCells>
  <conditionalFormatting sqref="C6:O8">
    <cfRule type="cellIs" dxfId="277" priority="5" operator="lessThan">
      <formula>0</formula>
    </cfRule>
  </conditionalFormatting>
  <conditionalFormatting sqref="C11:O19">
    <cfRule type="cellIs" dxfId="276" priority="4" operator="lessThan">
      <formula>0</formula>
    </cfRule>
  </conditionalFormatting>
  <conditionalFormatting sqref="C22:O28">
    <cfRule type="cellIs" dxfId="275" priority="3" operator="lessThan">
      <formula>0</formula>
    </cfRule>
  </conditionalFormatting>
  <conditionalFormatting sqref="C31:O33">
    <cfRule type="cellIs" dxfId="274" priority="2" operator="lessThan">
      <formula>0</formula>
    </cfRule>
  </conditionalFormatting>
  <conditionalFormatting sqref="C36:O37">
    <cfRule type="cellIs" dxfId="273" priority="1" operator="lessThan">
      <formula>0</formula>
    </cfRule>
  </conditionalFormatting>
  <dataValidations count="10">
    <dataValidation allowBlank="1" showInputMessage="1" showErrorMessage="1" prompt="V tejto bunke je zástupné logo." sqref="N2" xr:uid="{37781601-5DCB-461E-AE37-039617AC3765}"/>
    <dataValidation allowBlank="1" showInputMessage="1" showErrorMessage="1" prompt="V bunke napravo je uvedené označenie Odchýlky vo výdavkoch, v bunkách C4 až N4 sú mesiace a v bunke O4 je označenie Rok." sqref="A4" xr:uid="{30EF6476-989C-4E19-8BDE-66AFC1B5F398}"/>
    <dataValidation allowBlank="1" showInputMessage="1" showErrorMessage="1" prompt="Rozdiel v nákladoch na zamestnancov sa automaticky vypočíta v tabuľke Rozdiely zamestnancov počnúc bunkou vpravo. Ďalší pokyn je v bunke A10." sqref="A5" xr:uid="{839F8F2D-41ED-4FCE-836B-A98A823A57CC}"/>
    <dataValidation allowBlank="1" showInputMessage="1" showErrorMessage="1" prompt="Rozdiel v nákladoch na kanceláriu sa automaticky vypočíta v tabuľke Rozdiely v kancelárii, ktorá začína v bunke vpravo. Ďalší pokyn je v bunke A21." sqref="A10" xr:uid="{27073073-4E55-44AA-82CF-0E84E7DE56D1}"/>
    <dataValidation allowBlank="1" showInputMessage="1" showErrorMessage="1" prompt="Rozdiel v marketingových nákladoch sa automaticky vypočíta v tabuľke Rozdiely v marketingu počnúc bunkou vpravo. Ďalší pokyn je v bunke A30." sqref="A21" xr:uid="{DE322E29-78F0-4CAC-A794-538FBE82A952}"/>
    <dataValidation allowBlank="1" showInputMessage="1" showErrorMessage="1" prompt="Rozdiel v nákladoch na školenia alebo cestovné náklady sa automaticky vypočíta v tabuľke Rozdiely v nákladoch na školenia a cestovné náklady, ktorá začína v bunke vpravo. Ďalší pokyn je v bunke A35." sqref="A30" xr:uid="{E7DC2698-49F1-46FA-BC02-81CE67BF794B}"/>
    <dataValidation allowBlank="1" showInputMessage="1" showErrorMessage="1" prompt="V tabuľke celkových odchýlok začínajúcej v bunke napravo sa automaticky vypočítajú celkové odchýlky vo výdavkoch." sqref="A35" xr:uid="{96167FAC-0878-4372-B9C2-FE529C7ABF6D}"/>
    <dataValidation allowBlank="1" showInputMessage="1" showErrorMessage="1" sqref="A1" xr:uid="{C935014E-97FD-4DC5-8990-FFCC7A693081}"/>
    <dataValidation allowBlank="1" showInputMessage="1" showErrorMessage="1" prompt="Názov spoločnosti sa automaticky aktualizuje v bunke vpravo. Názov tohto pracovného hárka je v bunke K2. Do bunky N2 zadajte logo." sqref="A2" xr:uid="{ACC2090E-7A1F-4581-8E9B-5F88818E0C50}"/>
    <dataValidation allowBlank="1" showInputMessage="1" showErrorMessage="1" prompt="V bunke K3 je uvedený tip." sqref="A3" xr:uid="{6033F748-E9D5-4DE6-B824-555D5C6CA4CF}"/>
  </dataValidations>
  <pageMargins left="0.7" right="0.7" top="0.75" bottom="0.75" header="0.3" footer="0.3"/>
  <pageSetup paperSize="9" scale="68" fitToHeight="0" orientation="portrait" r:id="rId1"/>
  <colBreaks count="1" manualBreakCount="1">
    <brk id="8" max="37" man="1"/>
  </colBreaks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/>
  </sheetPr>
  <dimension ref="A1:P39"/>
  <sheetViews>
    <sheetView showGridLines="0" zoomScaleNormal="100" workbookViewId="0"/>
  </sheetViews>
  <sheetFormatPr defaultColWidth="9.140625" defaultRowHeight="18.75" x14ac:dyDescent="0.3"/>
  <cols>
    <col min="1" max="1" width="4.7109375" style="40" customWidth="1"/>
    <col min="2" max="2" width="26.28515625" style="2" customWidth="1"/>
    <col min="3" max="3" width="23.28515625" style="2" customWidth="1"/>
    <col min="4" max="4" width="24.28515625" style="2" customWidth="1"/>
    <col min="5" max="5" width="25.140625" style="2" bestFit="1" customWidth="1"/>
    <col min="6" max="6" width="33.28515625" style="2" bestFit="1" customWidth="1"/>
    <col min="7" max="7" width="4.7109375" style="1" customWidth="1"/>
    <col min="8" max="8" width="9" customWidth="1"/>
    <col min="9" max="16384" width="9.140625" style="2"/>
  </cols>
  <sheetData>
    <row r="1" spans="1:16" s="1" customFormat="1" ht="24" customHeight="1" x14ac:dyDescent="0.3">
      <c r="A1" s="37"/>
      <c r="B1" s="10"/>
      <c r="C1" s="10"/>
      <c r="D1" s="10"/>
      <c r="E1" s="7"/>
      <c r="F1" s="7"/>
      <c r="G1" s="68" t="s">
        <v>64</v>
      </c>
      <c r="I1"/>
      <c r="J1"/>
      <c r="K1"/>
      <c r="L1"/>
      <c r="M1"/>
      <c r="N1"/>
      <c r="O1"/>
      <c r="P1" t="s">
        <v>64</v>
      </c>
    </row>
    <row r="2" spans="1:16" s="1" customFormat="1" ht="45" customHeight="1" x14ac:dyDescent="0.35">
      <c r="A2" s="37"/>
      <c r="B2" s="91" t="str">
        <f>'PLÁNOVANÉ VÝDAVKY'!B2:D3</f>
        <v>Názov spoločnosti</v>
      </c>
      <c r="C2" s="91"/>
      <c r="D2" s="91"/>
      <c r="E2" s="17"/>
      <c r="F2" s="93"/>
      <c r="G2" s="93"/>
      <c r="I2"/>
      <c r="J2"/>
      <c r="K2"/>
      <c r="L2"/>
      <c r="M2"/>
      <c r="N2"/>
      <c r="O2"/>
      <c r="P2"/>
    </row>
    <row r="3" spans="1:16" s="1" customFormat="1" ht="30" customHeight="1" x14ac:dyDescent="0.3">
      <c r="A3" s="37"/>
      <c r="B3" s="91"/>
      <c r="C3" s="91"/>
      <c r="D3" s="91"/>
      <c r="E3" s="99" t="str">
        <f>worksheet_title</f>
        <v>Podrobné odhady výdavkov</v>
      </c>
      <c r="F3" s="99"/>
      <c r="G3" s="99"/>
      <c r="I3"/>
      <c r="J3"/>
      <c r="K3"/>
      <c r="L3"/>
      <c r="M3"/>
      <c r="N3"/>
      <c r="O3"/>
      <c r="P3"/>
    </row>
    <row r="4" spans="1:16" customFormat="1" ht="18.75" customHeight="1" x14ac:dyDescent="0.2">
      <c r="A4" s="29"/>
    </row>
    <row r="5" spans="1:16" ht="24.95" customHeight="1" thickBot="1" x14ac:dyDescent="0.35">
      <c r="A5" s="38"/>
      <c r="B5" s="18" t="s">
        <v>69</v>
      </c>
      <c r="C5" s="19" t="s">
        <v>70</v>
      </c>
      <c r="D5" s="20" t="s">
        <v>71</v>
      </c>
      <c r="E5" s="18" t="s">
        <v>72</v>
      </c>
      <c r="F5" s="21" t="s">
        <v>73</v>
      </c>
      <c r="G5" s="13"/>
      <c r="I5"/>
      <c r="J5"/>
      <c r="K5"/>
      <c r="L5"/>
      <c r="M5"/>
      <c r="N5"/>
      <c r="O5"/>
      <c r="P5"/>
    </row>
    <row r="6" spans="1:16" ht="24.95" customHeight="1" thickBot="1" x14ac:dyDescent="0.35">
      <c r="A6" s="39"/>
      <c r="B6" s="84" t="s">
        <v>10</v>
      </c>
      <c r="C6" s="102">
        <f>Planovane_naklady_na_zamestnancov[[#Totals],[ROK]]</f>
        <v>1355090</v>
      </c>
      <c r="D6" s="102">
        <f>Skutocne_naklady_na_zamestnancov[[#Totals],[ROK]]</f>
        <v>659130</v>
      </c>
      <c r="E6" s="102">
        <f>C6-D6</f>
        <v>695960</v>
      </c>
      <c r="F6" s="23">
        <f>E6/C6</f>
        <v>0.5135895032802249</v>
      </c>
    </row>
    <row r="7" spans="1:16" ht="24.95" customHeight="1" thickBot="1" x14ac:dyDescent="0.35">
      <c r="A7" s="38"/>
      <c r="B7" s="84" t="str">
        <f>'PLÁNOVANÉ VÝDAVKY'!B10</f>
        <v>Náklady na kanceláriu</v>
      </c>
      <c r="C7" s="102">
        <f>Planovane_naklady_na_kancelariu[[#Totals],[ROK]]</f>
        <v>138740</v>
      </c>
      <c r="D7" s="102">
        <f>Skutocne_naklady_na_kancelariu[[#Totals],[ROK]]</f>
        <v>69350</v>
      </c>
      <c r="E7" s="102">
        <f>C7-D7</f>
        <v>69390</v>
      </c>
      <c r="F7" s="23">
        <f>E7/C7</f>
        <v>0.50014415453366012</v>
      </c>
    </row>
    <row r="8" spans="1:16" ht="24.95" customHeight="1" thickBot="1" x14ac:dyDescent="0.35">
      <c r="A8" s="38"/>
      <c r="B8" s="22" t="str">
        <f>'PLÁNOVANÉ VÝDAVKY'!B21</f>
        <v>Náklady na marketing</v>
      </c>
      <c r="C8" s="102">
        <f>Planovane_naklady_na_marketing[[#Totals],[ROK]]</f>
        <v>67800</v>
      </c>
      <c r="D8" s="102">
        <f>Skutocne_naklady_na_marketing[[#Totals],[ROK]]</f>
        <v>33159</v>
      </c>
      <c r="E8" s="102">
        <f>C8-D8</f>
        <v>34641</v>
      </c>
      <c r="F8" s="23">
        <f>E8/C8</f>
        <v>0.51092920353982296</v>
      </c>
    </row>
    <row r="9" spans="1:16" ht="24.95" customHeight="1" thickBot="1" x14ac:dyDescent="0.35">
      <c r="A9" s="38"/>
      <c r="B9" s="22" t="str">
        <f>'PLÁNOVANÉ VÝDAVKY'!B30</f>
        <v>Školenie/cestovné</v>
      </c>
      <c r="C9" s="102">
        <f>Planovane_naklady_na_skolenia_a_cestovanie[[#Totals],[ROK]]</f>
        <v>48000</v>
      </c>
      <c r="D9" s="102">
        <f>Skutocne_naklady_na_skolenia_a_cestovanie[[#Totals],[ROK]]</f>
        <v>21300</v>
      </c>
      <c r="E9" s="102">
        <f>C9-D9</f>
        <v>26700</v>
      </c>
      <c r="F9" s="23">
        <f>E9/C9</f>
        <v>0.55625000000000002</v>
      </c>
    </row>
    <row r="10" spans="1:16" ht="24.95" customHeight="1" x14ac:dyDescent="0.3">
      <c r="A10" s="38"/>
      <c r="B10" s="41" t="str">
        <f>'PLÁNOVANÉ VÝDAVKY'!B35</f>
        <v>SÚČTY</v>
      </c>
      <c r="C10" s="103">
        <f>'PLÁNOVANÉ VÝDAVKY'!O36</f>
        <v>1609630</v>
      </c>
      <c r="D10" s="103">
        <f>'SKUTOČNÉ VÝDAVKY'!O36</f>
        <v>782939</v>
      </c>
      <c r="E10" s="103">
        <f>C10-D10</f>
        <v>826691</v>
      </c>
      <c r="F10" s="42">
        <f>E10/C10</f>
        <v>0.51359070096854553</v>
      </c>
    </row>
    <row r="11" spans="1:16" x14ac:dyDescent="0.3">
      <c r="A11" s="38"/>
      <c r="B11" s="86"/>
      <c r="C11" s="133"/>
      <c r="D11" s="133"/>
      <c r="E11" s="133"/>
      <c r="F11" s="6"/>
    </row>
    <row r="12" spans="1:16" ht="300" customHeight="1" x14ac:dyDescent="0.3">
      <c r="A12" s="38"/>
      <c r="B12" s="100"/>
      <c r="C12" s="100"/>
      <c r="D12" s="100"/>
      <c r="E12" s="100"/>
      <c r="F12" s="100"/>
      <c r="G12"/>
    </row>
    <row r="13" spans="1:16" ht="18.75" customHeight="1" x14ac:dyDescent="0.3">
      <c r="A13" s="38"/>
      <c r="B13" s="87"/>
    </row>
    <row r="14" spans="1:16" x14ac:dyDescent="0.3">
      <c r="A14" s="38"/>
      <c r="B14" s="87"/>
      <c r="C14" s="90"/>
      <c r="D14" s="90"/>
      <c r="E14" s="90"/>
      <c r="F14" s="90"/>
    </row>
    <row r="15" spans="1:16" x14ac:dyDescent="0.3">
      <c r="A15" s="38"/>
      <c r="B15" s="87"/>
      <c r="C15" s="90"/>
      <c r="D15" s="90"/>
      <c r="E15" s="90"/>
      <c r="F15" s="90"/>
    </row>
    <row r="16" spans="1:16" x14ac:dyDescent="0.3">
      <c r="A16" s="38"/>
      <c r="B16" s="87"/>
      <c r="C16" s="90"/>
      <c r="D16" s="90"/>
      <c r="E16" s="90"/>
      <c r="F16" s="90"/>
    </row>
    <row r="17" spans="1:6" x14ac:dyDescent="0.3">
      <c r="A17" s="38"/>
      <c r="B17" s="87"/>
      <c r="C17" s="90"/>
      <c r="D17" s="90"/>
      <c r="E17" s="90"/>
      <c r="F17" s="90"/>
    </row>
    <row r="18" spans="1:6" x14ac:dyDescent="0.3">
      <c r="A18" s="38"/>
      <c r="B18" s="87"/>
      <c r="C18" s="90"/>
      <c r="D18" s="90"/>
      <c r="E18" s="90"/>
      <c r="F18" s="90"/>
    </row>
    <row r="19" spans="1:6" x14ac:dyDescent="0.3">
      <c r="A19" s="38"/>
      <c r="B19" s="90"/>
      <c r="C19" s="90"/>
      <c r="D19" s="90"/>
      <c r="E19" s="90"/>
      <c r="F19" s="90"/>
    </row>
    <row r="20" spans="1:6" x14ac:dyDescent="0.3">
      <c r="A20" s="38"/>
      <c r="B20" s="90"/>
      <c r="C20" s="90"/>
      <c r="D20" s="90"/>
      <c r="E20" s="90"/>
      <c r="F20" s="90"/>
    </row>
    <row r="21" spans="1:6" x14ac:dyDescent="0.3">
      <c r="A21" s="38"/>
      <c r="B21" s="90"/>
      <c r="C21" s="90"/>
      <c r="D21" s="90"/>
      <c r="E21" s="90"/>
      <c r="F21" s="90"/>
    </row>
    <row r="22" spans="1:6" x14ac:dyDescent="0.3">
      <c r="A22" s="38"/>
      <c r="B22" s="87"/>
      <c r="C22" s="90"/>
      <c r="D22" s="90"/>
      <c r="E22" s="90"/>
      <c r="F22" s="90"/>
    </row>
    <row r="23" spans="1:6" x14ac:dyDescent="0.3">
      <c r="A23" s="38"/>
      <c r="B23" s="87"/>
      <c r="C23" s="90"/>
      <c r="D23" s="90"/>
      <c r="E23" s="90"/>
      <c r="F23" s="90"/>
    </row>
    <row r="24" spans="1:6" x14ac:dyDescent="0.3">
      <c r="A24" s="38"/>
      <c r="B24" s="87"/>
      <c r="C24" s="90"/>
      <c r="D24" s="90"/>
      <c r="E24" s="90"/>
      <c r="F24" s="90"/>
    </row>
    <row r="25" spans="1:6" x14ac:dyDescent="0.3">
      <c r="A25" s="38"/>
      <c r="B25" s="87"/>
      <c r="C25" s="90"/>
      <c r="D25" s="90"/>
      <c r="E25" s="90"/>
      <c r="F25" s="90"/>
    </row>
    <row r="26" spans="1:6" x14ac:dyDescent="0.3">
      <c r="A26" s="38"/>
      <c r="B26" s="87"/>
      <c r="C26" s="90"/>
      <c r="D26" s="90"/>
      <c r="E26" s="90"/>
      <c r="F26" s="90"/>
    </row>
    <row r="27" spans="1:6" x14ac:dyDescent="0.3">
      <c r="A27" s="38"/>
      <c r="B27" s="87"/>
      <c r="C27" s="90"/>
      <c r="D27" s="90"/>
      <c r="E27" s="90"/>
      <c r="F27" s="90"/>
    </row>
    <row r="28" spans="1:6" x14ac:dyDescent="0.3">
      <c r="A28" s="38"/>
      <c r="B28" s="90"/>
      <c r="C28" s="90"/>
      <c r="D28" s="90"/>
      <c r="E28" s="90"/>
      <c r="F28" s="90"/>
    </row>
    <row r="29" spans="1:6" x14ac:dyDescent="0.3">
      <c r="A29" s="38"/>
      <c r="B29" s="90"/>
      <c r="C29" s="90"/>
      <c r="D29" s="90"/>
      <c r="E29" s="90"/>
      <c r="F29" s="90"/>
    </row>
    <row r="30" spans="1:6" x14ac:dyDescent="0.3">
      <c r="A30" s="38"/>
      <c r="B30" s="90"/>
      <c r="C30" s="90"/>
      <c r="D30" s="90"/>
      <c r="E30" s="90"/>
      <c r="F30" s="90"/>
    </row>
    <row r="31" spans="1:6" x14ac:dyDescent="0.3">
      <c r="A31" s="38"/>
      <c r="B31" s="87"/>
      <c r="C31" s="90"/>
      <c r="D31" s="90"/>
      <c r="E31" s="90"/>
      <c r="F31" s="90"/>
    </row>
    <row r="32" spans="1:6" x14ac:dyDescent="0.3">
      <c r="A32" s="38"/>
      <c r="B32" s="87"/>
      <c r="C32" s="90"/>
      <c r="D32" s="90"/>
      <c r="E32" s="90"/>
      <c r="F32" s="90"/>
    </row>
    <row r="33" spans="1:6" x14ac:dyDescent="0.3">
      <c r="A33" s="38"/>
      <c r="B33" s="90"/>
      <c r="C33" s="90"/>
      <c r="D33" s="90"/>
      <c r="E33" s="90"/>
      <c r="F33" s="90"/>
    </row>
    <row r="34" spans="1:6" x14ac:dyDescent="0.3">
      <c r="A34" s="38"/>
      <c r="B34" s="90"/>
      <c r="C34" s="90"/>
      <c r="D34" s="90"/>
      <c r="E34" s="90"/>
      <c r="F34" s="90"/>
    </row>
    <row r="35" spans="1:6" x14ac:dyDescent="0.3">
      <c r="A35" s="38"/>
      <c r="B35" s="90"/>
      <c r="C35" s="90"/>
      <c r="D35" s="90"/>
      <c r="E35" s="90"/>
      <c r="F35" s="90"/>
    </row>
    <row r="36" spans="1:6" x14ac:dyDescent="0.3">
      <c r="A36" s="38"/>
      <c r="B36" s="92"/>
      <c r="C36" s="90"/>
      <c r="D36" s="90"/>
      <c r="E36" s="90"/>
      <c r="F36" s="90"/>
    </row>
    <row r="37" spans="1:6" x14ac:dyDescent="0.3">
      <c r="A37" s="38"/>
      <c r="B37" s="92"/>
      <c r="C37" s="90"/>
      <c r="D37" s="90"/>
      <c r="E37" s="90"/>
      <c r="F37" s="90"/>
    </row>
    <row r="38" spans="1:6" x14ac:dyDescent="0.3">
      <c r="A38" s="38"/>
    </row>
    <row r="39" spans="1:6" x14ac:dyDescent="0.3">
      <c r="A39" s="38"/>
    </row>
  </sheetData>
  <mergeCells count="2">
    <mergeCell ref="E3:G3"/>
    <mergeCell ref="B12:F12"/>
  </mergeCells>
  <dataValidations count="8">
    <dataValidation allowBlank="1" showInputMessage="1" showErrorMessage="1" prompt="V tejto bunke je koláčový graf zobrazujúci plánované výdavky v rôznych kategóriách." sqref="B12:F12" xr:uid="{B2131E0D-FC0E-41E0-A823-1146E5092945}"/>
    <dataValidation allowBlank="1" showInputMessage="1" showErrorMessage="1" prompt="Ročné plánované a skutočné výdavky, odchýlky výdavkov a percento odchýlky sa automaticky aktualizujú pre každú kategóriu výdavkov v tomto hárku. Užitočné pokyny na používanie tohto pracovného hárka sú v bunkách v tomto stĺpci. Šípkou nadol môžete začať. " sqref="A1" xr:uid="{2B6B986C-CF09-4535-B287-5D9961D543F9}"/>
    <dataValidation allowBlank="1" showInputMessage="1" showErrorMessage="1" prompt="Názov spoločnosti sa automaticky aktualizuje v bunke vpravo. Do bunky F2 zadajte logo." sqref="A2" xr:uid="{54F690A8-E3B2-49FE-B037-4CB57E2B08A1}"/>
    <dataValidation allowBlank="1" showInputMessage="1" showErrorMessage="1" prompt="Názov tohto hárka sa nachádza v bunke E3. Ďalší pokyn je v bunke A5." sqref="A3" xr:uid="{FED07153-5704-491F-BD0F-28D4A0F15619}"/>
    <dataValidation allowBlank="1" showInputMessage="1" showErrorMessage="1" prompt="Plánované výdavky, skutočné výdavky, odchýlka výdavkov a percento odchýlky sa automaticky vypočítajú v tabuľke Analýza počnúc bunkou vpravo. Ďalší pokyn je v bunke A12." sqref="A5" xr:uid="{17A4F301-0551-4056-B357-1FCC3532C5BE}"/>
    <dataValidation allowBlank="1" showInputMessage="1" showErrorMessage="1" prompt="Koláčový graf plánovaných výdavkov je v bunke vpravo a koláčový graf skutočných výdavkov v bunke D12. Ďalší pokyn je v bunke A14." sqref="A12" xr:uid="{FE13E92D-A1BA-4BB9-9C16-0CDEB5285C6E}"/>
    <dataValidation allowBlank="1" showInputMessage="1" showErrorMessage="1" prompt="V bunke napravo je graf zobrazujúci plánované a skutočné mesačné výdavky a odchýlku v mesačných výdavkoch." sqref="A14" xr:uid="{A5F374DB-643C-44A4-B534-F79A39786B80}"/>
    <dataValidation allowBlank="1" showInputMessage="1" showErrorMessage="1" prompt="V tejto bunke je zástupné logo." sqref="F2:G2" xr:uid="{831A4984-168B-4337-BAEA-80B7246F2962}"/>
  </dataValidations>
  <pageMargins left="0.7" right="0.7" top="0.75" bottom="0.75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53F0F1A-F818-48F9-BE67-B9DBEFF91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9CB1A22-CE44-4532-A0DB-84194B783BC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C5DBCFF-B01D-443B-958D-5BBBD3E2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TM04035489</ap:Template>
  <ap:DocSecurity>0</ap:DocSecurity>
  <ap:ScaleCrop>false</ap:ScaleCrop>
  <ap:HeadingPairs>
    <vt:vector baseType="variant" size="4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ap:HeadingPairs>
  <ap:TitlesOfParts>
    <vt:vector baseType="lpstr" size="6">
      <vt:lpstr>ZAČIATOK</vt:lpstr>
      <vt:lpstr>PLÁNOVANÉ VÝDAVKY</vt:lpstr>
      <vt:lpstr>SKUTOČNÉ VÝDAVKY</vt:lpstr>
      <vt:lpstr>ODCHÝLKY VO VÝDAVKOCH</vt:lpstr>
      <vt:lpstr>ANALÝZA VÝDAVKOV</vt:lpstr>
      <vt:lpstr>worksheet_title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2022-02-14T06:36:37Z</dcterms:created>
  <dcterms:modified xsi:type="dcterms:W3CDTF">2022-05-26T07:57:42Z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