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A2B3E71-6C80-4DBD-A634-53215644AB6C}" xr6:coauthVersionLast="43" xr6:coauthVersionMax="43" xr10:uidLastSave="{00000000-0000-0000-0000-000000000000}"/>
  <bookViews>
    <workbookView xWindow="-120" yWindow="-120" windowWidth="28920" windowHeight="14400" tabRatio="686" xr2:uid="{00000000-000D-0000-FFFF-FFFF00000000}"/>
  </bookViews>
  <sheets>
    <sheet name="Január" sheetId="4" r:id="rId1"/>
    <sheet name="Február" sheetId="5" r:id="rId2"/>
    <sheet name="Marec" sheetId="17" r:id="rId3"/>
    <sheet name="Apríl" sheetId="18" r:id="rId4"/>
    <sheet name="Máj" sheetId="19" r:id="rId5"/>
    <sheet name="Jún" sheetId="20" r:id="rId6"/>
    <sheet name="Júl" sheetId="21" r:id="rId7"/>
    <sheet name="August" sheetId="22" r:id="rId8"/>
    <sheet name="September" sheetId="23" r:id="rId9"/>
    <sheet name="Október" sheetId="24" r:id="rId10"/>
    <sheet name="November" sheetId="25" r:id="rId11"/>
    <sheet name="December" sheetId="15" r:id="rId12"/>
    <sheet name="Mená zamestnancov" sheetId="16" r:id="rId13"/>
  </sheets>
  <definedNames>
    <definedName name="KalendárnyRok">Január!$AH$4</definedName>
    <definedName name="KódDovolenka">Január!$C$2</definedName>
    <definedName name="KódOsobnéDôvody">Január!$G$2</definedName>
    <definedName name="KódPráceneschospnosť">Január!$L$2</definedName>
    <definedName name="KódVlastné1">Január!$O$2</definedName>
    <definedName name="KódVlastné2">Január!$S$2</definedName>
    <definedName name="Nadpis_Absencia_zamestnanca">Január!$B$1</definedName>
    <definedName name="Nadpis1">Január[[#Headers],[Meno zamestnanca]]</definedName>
    <definedName name="Nadpis10">Október[[#Headers],[Meno zamestnanca]]</definedName>
    <definedName name="Nadpis11">November[[#Headers],[Meno zamestnanca]]</definedName>
    <definedName name="Nadpis12">December[[#Headers],[Meno zamestnanca]]</definedName>
    <definedName name="Nadpis2">Február[[#Headers],[Meno zamestnanca]]</definedName>
    <definedName name="Nadpis3">Marec[[#Headers],[Meno zamestnanca]]</definedName>
    <definedName name="Nadpis4">Apríl[[#Headers],[Meno zamestnanca]]</definedName>
    <definedName name="Nadpis5">Máj[[#Headers],[Meno zamestnanca]]</definedName>
    <definedName name="Nadpis6">Jún[[#Headers],[Meno zamestnanca]]</definedName>
    <definedName name="Nadpis7">Júl[[#Headers],[Meno zamestnanca]]</definedName>
    <definedName name="Nadpis8">August[[#Headers],[Meno zamestnanca]]</definedName>
    <definedName name="Nadpis9">September[[#Headers],[Meno zamestnanca]]</definedName>
    <definedName name="NadpisStĺpca13">MenoZamestnanca[[#Headers],[Mená zamestnancov]]</definedName>
    <definedName name="Názov_kódu">Január!$B$2</definedName>
    <definedName name="NázovMesiaca" localSheetId="3">Apríl!$B$4</definedName>
    <definedName name="NázovMesiaca" localSheetId="7">August!$B$4</definedName>
    <definedName name="NázovMesiaca" localSheetId="11">December!$B$4</definedName>
    <definedName name="NázovMesiaca" localSheetId="1">Február!$B$4</definedName>
    <definedName name="NázovMesiaca" localSheetId="0">Január!$B$4</definedName>
    <definedName name="NázovMesiaca" localSheetId="6">Júl!$B$4</definedName>
    <definedName name="NázovMesiaca" localSheetId="5">Jún!$B$4</definedName>
    <definedName name="NázovMesiaca" localSheetId="4">Máj!$B$4</definedName>
    <definedName name="NázovMesiaca" localSheetId="2">Marec!$B$4</definedName>
    <definedName name="NázovMesiaca" localSheetId="10">November!$B$4</definedName>
    <definedName name="NázovMesiaca" localSheetId="9">Október!$B$4</definedName>
    <definedName name="NázovMesiaca" localSheetId="8">September!$B$4</definedName>
    <definedName name="_xlnm.Print_Titles" localSheetId="3">Apríl!$4:$6</definedName>
    <definedName name="_xlnm.Print_Titles" localSheetId="7">August!$4:$6</definedName>
    <definedName name="_xlnm.Print_Titles" localSheetId="11">December!$4:$6</definedName>
    <definedName name="_xlnm.Print_Titles" localSheetId="1">Február!$4:$6</definedName>
    <definedName name="_xlnm.Print_Titles" localSheetId="0">Január!$4:$6</definedName>
    <definedName name="_xlnm.Print_Titles" localSheetId="6">Júl!$4:$6</definedName>
    <definedName name="_xlnm.Print_Titles" localSheetId="5">Jún!$4:$6</definedName>
    <definedName name="_xlnm.Print_Titles" localSheetId="4">Máj!$4:$6</definedName>
    <definedName name="_xlnm.Print_Titles" localSheetId="2">Marec!$4:$6</definedName>
    <definedName name="_xlnm.Print_Titles" localSheetId="10">November!$4:$6</definedName>
    <definedName name="_xlnm.Print_Titles" localSheetId="9">Október!$4:$6</definedName>
    <definedName name="_xlnm.Print_Titles" localSheetId="8">September!$4:$6</definedName>
    <definedName name="OznačenieKóduDovolenka">Január!$D$2</definedName>
    <definedName name="OznačenieKóduOsobnéDôvody">Január!$H$2</definedName>
    <definedName name="OznačenieKóduPráceneschospnosť">Január!$M$2</definedName>
    <definedName name="OznačenieKóduVlastné1">Január!$P$2</definedName>
    <definedName name="OznačenieKóduVlastné2">Január!$T$2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5" l="1"/>
  <c r="B12" i="25"/>
  <c r="B12" i="24"/>
  <c r="B12" i="23"/>
  <c r="B12" i="22"/>
  <c r="B12" i="21"/>
  <c r="B12" i="20"/>
  <c r="B12" i="19"/>
  <c r="B12" i="18"/>
  <c r="B12" i="17"/>
  <c r="B12" i="5"/>
  <c r="B12" i="4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17" l="1"/>
  <c r="AH12" i="21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<sst xmlns="http://schemas.openxmlformats.org/spreadsheetml/2006/main" count="643" uniqueCount="65">
  <si>
    <t>Kód typu absencie</t>
  </si>
  <si>
    <t>Január</t>
  </si>
  <si>
    <t>Meno zamestnanca</t>
  </si>
  <si>
    <t>Zamestnanec 1</t>
  </si>
  <si>
    <t>Zamestnanec 2</t>
  </si>
  <si>
    <t>Zamestnanec 3</t>
  </si>
  <si>
    <t>Zamestnanec 4</t>
  </si>
  <si>
    <t>Zamestnanec 5</t>
  </si>
  <si>
    <t>D</t>
  </si>
  <si>
    <t>Dátumy absencie</t>
  </si>
  <si>
    <t>1</t>
  </si>
  <si>
    <t>Dovolenka</t>
  </si>
  <si>
    <t>2</t>
  </si>
  <si>
    <t>3</t>
  </si>
  <si>
    <t>O</t>
  </si>
  <si>
    <t>4</t>
  </si>
  <si>
    <t>P</t>
  </si>
  <si>
    <t>5</t>
  </si>
  <si>
    <t>Osobné dôvody</t>
  </si>
  <si>
    <t>6</t>
  </si>
  <si>
    <t>7</t>
  </si>
  <si>
    <t>8</t>
  </si>
  <si>
    <t>9</t>
  </si>
  <si>
    <t>PN</t>
  </si>
  <si>
    <t>10</t>
  </si>
  <si>
    <t>11</t>
  </si>
  <si>
    <t>12</t>
  </si>
  <si>
    <t>Vlastné 1</t>
  </si>
  <si>
    <t>13</t>
  </si>
  <si>
    <t>14</t>
  </si>
  <si>
    <t>15</t>
  </si>
  <si>
    <t>16</t>
  </si>
  <si>
    <t>Vlastné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</si>
  <si>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</si>
  <si>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</si>
  <si>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</si>
  <si>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</si>
  <si>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</si>
  <si>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</si>
  <si>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</si>
  <si>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</si>
  <si>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</si>
  <si>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</si>
  <si>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</si>
  <si>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</si>
  <si>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</si>
  <si>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</si>
  <si>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</si>
  <si>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Zadajte rok:</t>
  </si>
  <si>
    <t>Celkový počet dní</t>
  </si>
  <si>
    <t>Február</t>
  </si>
  <si>
    <t xml:space="preserve"> </t>
  </si>
  <si>
    <t xml:space="preserve">  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</si>
  <si>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</si>
  <si>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</si>
  <si>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</si>
  <si>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</si>
  <si>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</si>
  <si>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</si>
  <si>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</si>
  <si>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</si>
  <si>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</si>
  <si>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</si>
  <si>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Mená zamestnancov</t>
  </si>
  <si>
    <t>Sledovanie Absencií Zamestnancov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</si>
</sst>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;0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6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7" fillId="0" borderId="0">
      <alignment horizont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1" applyNumberFormat="0" applyAlignment="0" applyProtection="0"/>
    <xf numFmtId="0" fontId="13" fillId="25" borderId="2" applyNumberFormat="0" applyAlignment="0" applyProtection="0"/>
    <xf numFmtId="0" fontId="14" fillId="25" borderId="1" applyNumberFormat="0" applyAlignment="0" applyProtection="0"/>
    <xf numFmtId="0" fontId="15" fillId="0" borderId="3" applyNumberFormat="0" applyFill="0" applyAlignment="0" applyProtection="0"/>
    <xf numFmtId="0" fontId="16" fillId="26" borderId="4" applyNumberFormat="0" applyAlignment="0" applyProtection="0"/>
    <xf numFmtId="0" fontId="17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2" fillId="13" borderId="0" xfId="23" applyFont="1" applyAlignment="1" applyProtection="1">
      <alignment horizontal="center" vertical="center"/>
    </xf>
    <xf numFmtId="166" fontId="2" fillId="9" borderId="0" xfId="8" applyNumberFormat="1" applyFont="1" applyAlignment="1" applyProtection="1">
      <alignment horizontal="center" vertical="center"/>
    </xf>
    <xf numFmtId="166" fontId="2" fillId="14" borderId="0" xfId="24" applyNumberFormat="1" applyFont="1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0" fontId="0" fillId="0" borderId="0" xfId="0" applyProtection="1">
      <alignment horizontal="left" vertical="center"/>
    </xf>
    <xf numFmtId="0" fontId="5" fillId="2" borderId="0" xfId="3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7" fillId="0" borderId="0" xfId="27" applyProtection="1">
      <alignment horizontal="center"/>
    </xf>
    <xf numFmtId="0" fontId="0" fillId="0" borderId="0" xfId="0" applyFont="1" applyFill="1" applyBorder="1" applyAlignment="1" applyProtection="1">
      <alignment horizontal="left" vertical="center" indent="1"/>
    </xf>
    <xf numFmtId="0" fontId="6" fillId="0" borderId="0" xfId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" fillId="2" borderId="0" xfId="21" applyAlignment="1" applyProtection="1">
      <alignment horizontal="left" vertical="center"/>
    </xf>
    <xf numFmtId="0" fontId="5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  <xf numFmtId="0" fontId="1" fillId="2" borderId="0" xfId="21" applyAlignment="1" applyProtection="1">
      <alignment vertical="center"/>
    </xf>
  </cellXfs>
  <cellStyles count="49">
    <cellStyle name="20 % - zvýraznenie1" xfId="15" builtinId="30" customBuiltin="1"/>
    <cellStyle name="20 % - zvýraznenie2" xfId="44" builtinId="34" customBuiltin="1"/>
    <cellStyle name="20 % - zvýraznenie3" xfId="21" builtinId="38" customBuiltin="1"/>
    <cellStyle name="20 % - zvýraznenie4" xfId="7" builtinId="42" customBuiltin="1"/>
    <cellStyle name="20 % - zvýraznenie5" xfId="47" builtinId="46" customBuiltin="1"/>
    <cellStyle name="20 % - zvýraznenie6" xfId="11" builtinId="50" customBuiltin="1"/>
    <cellStyle name="40 % - zvýraznenie1" xfId="16" builtinId="31" customBuiltin="1"/>
    <cellStyle name="40 % - zvýraznenie2" xfId="19" builtinId="35" customBuiltin="1"/>
    <cellStyle name="40 % - zvýraznenie3" xfId="22" builtinId="39" customBuiltin="1"/>
    <cellStyle name="40 % - zvýraznenie4" xfId="8" builtinId="43" customBuiltin="1"/>
    <cellStyle name="40 % - zvýraznenie5" xfId="24" builtinId="47" customBuiltin="1"/>
    <cellStyle name="40 % - zvýraznenie6" xfId="12" builtinId="51" customBuiltin="1"/>
    <cellStyle name="60 % - zvýraznenie1" xfId="17" builtinId="32" customBuiltin="1"/>
    <cellStyle name="60 % - zvýraznenie2" xfId="45" builtinId="36" customBuiltin="1"/>
    <cellStyle name="60 % - zvýraznenie3" xfId="23" builtinId="40" customBuiltin="1"/>
    <cellStyle name="60 % - zvýraznenie4" xfId="9" builtinId="44" customBuiltin="1"/>
    <cellStyle name="60 % - zvýraznenie5" xfId="48" builtinId="48" customBuiltin="1"/>
    <cellStyle name="60 % - zvýraznenie6" xfId="13" builtinId="52" customBuiltin="1"/>
    <cellStyle name="Čiarka" xfId="28" builtinId="3" customBuiltin="1"/>
    <cellStyle name="Čiarka [0]" xfId="29" builtinId="6" customBuiltin="1"/>
    <cellStyle name="Dobrá" xfId="33" builtinId="26" customBuiltin="1"/>
    <cellStyle name="Kontrolná bunka" xfId="40" builtinId="23" customBuiltin="1"/>
    <cellStyle name="Mena" xfId="30" builtinId="4" customBuiltin="1"/>
    <cellStyle name="Mena [0]" xfId="31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35" builtinId="28" customBuiltin="1"/>
    <cellStyle name="Normálna" xfId="0" builtinId="0" customBuiltin="1"/>
    <cellStyle name="Označenie" xfId="27" xr:uid="{00000000-0005-0000-0000-000018000000}"/>
    <cellStyle name="Percentá" xfId="32" builtinId="5" customBuiltin="1"/>
    <cellStyle name="Poznámka" xfId="42" builtinId="10" customBuiltin="1"/>
    <cellStyle name="Prepojená bunka" xfId="39" builtinId="24" customBuiltin="1"/>
    <cellStyle name="Spolu" xfId="25" builtinId="25" customBuiltin="1"/>
    <cellStyle name="Text upozornenia" xfId="41" builtinId="11" customBuiltin="1"/>
    <cellStyle name="Vstup" xfId="36" builtinId="20" customBuiltin="1"/>
    <cellStyle name="Výpočet" xfId="38" builtinId="22" customBuiltin="1"/>
    <cellStyle name="Výstup" xfId="37" builtinId="21" customBuiltin="1"/>
    <cellStyle name="Vysvetľujúci text" xfId="43" builtinId="53" customBuiltin="1"/>
    <cellStyle name="Zamestnanec" xfId="26" xr:uid="{00000000-0005-0000-0000-000013000000}"/>
    <cellStyle name="Zlá" xfId="34" builtinId="27" customBuiltin="1"/>
    <cellStyle name="Zvýraznenie1" xfId="14" builtinId="29" customBuiltin="1"/>
    <cellStyle name="Zvýraznenie2" xfId="18" builtinId="33" customBuiltin="1"/>
    <cellStyle name="Zvýraznenie3" xfId="20" builtinId="37" customBuiltin="1"/>
    <cellStyle name="Zvýraznenie4" xfId="6" builtinId="41" customBuiltin="1"/>
    <cellStyle name="Zvýraznenie5" xfId="46" builtinId="45" customBuiltin="1"/>
    <cellStyle name="Zvýraznenie6" xfId="10" builtinId="49" customBuiltin="1"/>
  </cellStyles>
  <dxfs count="902"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Tabuľka Absencia zamestnancov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Január" displayName="Január" ref="B6:AH12" totalsRowCount="1" headerRowDxfId="888" dataDxfId="887" totalsRowDxfId="886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Meno zamestnanca" totalsRowFunction="custom" dataDxfId="885" totalsRowDxfId="884" dataCellStyle="Zamestnanec">
      <totalsRowFormula>NázovMesiaca&amp;" Spolu"</totalsRowFormula>
    </tableColumn>
    <tableColumn id="2" xr3:uid="{00000000-0010-0000-0000-000002000000}" name="1" totalsRowFunction="custom" dataDxfId="883" totalsRowDxfId="93">
      <totalsRowFormula>SUBTOTAL(103,Január!$C$7:$C$11)</totalsRowFormula>
    </tableColumn>
    <tableColumn id="3" xr3:uid="{00000000-0010-0000-0000-000003000000}" name="2" totalsRowFunction="custom" dataDxfId="882" totalsRowDxfId="92">
      <totalsRowFormula>SUBTOTAL(103,Január!$D$7:$D$11)</totalsRowFormula>
    </tableColumn>
    <tableColumn id="4" xr3:uid="{00000000-0010-0000-0000-000004000000}" name="3" totalsRowFunction="custom" dataDxfId="881" totalsRowDxfId="91">
      <totalsRowFormula>SUBTOTAL(103,Január!$E$7:$E$11)</totalsRowFormula>
    </tableColumn>
    <tableColumn id="5" xr3:uid="{00000000-0010-0000-0000-000005000000}" name="4" totalsRowFunction="custom" dataDxfId="880" totalsRowDxfId="90">
      <totalsRowFormula>SUBTOTAL(103,Január!$F$7:$F$11)</totalsRowFormula>
    </tableColumn>
    <tableColumn id="6" xr3:uid="{00000000-0010-0000-0000-000006000000}" name="5" totalsRowFunction="custom" totalsRowDxfId="89">
      <totalsRowFormula>SUBTOTAL(103,Január!$G$7:$G$11)</totalsRowFormula>
    </tableColumn>
    <tableColumn id="7" xr3:uid="{00000000-0010-0000-0000-000007000000}" name="6" totalsRowFunction="custom" dataDxfId="879" totalsRowDxfId="88">
      <totalsRowFormula>SUBTOTAL(103,Január!$H$7:$H$11)</totalsRowFormula>
    </tableColumn>
    <tableColumn id="8" xr3:uid="{00000000-0010-0000-0000-000008000000}" name="7" totalsRowFunction="custom" dataDxfId="878" totalsRowDxfId="87">
      <totalsRowFormula>SUBTOTAL(103,Január!$I$7:$I$11)</totalsRowFormula>
    </tableColumn>
    <tableColumn id="9" xr3:uid="{00000000-0010-0000-0000-000009000000}" name="8" totalsRowFunction="custom" dataDxfId="877" totalsRowDxfId="86">
      <totalsRowFormula>SUBTOTAL(103,Január!$J$7:$J$11)</totalsRowFormula>
    </tableColumn>
    <tableColumn id="10" xr3:uid="{00000000-0010-0000-0000-00000A000000}" name="9" totalsRowFunction="custom" dataDxfId="876" totalsRowDxfId="85">
      <totalsRowFormula>SUBTOTAL(103,Január!$K$7:$K$11)</totalsRowFormula>
    </tableColumn>
    <tableColumn id="11" xr3:uid="{00000000-0010-0000-0000-00000B000000}" name="10" totalsRowFunction="custom" dataDxfId="875" totalsRowDxfId="84">
      <totalsRowFormula>SUBTOTAL(103,Január!$L$7:$L$11)</totalsRowFormula>
    </tableColumn>
    <tableColumn id="12" xr3:uid="{00000000-0010-0000-0000-00000C000000}" name="11" totalsRowFunction="custom" dataDxfId="874" totalsRowDxfId="83">
      <totalsRowFormula>SUBTOTAL(103,Január!$M$7:$M$11)</totalsRowFormula>
    </tableColumn>
    <tableColumn id="13" xr3:uid="{00000000-0010-0000-0000-00000D000000}" name="12" totalsRowFunction="custom" dataDxfId="873" totalsRowDxfId="82">
      <totalsRowFormula>SUBTOTAL(103,Január!$N$7:$N$11)</totalsRowFormula>
    </tableColumn>
    <tableColumn id="14" xr3:uid="{00000000-0010-0000-0000-00000E000000}" name="13" totalsRowFunction="custom" dataDxfId="872" totalsRowDxfId="81">
      <totalsRowFormula>SUBTOTAL(103,Január!$O$7:$O$11)</totalsRowFormula>
    </tableColumn>
    <tableColumn id="15" xr3:uid="{00000000-0010-0000-0000-00000F000000}" name="14" totalsRowFunction="custom" dataDxfId="871" totalsRowDxfId="80">
      <totalsRowFormula>SUBTOTAL(103,Január!$P$7:$P$11)</totalsRowFormula>
    </tableColumn>
    <tableColumn id="16" xr3:uid="{00000000-0010-0000-0000-000010000000}" name="15" totalsRowFunction="custom" dataDxfId="870" totalsRowDxfId="79">
      <totalsRowFormula>SUBTOTAL(103,Január!$Q$7:$Q$11)</totalsRowFormula>
    </tableColumn>
    <tableColumn id="17" xr3:uid="{00000000-0010-0000-0000-000011000000}" name="16" totalsRowFunction="custom" dataDxfId="869" totalsRowDxfId="78">
      <totalsRowFormula>SUBTOTAL(103,Január!$R$7:$R$11)</totalsRowFormula>
    </tableColumn>
    <tableColumn id="18" xr3:uid="{00000000-0010-0000-0000-000012000000}" name="17" totalsRowFunction="custom" dataDxfId="868" totalsRowDxfId="77">
      <totalsRowFormula>SUBTOTAL(103,Január!$S$7:$S$11)</totalsRowFormula>
    </tableColumn>
    <tableColumn id="19" xr3:uid="{00000000-0010-0000-0000-000013000000}" name="18" totalsRowFunction="custom" dataDxfId="867" totalsRowDxfId="76">
      <totalsRowFormula>SUBTOTAL(103,Január!$T$7:$T$11)</totalsRowFormula>
    </tableColumn>
    <tableColumn id="20" xr3:uid="{00000000-0010-0000-0000-000014000000}" name="19" totalsRowFunction="custom" dataDxfId="866" totalsRowDxfId="75">
      <totalsRowFormula>SUBTOTAL(103,Január!$U$7:$U$11)</totalsRowFormula>
    </tableColumn>
    <tableColumn id="21" xr3:uid="{00000000-0010-0000-0000-000015000000}" name="20" totalsRowFunction="custom" dataDxfId="865" totalsRowDxfId="74">
      <totalsRowFormula>SUBTOTAL(103,Január!$V$7:$V$11)</totalsRowFormula>
    </tableColumn>
    <tableColumn id="22" xr3:uid="{00000000-0010-0000-0000-000016000000}" name="21" totalsRowFunction="custom" dataDxfId="864" totalsRowDxfId="73">
      <totalsRowFormula>SUBTOTAL(103,Január!$W$7:$W$11)</totalsRowFormula>
    </tableColumn>
    <tableColumn id="23" xr3:uid="{00000000-0010-0000-0000-000017000000}" name="22" totalsRowFunction="custom" dataDxfId="863" totalsRowDxfId="72">
      <totalsRowFormula>SUBTOTAL(103,Január!$X$7:$X$11)</totalsRowFormula>
    </tableColumn>
    <tableColumn id="24" xr3:uid="{00000000-0010-0000-0000-000018000000}" name="23" totalsRowFunction="custom" dataDxfId="862" totalsRowDxfId="71">
      <totalsRowFormula>SUBTOTAL(103,Január!$Y$7:$Y$11)</totalsRowFormula>
    </tableColumn>
    <tableColumn id="25" xr3:uid="{00000000-0010-0000-0000-000019000000}" name="24" totalsRowFunction="custom" dataDxfId="861" totalsRowDxfId="70">
      <totalsRowFormula>SUBTOTAL(103,Január!$Z$7:$Z$11)</totalsRowFormula>
    </tableColumn>
    <tableColumn id="26" xr3:uid="{00000000-0010-0000-0000-00001A000000}" name="25" totalsRowFunction="custom" dataDxfId="860" totalsRowDxfId="69">
      <totalsRowFormula>SUBTOTAL(103,Január!$AA$7:$AA$11)</totalsRowFormula>
    </tableColumn>
    <tableColumn id="27" xr3:uid="{00000000-0010-0000-0000-00001B000000}" name="26" totalsRowFunction="custom" dataDxfId="859" totalsRowDxfId="68">
      <totalsRowFormula>SUBTOTAL(103,Január!$AB$7:$AB$11)</totalsRowFormula>
    </tableColumn>
    <tableColumn id="28" xr3:uid="{00000000-0010-0000-0000-00001C000000}" name="27" totalsRowFunction="custom" dataDxfId="858" totalsRowDxfId="67">
      <totalsRowFormula>SUBTOTAL(103,Január!$AC$7:$AC$11)</totalsRowFormula>
    </tableColumn>
    <tableColumn id="29" xr3:uid="{00000000-0010-0000-0000-00001D000000}" name="28" totalsRowFunction="custom" dataDxfId="857" totalsRowDxfId="66">
      <totalsRowFormula>SUBTOTAL(103,Január!$AD$7:$AD$11)</totalsRowFormula>
    </tableColumn>
    <tableColumn id="30" xr3:uid="{00000000-0010-0000-0000-00001E000000}" name="29" totalsRowFunction="custom" dataDxfId="856" totalsRowDxfId="65">
      <totalsRowFormula>SUBTOTAL(103,Január!$AE$7:$AE$11)</totalsRowFormula>
    </tableColumn>
    <tableColumn id="31" xr3:uid="{00000000-0010-0000-0000-00001F000000}" name="30" totalsRowFunction="custom" dataDxfId="855" totalsRowDxfId="64">
      <totalsRowFormula>SUBTOTAL(103,Január!$AF$7:$AF$11)</totalsRowFormula>
    </tableColumn>
    <tableColumn id="32" xr3:uid="{00000000-0010-0000-0000-000020000000}" name="31" totalsRowFunction="custom" dataDxfId="854" totalsRowDxfId="63">
      <totalsRowFormula>SUBTOTAL(103,Január!$AG$7:$AG$11)</totalsRowFormula>
    </tableColumn>
    <tableColumn id="33" xr3:uid="{00000000-0010-0000-0000-000021000000}" name="Celkový počet dní" totalsRowFunction="sum" dataDxfId="853" totalsRowDxfId="62" dataCellStyle="Spolu">
      <calculatedColumnFormula>COUNTA(Január!$C7:$AG7)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Október" displayName="Október" ref="B6:AH12" totalsRowCount="1" headerRowDxfId="556" dataDxfId="555" totalsRowDxfId="554">
  <tableColumns count="33">
    <tableColumn id="1" xr3:uid="{00000000-0010-0000-0900-000001000000}" name="Meno zamestnanca" totalsRowFunction="custom" dataDxfId="553" totalsRowDxfId="552" dataCellStyle="Zamestnanec">
      <totalsRowFormula>NázovMesiaca&amp;" Spolu"</totalsRowFormula>
    </tableColumn>
    <tableColumn id="2" xr3:uid="{00000000-0010-0000-0900-000002000000}" name="1" totalsRowFunction="count" dataDxfId="551" totalsRowDxfId="381"/>
    <tableColumn id="3" xr3:uid="{00000000-0010-0000-0900-000003000000}" name="2" totalsRowFunction="count" dataDxfId="550" totalsRowDxfId="380"/>
    <tableColumn id="4" xr3:uid="{00000000-0010-0000-0900-000004000000}" name="3" totalsRowFunction="count" dataDxfId="549" totalsRowDxfId="379"/>
    <tableColumn id="5" xr3:uid="{00000000-0010-0000-0900-000005000000}" name="4" totalsRowFunction="count" dataDxfId="548" totalsRowDxfId="378"/>
    <tableColumn id="6" xr3:uid="{00000000-0010-0000-0900-000006000000}" name="5" totalsRowFunction="count" dataDxfId="547" totalsRowDxfId="377"/>
    <tableColumn id="7" xr3:uid="{00000000-0010-0000-0900-000007000000}" name="6" totalsRowFunction="count" dataDxfId="546" totalsRowDxfId="376"/>
    <tableColumn id="8" xr3:uid="{00000000-0010-0000-0900-000008000000}" name="7" totalsRowFunction="count" dataDxfId="545" totalsRowDxfId="375"/>
    <tableColumn id="9" xr3:uid="{00000000-0010-0000-0900-000009000000}" name="8" totalsRowFunction="count" dataDxfId="544" totalsRowDxfId="374"/>
    <tableColumn id="10" xr3:uid="{00000000-0010-0000-0900-00000A000000}" name="9" totalsRowFunction="count" dataDxfId="543" totalsRowDxfId="373"/>
    <tableColumn id="11" xr3:uid="{00000000-0010-0000-0900-00000B000000}" name="10" totalsRowFunction="count" dataDxfId="542" totalsRowDxfId="372"/>
    <tableColumn id="12" xr3:uid="{00000000-0010-0000-0900-00000C000000}" name="11" totalsRowFunction="count" dataDxfId="541" totalsRowDxfId="371"/>
    <tableColumn id="13" xr3:uid="{00000000-0010-0000-0900-00000D000000}" name="12" totalsRowFunction="count" dataDxfId="540" totalsRowDxfId="370"/>
    <tableColumn id="14" xr3:uid="{00000000-0010-0000-0900-00000E000000}" name="13" totalsRowFunction="count" dataDxfId="539" totalsRowDxfId="369"/>
    <tableColumn id="15" xr3:uid="{00000000-0010-0000-0900-00000F000000}" name="14" totalsRowFunction="count" dataDxfId="538" totalsRowDxfId="368"/>
    <tableColumn id="16" xr3:uid="{00000000-0010-0000-0900-000010000000}" name="15" totalsRowFunction="count" dataDxfId="537" totalsRowDxfId="367"/>
    <tableColumn id="17" xr3:uid="{00000000-0010-0000-0900-000011000000}" name="16" totalsRowFunction="count" dataDxfId="536" totalsRowDxfId="366"/>
    <tableColumn id="18" xr3:uid="{00000000-0010-0000-0900-000012000000}" name="17" totalsRowFunction="count" dataDxfId="535" totalsRowDxfId="365"/>
    <tableColumn id="19" xr3:uid="{00000000-0010-0000-0900-000013000000}" name="18" totalsRowFunction="count" dataDxfId="534" totalsRowDxfId="364"/>
    <tableColumn id="20" xr3:uid="{00000000-0010-0000-0900-000014000000}" name="19" totalsRowFunction="count" dataDxfId="533" totalsRowDxfId="363"/>
    <tableColumn id="21" xr3:uid="{00000000-0010-0000-0900-000015000000}" name="20" totalsRowFunction="count" dataDxfId="532" totalsRowDxfId="362"/>
    <tableColumn id="22" xr3:uid="{00000000-0010-0000-0900-000016000000}" name="21" totalsRowFunction="count" dataDxfId="531" totalsRowDxfId="361"/>
    <tableColumn id="23" xr3:uid="{00000000-0010-0000-0900-000017000000}" name="22" totalsRowFunction="count" dataDxfId="530" totalsRowDxfId="360"/>
    <tableColumn id="24" xr3:uid="{00000000-0010-0000-0900-000018000000}" name="23" totalsRowFunction="count" dataDxfId="529" totalsRowDxfId="359"/>
    <tableColumn id="25" xr3:uid="{00000000-0010-0000-0900-000019000000}" name="24" totalsRowFunction="count" dataDxfId="528" totalsRowDxfId="358"/>
    <tableColumn id="26" xr3:uid="{00000000-0010-0000-0900-00001A000000}" name="25" totalsRowFunction="count" dataDxfId="527" totalsRowDxfId="357"/>
    <tableColumn id="27" xr3:uid="{00000000-0010-0000-0900-00001B000000}" name="26" totalsRowFunction="count" dataDxfId="526" totalsRowDxfId="356"/>
    <tableColumn id="28" xr3:uid="{00000000-0010-0000-0900-00001C000000}" name="27" totalsRowFunction="count" dataDxfId="525" totalsRowDxfId="355"/>
    <tableColumn id="29" xr3:uid="{00000000-0010-0000-0900-00001D000000}" name="28" totalsRowFunction="count" dataDxfId="524" totalsRowDxfId="354"/>
    <tableColumn id="30" xr3:uid="{00000000-0010-0000-0900-00001E000000}" name="29" totalsRowFunction="count" dataDxfId="523" totalsRowDxfId="353"/>
    <tableColumn id="31" xr3:uid="{00000000-0010-0000-0900-00001F000000}" name="30" totalsRowFunction="count" dataDxfId="522" totalsRowDxfId="352"/>
    <tableColumn id="32" xr3:uid="{00000000-0010-0000-0900-000020000000}" name="31" totalsRowFunction="count" dataDxfId="521" totalsRowDxfId="351"/>
    <tableColumn id="33" xr3:uid="{00000000-0010-0000-0900-000021000000}" name="Celkový počet dní" totalsRowFunction="sum" dataDxfId="520" totalsRowDxfId="350" dataCellStyle="Spolu">
      <calculatedColumnFormula>COUNTA(Október[[#This Row],[1]:[31]])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November" displayName="November" ref="B6:AH12" totalsRowCount="1" headerRowDxfId="519" dataDxfId="518" totalsRowDxfId="517">
  <tableColumns count="33">
    <tableColumn id="1" xr3:uid="{00000000-0010-0000-0A00-000001000000}" name="Meno zamestnanca" totalsRowFunction="custom" dataDxfId="516" totalsRowDxfId="515" dataCellStyle="Zamestnanec">
      <totalsRowFormula>NázovMesiaca&amp;" Spolu"</totalsRowFormula>
    </tableColumn>
    <tableColumn id="2" xr3:uid="{00000000-0010-0000-0A00-000002000000}" name="1" totalsRowFunction="count" dataDxfId="514" totalsRowDxfId="413"/>
    <tableColumn id="3" xr3:uid="{00000000-0010-0000-0A00-000003000000}" name="2" totalsRowFunction="count" dataDxfId="513" totalsRowDxfId="412"/>
    <tableColumn id="4" xr3:uid="{00000000-0010-0000-0A00-000004000000}" name="3" totalsRowFunction="count" dataDxfId="512" totalsRowDxfId="411"/>
    <tableColumn id="5" xr3:uid="{00000000-0010-0000-0A00-000005000000}" name="4" totalsRowFunction="count" dataDxfId="511" totalsRowDxfId="410"/>
    <tableColumn id="6" xr3:uid="{00000000-0010-0000-0A00-000006000000}" name="5" totalsRowFunction="count" dataDxfId="510" totalsRowDxfId="409"/>
    <tableColumn id="7" xr3:uid="{00000000-0010-0000-0A00-000007000000}" name="6" totalsRowFunction="count" dataDxfId="509" totalsRowDxfId="408"/>
    <tableColumn id="8" xr3:uid="{00000000-0010-0000-0A00-000008000000}" name="7" totalsRowFunction="count" dataDxfId="508" totalsRowDxfId="407"/>
    <tableColumn id="9" xr3:uid="{00000000-0010-0000-0A00-000009000000}" name="8" totalsRowFunction="count" dataDxfId="507" totalsRowDxfId="406"/>
    <tableColumn id="10" xr3:uid="{00000000-0010-0000-0A00-00000A000000}" name="9" totalsRowFunction="count" dataDxfId="506" totalsRowDxfId="405"/>
    <tableColumn id="11" xr3:uid="{00000000-0010-0000-0A00-00000B000000}" name="10" totalsRowFunction="count" dataDxfId="505" totalsRowDxfId="404"/>
    <tableColumn id="12" xr3:uid="{00000000-0010-0000-0A00-00000C000000}" name="11" totalsRowFunction="count" dataDxfId="504" totalsRowDxfId="403"/>
    <tableColumn id="13" xr3:uid="{00000000-0010-0000-0A00-00000D000000}" name="12" totalsRowFunction="count" dataDxfId="503" totalsRowDxfId="402"/>
    <tableColumn id="14" xr3:uid="{00000000-0010-0000-0A00-00000E000000}" name="13" totalsRowFunction="count" dataDxfId="502" totalsRowDxfId="401"/>
    <tableColumn id="15" xr3:uid="{00000000-0010-0000-0A00-00000F000000}" name="14" totalsRowFunction="count" dataDxfId="501" totalsRowDxfId="400"/>
    <tableColumn id="16" xr3:uid="{00000000-0010-0000-0A00-000010000000}" name="15" totalsRowFunction="count" dataDxfId="500" totalsRowDxfId="399"/>
    <tableColumn id="17" xr3:uid="{00000000-0010-0000-0A00-000011000000}" name="16" totalsRowFunction="count" dataDxfId="499" totalsRowDxfId="398"/>
    <tableColumn id="18" xr3:uid="{00000000-0010-0000-0A00-000012000000}" name="17" totalsRowFunction="count" dataDxfId="498" totalsRowDxfId="397"/>
    <tableColumn id="19" xr3:uid="{00000000-0010-0000-0A00-000013000000}" name="18" totalsRowFunction="count" dataDxfId="497" totalsRowDxfId="396"/>
    <tableColumn id="20" xr3:uid="{00000000-0010-0000-0A00-000014000000}" name="19" totalsRowFunction="count" dataDxfId="496" totalsRowDxfId="395"/>
    <tableColumn id="21" xr3:uid="{00000000-0010-0000-0A00-000015000000}" name="20" totalsRowFunction="count" dataDxfId="495" totalsRowDxfId="394"/>
    <tableColumn id="22" xr3:uid="{00000000-0010-0000-0A00-000016000000}" name="21" totalsRowFunction="count" dataDxfId="494" totalsRowDxfId="393"/>
    <tableColumn id="23" xr3:uid="{00000000-0010-0000-0A00-000017000000}" name="22" totalsRowFunction="count" dataDxfId="493" totalsRowDxfId="392"/>
    <tableColumn id="24" xr3:uid="{00000000-0010-0000-0A00-000018000000}" name="23" totalsRowFunction="count" dataDxfId="492" totalsRowDxfId="391"/>
    <tableColumn id="25" xr3:uid="{00000000-0010-0000-0A00-000019000000}" name="24" totalsRowFunction="count" dataDxfId="491" totalsRowDxfId="390"/>
    <tableColumn id="26" xr3:uid="{00000000-0010-0000-0A00-00001A000000}" name="25" totalsRowFunction="count" dataDxfId="490" totalsRowDxfId="389"/>
    <tableColumn id="27" xr3:uid="{00000000-0010-0000-0A00-00001B000000}" name="26" totalsRowFunction="count" dataDxfId="489" totalsRowDxfId="388"/>
    <tableColumn id="28" xr3:uid="{00000000-0010-0000-0A00-00001C000000}" name="27" totalsRowFunction="count" dataDxfId="488" totalsRowDxfId="387"/>
    <tableColumn id="29" xr3:uid="{00000000-0010-0000-0A00-00001D000000}" name="28" totalsRowFunction="count" dataDxfId="487" totalsRowDxfId="386"/>
    <tableColumn id="30" xr3:uid="{00000000-0010-0000-0A00-00001E000000}" name="29" totalsRowFunction="count" dataDxfId="486" totalsRowDxfId="385"/>
    <tableColumn id="31" xr3:uid="{00000000-0010-0000-0A00-00001F000000}" name="30" totalsRowFunction="count" dataDxfId="485" totalsRowDxfId="384"/>
    <tableColumn id="32" xr3:uid="{00000000-0010-0000-0A00-000020000000}" name=" " totalsRowFunction="count" dataDxfId="484" totalsRowDxfId="383"/>
    <tableColumn id="33" xr3:uid="{00000000-0010-0000-0A00-000021000000}" name="Celkový počet dní" totalsRowFunction="sum" dataDxfId="483" totalsRowDxfId="382" dataCellStyle="Spolu">
      <calculatedColumnFormula>COUNTA(November[[#This Row],[1]:[30]])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ecember" displayName="December" ref="B6:AH12" totalsRowCount="1" headerRowDxfId="482" dataDxfId="481" totalsRowDxfId="480">
  <tableColumns count="33">
    <tableColumn id="1" xr3:uid="{00000000-0010-0000-0B00-000001000000}" name="Meno zamestnanca" totalsRowFunction="custom" dataDxfId="479" totalsRowDxfId="478" dataCellStyle="Zamestnanec">
      <totalsRowFormula>NázovMesiaca&amp;" Spolu"</totalsRowFormula>
    </tableColumn>
    <tableColumn id="2" xr3:uid="{00000000-0010-0000-0B00-000002000000}" name="1" totalsRowFunction="count" dataDxfId="477" totalsRowDxfId="445"/>
    <tableColumn id="3" xr3:uid="{00000000-0010-0000-0B00-000003000000}" name="2" totalsRowFunction="count" dataDxfId="476" totalsRowDxfId="444"/>
    <tableColumn id="4" xr3:uid="{00000000-0010-0000-0B00-000004000000}" name="3" totalsRowFunction="count" dataDxfId="475" totalsRowDxfId="443"/>
    <tableColumn id="5" xr3:uid="{00000000-0010-0000-0B00-000005000000}" name="4" totalsRowFunction="count" dataDxfId="474" totalsRowDxfId="442"/>
    <tableColumn id="6" xr3:uid="{00000000-0010-0000-0B00-000006000000}" name="5" totalsRowFunction="count" dataDxfId="473" totalsRowDxfId="441"/>
    <tableColumn id="7" xr3:uid="{00000000-0010-0000-0B00-000007000000}" name="6" totalsRowFunction="count" dataDxfId="472" totalsRowDxfId="440"/>
    <tableColumn id="8" xr3:uid="{00000000-0010-0000-0B00-000008000000}" name="7" totalsRowFunction="count" dataDxfId="471" totalsRowDxfId="439"/>
    <tableColumn id="9" xr3:uid="{00000000-0010-0000-0B00-000009000000}" name="8" totalsRowFunction="count" dataDxfId="470" totalsRowDxfId="438"/>
    <tableColumn id="10" xr3:uid="{00000000-0010-0000-0B00-00000A000000}" name="9" totalsRowFunction="count" dataDxfId="469" totalsRowDxfId="437"/>
    <tableColumn id="11" xr3:uid="{00000000-0010-0000-0B00-00000B000000}" name="10" totalsRowFunction="count" dataDxfId="468" totalsRowDxfId="436"/>
    <tableColumn id="12" xr3:uid="{00000000-0010-0000-0B00-00000C000000}" name="11" totalsRowFunction="count" dataDxfId="467" totalsRowDxfId="435"/>
    <tableColumn id="13" xr3:uid="{00000000-0010-0000-0B00-00000D000000}" name="12" totalsRowFunction="count" dataDxfId="466" totalsRowDxfId="434"/>
    <tableColumn id="14" xr3:uid="{00000000-0010-0000-0B00-00000E000000}" name="13" totalsRowFunction="count" dataDxfId="465" totalsRowDxfId="433"/>
    <tableColumn id="15" xr3:uid="{00000000-0010-0000-0B00-00000F000000}" name="14" totalsRowFunction="count" dataDxfId="464" totalsRowDxfId="432"/>
    <tableColumn id="16" xr3:uid="{00000000-0010-0000-0B00-000010000000}" name="15" totalsRowFunction="count" dataDxfId="463" totalsRowDxfId="431"/>
    <tableColumn id="17" xr3:uid="{00000000-0010-0000-0B00-000011000000}" name="16" totalsRowFunction="count" dataDxfId="462" totalsRowDxfId="430"/>
    <tableColumn id="18" xr3:uid="{00000000-0010-0000-0B00-000012000000}" name="17" totalsRowFunction="count" dataDxfId="461" totalsRowDxfId="429"/>
    <tableColumn id="19" xr3:uid="{00000000-0010-0000-0B00-000013000000}" name="18" totalsRowFunction="count" dataDxfId="460" totalsRowDxfId="428"/>
    <tableColumn id="20" xr3:uid="{00000000-0010-0000-0B00-000014000000}" name="19" totalsRowFunction="count" dataDxfId="459" totalsRowDxfId="427"/>
    <tableColumn id="21" xr3:uid="{00000000-0010-0000-0B00-000015000000}" name="20" totalsRowFunction="count" dataDxfId="458" totalsRowDxfId="426"/>
    <tableColumn id="22" xr3:uid="{00000000-0010-0000-0B00-000016000000}" name="21" totalsRowFunction="count" dataDxfId="457" totalsRowDxfId="425"/>
    <tableColumn id="23" xr3:uid="{00000000-0010-0000-0B00-000017000000}" name="22" totalsRowFunction="count" dataDxfId="456" totalsRowDxfId="424"/>
    <tableColumn id="24" xr3:uid="{00000000-0010-0000-0B00-000018000000}" name="23" totalsRowFunction="count" dataDxfId="455" totalsRowDxfId="423"/>
    <tableColumn id="25" xr3:uid="{00000000-0010-0000-0B00-000019000000}" name="24" totalsRowFunction="count" dataDxfId="454" totalsRowDxfId="422"/>
    <tableColumn id="26" xr3:uid="{00000000-0010-0000-0B00-00001A000000}" name="25" totalsRowFunction="count" dataDxfId="453" totalsRowDxfId="421"/>
    <tableColumn id="27" xr3:uid="{00000000-0010-0000-0B00-00001B000000}" name="26" totalsRowFunction="count" dataDxfId="452" totalsRowDxfId="420"/>
    <tableColumn id="28" xr3:uid="{00000000-0010-0000-0B00-00001C000000}" name="27" totalsRowFunction="count" dataDxfId="451" totalsRowDxfId="419"/>
    <tableColumn id="29" xr3:uid="{00000000-0010-0000-0B00-00001D000000}" name="28" totalsRowFunction="count" dataDxfId="450" totalsRowDxfId="418"/>
    <tableColumn id="30" xr3:uid="{00000000-0010-0000-0B00-00001E000000}" name="29" totalsRowFunction="count" dataDxfId="449" totalsRowDxfId="417"/>
    <tableColumn id="31" xr3:uid="{00000000-0010-0000-0B00-00001F000000}" name="30" totalsRowFunction="count" dataDxfId="448" totalsRowDxfId="416"/>
    <tableColumn id="32" xr3:uid="{00000000-0010-0000-0B00-000020000000}" name="31" totalsRowFunction="count" dataDxfId="447" totalsRowDxfId="415"/>
    <tableColumn id="33" xr3:uid="{00000000-0010-0000-0B00-000021000000}" name="Celkový počet dní" totalsRowFunction="sum" dataDxfId="446" totalsRowDxfId="414" dataCellStyle="Spolu">
      <calculatedColumnFormula>COUNTA(December[[#This Row],[1]:[31]])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Nájdete tu zoznam mien a dátumy kalendára slúžiace na zaznamenávanie neprítomnosti zamestnancov a konkrétneho typu absencie, ako je D=Dovolenka, P=Práceneschopnosť, O=Osobné dôvody a dva zástupné objekty pre vlastné položky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MenoZamestnanca" displayName="MenoZamestnanca" ref="B3:B8" totalsRowShown="0">
  <autoFilter ref="B3:B8" xr:uid="{00000000-0009-0000-0100-00000D000000}"/>
  <tableColumns count="1">
    <tableColumn id="1" xr3:uid="{00000000-0010-0000-0C00-000001000000}" name="Mená zamestnancov" dataCellStyle="Zamestnanec"/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Do tejto tabuľky zadajte mená zamestnancov. Tieto mená slúžia ako možnosti v stĺpci B pre sledovanie absencií jednotlivých mesiacov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ár" displayName="Február" ref="B6:AH12" totalsRowCount="1" headerRowDxfId="852" dataDxfId="851" totalsRowDxfId="850">
  <tableColumns count="33">
    <tableColumn id="1" xr3:uid="{00000000-0010-0000-0100-000001000000}" name="Meno zamestnanca" totalsRowFunction="custom" dataDxfId="849" totalsRowDxfId="848" dataCellStyle="Zamestnanec">
      <totalsRowFormula>NázovMesiaca&amp;" Spolu"</totalsRowFormula>
    </tableColumn>
    <tableColumn id="2" xr3:uid="{00000000-0010-0000-0100-000002000000}" name="1" totalsRowFunction="count" dataDxfId="847" totalsRowDxfId="125"/>
    <tableColumn id="3" xr3:uid="{00000000-0010-0000-0100-000003000000}" name="2" totalsRowFunction="count" dataDxfId="846" totalsRowDxfId="124"/>
    <tableColumn id="4" xr3:uid="{00000000-0010-0000-0100-000004000000}" name="3" totalsRowFunction="count" dataDxfId="845" totalsRowDxfId="123"/>
    <tableColumn id="5" xr3:uid="{00000000-0010-0000-0100-000005000000}" name="4" totalsRowFunction="count" dataDxfId="844" totalsRowDxfId="122"/>
    <tableColumn id="6" xr3:uid="{00000000-0010-0000-0100-000006000000}" name="5" totalsRowFunction="count" dataDxfId="843" totalsRowDxfId="121"/>
    <tableColumn id="7" xr3:uid="{00000000-0010-0000-0100-000007000000}" name="6" totalsRowFunction="count" dataDxfId="842" totalsRowDxfId="120"/>
    <tableColumn id="8" xr3:uid="{00000000-0010-0000-0100-000008000000}" name="7" totalsRowFunction="count" dataDxfId="841" totalsRowDxfId="119"/>
    <tableColumn id="9" xr3:uid="{00000000-0010-0000-0100-000009000000}" name="8" totalsRowFunction="count" dataDxfId="840" totalsRowDxfId="118"/>
    <tableColumn id="10" xr3:uid="{00000000-0010-0000-0100-00000A000000}" name="9" totalsRowFunction="count" dataDxfId="839" totalsRowDxfId="117"/>
    <tableColumn id="11" xr3:uid="{00000000-0010-0000-0100-00000B000000}" name="10" totalsRowFunction="count" dataDxfId="838" totalsRowDxfId="116"/>
    <tableColumn id="12" xr3:uid="{00000000-0010-0000-0100-00000C000000}" name="11" totalsRowFunction="count" dataDxfId="837" totalsRowDxfId="115"/>
    <tableColumn id="13" xr3:uid="{00000000-0010-0000-0100-00000D000000}" name="12" totalsRowFunction="count" dataDxfId="836" totalsRowDxfId="114"/>
    <tableColumn id="14" xr3:uid="{00000000-0010-0000-0100-00000E000000}" name="13" totalsRowFunction="count" dataDxfId="835" totalsRowDxfId="113"/>
    <tableColumn id="15" xr3:uid="{00000000-0010-0000-0100-00000F000000}" name="14" totalsRowFunction="count" dataDxfId="834" totalsRowDxfId="112"/>
    <tableColumn id="16" xr3:uid="{00000000-0010-0000-0100-000010000000}" name="15" totalsRowFunction="count" dataDxfId="833" totalsRowDxfId="111"/>
    <tableColumn id="17" xr3:uid="{00000000-0010-0000-0100-000011000000}" name="16" totalsRowFunction="count" dataDxfId="832" totalsRowDxfId="110"/>
    <tableColumn id="18" xr3:uid="{00000000-0010-0000-0100-000012000000}" name="17" totalsRowFunction="count" dataDxfId="831" totalsRowDxfId="109"/>
    <tableColumn id="19" xr3:uid="{00000000-0010-0000-0100-000013000000}" name="18" totalsRowFunction="count" dataDxfId="830" totalsRowDxfId="108"/>
    <tableColumn id="20" xr3:uid="{00000000-0010-0000-0100-000014000000}" name="19" totalsRowFunction="count" dataDxfId="829" totalsRowDxfId="107"/>
    <tableColumn id="21" xr3:uid="{00000000-0010-0000-0100-000015000000}" name="20" totalsRowFunction="count" dataDxfId="828" totalsRowDxfId="106"/>
    <tableColumn id="22" xr3:uid="{00000000-0010-0000-0100-000016000000}" name="21" totalsRowFunction="count" dataDxfId="827" totalsRowDxfId="105"/>
    <tableColumn id="23" xr3:uid="{00000000-0010-0000-0100-000017000000}" name="22" totalsRowFunction="count" dataDxfId="826" totalsRowDxfId="104"/>
    <tableColumn id="24" xr3:uid="{00000000-0010-0000-0100-000018000000}" name="23" totalsRowFunction="count" dataDxfId="825" totalsRowDxfId="103"/>
    <tableColumn id="25" xr3:uid="{00000000-0010-0000-0100-000019000000}" name="24" totalsRowFunction="count" dataDxfId="824" totalsRowDxfId="102"/>
    <tableColumn id="26" xr3:uid="{00000000-0010-0000-0100-00001A000000}" name="25" totalsRowFunction="count" dataDxfId="823" totalsRowDxfId="101"/>
    <tableColumn id="27" xr3:uid="{00000000-0010-0000-0100-00001B000000}" name="26" totalsRowFunction="count" dataDxfId="822" totalsRowDxfId="100"/>
    <tableColumn id="28" xr3:uid="{00000000-0010-0000-0100-00001C000000}" name="27" totalsRowFunction="count" dataDxfId="821" totalsRowDxfId="99"/>
    <tableColumn id="29" xr3:uid="{00000000-0010-0000-0100-00001D000000}" name="28" totalsRowFunction="count" dataDxfId="820" totalsRowDxfId="98"/>
    <tableColumn id="30" xr3:uid="{00000000-0010-0000-0100-00001E000000}" name="29" totalsRowFunction="count" dataDxfId="819" totalsRowDxfId="97"/>
    <tableColumn id="31" xr3:uid="{00000000-0010-0000-0100-00001F000000}" name=" " dataDxfId="818" totalsRowDxfId="96"/>
    <tableColumn id="32" xr3:uid="{00000000-0010-0000-0100-000020000000}" name="  " dataDxfId="817" totalsRowDxfId="95"/>
    <tableColumn id="33" xr3:uid="{00000000-0010-0000-0100-000021000000}" name="Celkový počet dní" totalsRowFunction="sum" dataDxfId="816" totalsRowDxfId="94" dataCellStyle="Spolu">
      <calculatedColumnFormula>COUNTA(Február[[#This Row],[1]:[29]])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Marec" displayName="Marec" ref="B6:AH12" totalsRowCount="1" headerRowDxfId="815" dataDxfId="814" totalsRowDxfId="813">
  <tableColumns count="33">
    <tableColumn id="1" xr3:uid="{00000000-0010-0000-0200-000001000000}" name="Meno zamestnanca" totalsRowFunction="custom" dataDxfId="812" totalsRowDxfId="811" dataCellStyle="Zamestnanec">
      <totalsRowFormula>NázovMesiaca&amp;" Spolu"</totalsRowFormula>
    </tableColumn>
    <tableColumn id="2" xr3:uid="{00000000-0010-0000-0200-000002000000}" name="1" totalsRowFunction="count" dataDxfId="810" totalsRowDxfId="157"/>
    <tableColumn id="3" xr3:uid="{00000000-0010-0000-0200-000003000000}" name="2" totalsRowFunction="count" dataDxfId="809" totalsRowDxfId="156"/>
    <tableColumn id="4" xr3:uid="{00000000-0010-0000-0200-000004000000}" name="3" totalsRowFunction="count" dataDxfId="808" totalsRowDxfId="155"/>
    <tableColumn id="5" xr3:uid="{00000000-0010-0000-0200-000005000000}" name="4" totalsRowFunction="count" dataDxfId="807" totalsRowDxfId="154"/>
    <tableColumn id="6" xr3:uid="{00000000-0010-0000-0200-000006000000}" name="5" totalsRowFunction="count" dataDxfId="806" totalsRowDxfId="153"/>
    <tableColumn id="7" xr3:uid="{00000000-0010-0000-0200-000007000000}" name="6" totalsRowFunction="count" dataDxfId="805" totalsRowDxfId="152"/>
    <tableColumn id="8" xr3:uid="{00000000-0010-0000-0200-000008000000}" name="7" totalsRowFunction="count" dataDxfId="804" totalsRowDxfId="151"/>
    <tableColumn id="9" xr3:uid="{00000000-0010-0000-0200-000009000000}" name="8" totalsRowFunction="count" dataDxfId="803" totalsRowDxfId="150"/>
    <tableColumn id="10" xr3:uid="{00000000-0010-0000-0200-00000A000000}" name="9" totalsRowFunction="count" dataDxfId="802" totalsRowDxfId="149"/>
    <tableColumn id="11" xr3:uid="{00000000-0010-0000-0200-00000B000000}" name="10" totalsRowFunction="count" dataDxfId="801" totalsRowDxfId="148"/>
    <tableColumn id="12" xr3:uid="{00000000-0010-0000-0200-00000C000000}" name="11" totalsRowFunction="count" dataDxfId="800" totalsRowDxfId="147"/>
    <tableColumn id="13" xr3:uid="{00000000-0010-0000-0200-00000D000000}" name="12" totalsRowFunction="count" dataDxfId="799" totalsRowDxfId="146"/>
    <tableColumn id="14" xr3:uid="{00000000-0010-0000-0200-00000E000000}" name="13" totalsRowFunction="count" dataDxfId="798" totalsRowDxfId="145"/>
    <tableColumn id="15" xr3:uid="{00000000-0010-0000-0200-00000F000000}" name="14" totalsRowFunction="count" dataDxfId="797" totalsRowDxfId="144"/>
    <tableColumn id="16" xr3:uid="{00000000-0010-0000-0200-000010000000}" name="15" totalsRowFunction="count" dataDxfId="796" totalsRowDxfId="143"/>
    <tableColumn id="17" xr3:uid="{00000000-0010-0000-0200-000011000000}" name="16" totalsRowFunction="count" dataDxfId="795" totalsRowDxfId="142"/>
    <tableColumn id="18" xr3:uid="{00000000-0010-0000-0200-000012000000}" name="17" totalsRowFunction="count" dataDxfId="794" totalsRowDxfId="141"/>
    <tableColumn id="19" xr3:uid="{00000000-0010-0000-0200-000013000000}" name="18" totalsRowFunction="count" dataDxfId="793" totalsRowDxfId="140"/>
    <tableColumn id="20" xr3:uid="{00000000-0010-0000-0200-000014000000}" name="19" totalsRowFunction="count" dataDxfId="792" totalsRowDxfId="139"/>
    <tableColumn id="21" xr3:uid="{00000000-0010-0000-0200-000015000000}" name="20" totalsRowFunction="count" dataDxfId="791" totalsRowDxfId="138"/>
    <tableColumn id="22" xr3:uid="{00000000-0010-0000-0200-000016000000}" name="21" totalsRowFunction="count" dataDxfId="790" totalsRowDxfId="137"/>
    <tableColumn id="23" xr3:uid="{00000000-0010-0000-0200-000017000000}" name="22" totalsRowFunction="count" dataDxfId="789" totalsRowDxfId="136"/>
    <tableColumn id="24" xr3:uid="{00000000-0010-0000-0200-000018000000}" name="23" totalsRowFunction="count" dataDxfId="788" totalsRowDxfId="135"/>
    <tableColumn id="25" xr3:uid="{00000000-0010-0000-0200-000019000000}" name="24" totalsRowFunction="count" dataDxfId="787" totalsRowDxfId="134"/>
    <tableColumn id="26" xr3:uid="{00000000-0010-0000-0200-00001A000000}" name="25" totalsRowFunction="count" dataDxfId="786" totalsRowDxfId="133"/>
    <tableColumn id="27" xr3:uid="{00000000-0010-0000-0200-00001B000000}" name="26" totalsRowFunction="count" dataDxfId="785" totalsRowDxfId="132"/>
    <tableColumn id="28" xr3:uid="{00000000-0010-0000-0200-00001C000000}" name="27" totalsRowFunction="count" dataDxfId="784" totalsRowDxfId="131"/>
    <tableColumn id="29" xr3:uid="{00000000-0010-0000-0200-00001D000000}" name="28" totalsRowFunction="count" dataDxfId="783" totalsRowDxfId="130"/>
    <tableColumn id="30" xr3:uid="{00000000-0010-0000-0200-00001E000000}" name="29" totalsRowFunction="count" dataDxfId="782" totalsRowDxfId="129"/>
    <tableColumn id="31" xr3:uid="{00000000-0010-0000-0200-00001F000000}" name="30" totalsRowFunction="count" dataDxfId="781" totalsRowDxfId="128"/>
    <tableColumn id="32" xr3:uid="{00000000-0010-0000-0200-000020000000}" name="31" totalsRowFunction="count" dataDxfId="780" totalsRowDxfId="127"/>
    <tableColumn id="33" xr3:uid="{00000000-0010-0000-0200-000021000000}" name="Celkový počet dní" totalsRowFunction="sum" dataDxfId="779" totalsRowDxfId="126" dataCellStyle="Spolu">
      <calculatedColumnFormula>COUNTA(Marec[[#This Row],[1]:[31]])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Apríl" displayName="Apríl" ref="B6:AH12" totalsRowCount="1" headerRowDxfId="778" dataDxfId="777" totalsRowDxfId="776">
  <tableColumns count="33">
    <tableColumn id="1" xr3:uid="{00000000-0010-0000-0300-000001000000}" name="Meno zamestnanca" totalsRowFunction="custom" dataDxfId="775" totalsRowDxfId="774" dataCellStyle="Zamestnanec">
      <totalsRowFormula>NázovMesiaca&amp;" Spolu"</totalsRowFormula>
    </tableColumn>
    <tableColumn id="2" xr3:uid="{00000000-0010-0000-0300-000002000000}" name="1" totalsRowFunction="count" dataDxfId="773" totalsRowDxfId="189"/>
    <tableColumn id="3" xr3:uid="{00000000-0010-0000-0300-000003000000}" name="2" totalsRowFunction="count" dataDxfId="772" totalsRowDxfId="188"/>
    <tableColumn id="4" xr3:uid="{00000000-0010-0000-0300-000004000000}" name="3" totalsRowFunction="count" dataDxfId="771" totalsRowDxfId="187"/>
    <tableColumn id="5" xr3:uid="{00000000-0010-0000-0300-000005000000}" name="4" totalsRowFunction="count" dataDxfId="770" totalsRowDxfId="186"/>
    <tableColumn id="6" xr3:uid="{00000000-0010-0000-0300-000006000000}" name="5" totalsRowFunction="count" dataDxfId="769" totalsRowDxfId="185"/>
    <tableColumn id="7" xr3:uid="{00000000-0010-0000-0300-000007000000}" name="6" totalsRowFunction="count" dataDxfId="768" totalsRowDxfId="184"/>
    <tableColumn id="8" xr3:uid="{00000000-0010-0000-0300-000008000000}" name="7" totalsRowFunction="count" dataDxfId="767" totalsRowDxfId="183"/>
    <tableColumn id="9" xr3:uid="{00000000-0010-0000-0300-000009000000}" name="8" totalsRowFunction="count" dataDxfId="766" totalsRowDxfId="182"/>
    <tableColumn id="10" xr3:uid="{00000000-0010-0000-0300-00000A000000}" name="9" totalsRowFunction="count" dataDxfId="765" totalsRowDxfId="181"/>
    <tableColumn id="11" xr3:uid="{00000000-0010-0000-0300-00000B000000}" name="10" totalsRowFunction="count" dataDxfId="764" totalsRowDxfId="180"/>
    <tableColumn id="12" xr3:uid="{00000000-0010-0000-0300-00000C000000}" name="11" totalsRowFunction="count" dataDxfId="763" totalsRowDxfId="179"/>
    <tableColumn id="13" xr3:uid="{00000000-0010-0000-0300-00000D000000}" name="12" totalsRowFunction="count" dataDxfId="762" totalsRowDxfId="178"/>
    <tableColumn id="14" xr3:uid="{00000000-0010-0000-0300-00000E000000}" name="13" totalsRowFunction="count" dataDxfId="761" totalsRowDxfId="177"/>
    <tableColumn id="15" xr3:uid="{00000000-0010-0000-0300-00000F000000}" name="14" totalsRowFunction="count" dataDxfId="760" totalsRowDxfId="176"/>
    <tableColumn id="16" xr3:uid="{00000000-0010-0000-0300-000010000000}" name="15" totalsRowFunction="count" dataDxfId="759" totalsRowDxfId="175"/>
    <tableColumn id="17" xr3:uid="{00000000-0010-0000-0300-000011000000}" name="16" totalsRowFunction="count" dataDxfId="758" totalsRowDxfId="174"/>
    <tableColumn id="18" xr3:uid="{00000000-0010-0000-0300-000012000000}" name="17" totalsRowFunction="count" dataDxfId="757" totalsRowDxfId="173"/>
    <tableColumn id="19" xr3:uid="{00000000-0010-0000-0300-000013000000}" name="18" totalsRowFunction="count" dataDxfId="756" totalsRowDxfId="172"/>
    <tableColumn id="20" xr3:uid="{00000000-0010-0000-0300-000014000000}" name="19" totalsRowFunction="count" dataDxfId="755" totalsRowDxfId="171"/>
    <tableColumn id="21" xr3:uid="{00000000-0010-0000-0300-000015000000}" name="20" totalsRowFunction="count" dataDxfId="754" totalsRowDxfId="170"/>
    <tableColumn id="22" xr3:uid="{00000000-0010-0000-0300-000016000000}" name="21" totalsRowFunction="count" dataDxfId="753" totalsRowDxfId="169"/>
    <tableColumn id="23" xr3:uid="{00000000-0010-0000-0300-000017000000}" name="22" totalsRowFunction="count" dataDxfId="752" totalsRowDxfId="168"/>
    <tableColumn id="24" xr3:uid="{00000000-0010-0000-0300-000018000000}" name="23" totalsRowFunction="count" dataDxfId="751" totalsRowDxfId="167"/>
    <tableColumn id="25" xr3:uid="{00000000-0010-0000-0300-000019000000}" name="24" totalsRowFunction="count" dataDxfId="750" totalsRowDxfId="166"/>
    <tableColumn id="26" xr3:uid="{00000000-0010-0000-0300-00001A000000}" name="25" totalsRowFunction="count" dataDxfId="749" totalsRowDxfId="165"/>
    <tableColumn id="27" xr3:uid="{00000000-0010-0000-0300-00001B000000}" name="26" totalsRowFunction="count" dataDxfId="748" totalsRowDxfId="164"/>
    <tableColumn id="28" xr3:uid="{00000000-0010-0000-0300-00001C000000}" name="27" totalsRowFunction="count" dataDxfId="747" totalsRowDxfId="163"/>
    <tableColumn id="29" xr3:uid="{00000000-0010-0000-0300-00001D000000}" name="28" totalsRowFunction="count" dataDxfId="746" totalsRowDxfId="162"/>
    <tableColumn id="30" xr3:uid="{00000000-0010-0000-0300-00001E000000}" name="29" totalsRowFunction="count" dataDxfId="745" totalsRowDxfId="161"/>
    <tableColumn id="31" xr3:uid="{00000000-0010-0000-0300-00001F000000}" name="30" totalsRowFunction="count" dataDxfId="744" totalsRowDxfId="160"/>
    <tableColumn id="32" xr3:uid="{00000000-0010-0000-0300-000020000000}" name=" " totalsRowFunction="custom" dataDxfId="743" totalsRowDxfId="159">
      <totalsRowFormula>SUBTOTAL(103,Apríl[30])</totalsRowFormula>
    </tableColumn>
    <tableColumn id="33" xr3:uid="{00000000-0010-0000-0300-000021000000}" name="Celkový počet dní" totalsRowFunction="sum" dataDxfId="742" totalsRowDxfId="158" dataCellStyle="Spolu">
      <calculatedColumnFormula>COUNTA(Apríl[[#This Row],[1]:[30]])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Máj" displayName="Máj" ref="B6:AH12" totalsRowCount="1" headerRowDxfId="741" dataDxfId="740" totalsRowDxfId="739">
  <tableColumns count="33">
    <tableColumn id="1" xr3:uid="{00000000-0010-0000-0400-000001000000}" name="Meno zamestnanca" totalsRowFunction="custom" dataDxfId="738" totalsRowDxfId="737" dataCellStyle="Zamestnanec">
      <totalsRowFormula>NázovMesiaca&amp;" Spolu"</totalsRowFormula>
    </tableColumn>
    <tableColumn id="2" xr3:uid="{00000000-0010-0000-0400-000002000000}" name="1" totalsRowFunction="count" dataDxfId="736" totalsRowDxfId="221"/>
    <tableColumn id="3" xr3:uid="{00000000-0010-0000-0400-000003000000}" name="2" totalsRowFunction="count" dataDxfId="735" totalsRowDxfId="220"/>
    <tableColumn id="4" xr3:uid="{00000000-0010-0000-0400-000004000000}" name="3" totalsRowFunction="count" dataDxfId="734" totalsRowDxfId="219"/>
    <tableColumn id="5" xr3:uid="{00000000-0010-0000-0400-000005000000}" name="4" totalsRowFunction="count" dataDxfId="733" totalsRowDxfId="218"/>
    <tableColumn id="6" xr3:uid="{00000000-0010-0000-0400-000006000000}" name="5" totalsRowFunction="count" dataDxfId="732" totalsRowDxfId="217"/>
    <tableColumn id="7" xr3:uid="{00000000-0010-0000-0400-000007000000}" name="6" totalsRowFunction="count" dataDxfId="731" totalsRowDxfId="216"/>
    <tableColumn id="8" xr3:uid="{00000000-0010-0000-0400-000008000000}" name="7" totalsRowFunction="count" dataDxfId="730" totalsRowDxfId="215"/>
    <tableColumn id="9" xr3:uid="{00000000-0010-0000-0400-000009000000}" name="8" totalsRowFunction="count" dataDxfId="729" totalsRowDxfId="214"/>
    <tableColumn id="10" xr3:uid="{00000000-0010-0000-0400-00000A000000}" name="9" totalsRowFunction="count" dataDxfId="728" totalsRowDxfId="213"/>
    <tableColumn id="11" xr3:uid="{00000000-0010-0000-0400-00000B000000}" name="10" totalsRowFunction="count" dataDxfId="727" totalsRowDxfId="212"/>
    <tableColumn id="12" xr3:uid="{00000000-0010-0000-0400-00000C000000}" name="11" totalsRowFunction="count" dataDxfId="726" totalsRowDxfId="211"/>
    <tableColumn id="13" xr3:uid="{00000000-0010-0000-0400-00000D000000}" name="12" totalsRowFunction="count" dataDxfId="725" totalsRowDxfId="210"/>
    <tableColumn id="14" xr3:uid="{00000000-0010-0000-0400-00000E000000}" name="13" totalsRowFunction="count" dataDxfId="724" totalsRowDxfId="209"/>
    <tableColumn id="15" xr3:uid="{00000000-0010-0000-0400-00000F000000}" name="14" totalsRowFunction="count" dataDxfId="723" totalsRowDxfId="208"/>
    <tableColumn id="16" xr3:uid="{00000000-0010-0000-0400-000010000000}" name="15" totalsRowFunction="count" dataDxfId="722" totalsRowDxfId="207"/>
    <tableColumn id="17" xr3:uid="{00000000-0010-0000-0400-000011000000}" name="16" totalsRowFunction="count" dataDxfId="721" totalsRowDxfId="206"/>
    <tableColumn id="18" xr3:uid="{00000000-0010-0000-0400-000012000000}" name="17" totalsRowFunction="count" dataDxfId="720" totalsRowDxfId="205"/>
    <tableColumn id="19" xr3:uid="{00000000-0010-0000-0400-000013000000}" name="18" totalsRowFunction="count" dataDxfId="719" totalsRowDxfId="204"/>
    <tableColumn id="20" xr3:uid="{00000000-0010-0000-0400-000014000000}" name="19" totalsRowFunction="count" dataDxfId="718" totalsRowDxfId="203"/>
    <tableColumn id="21" xr3:uid="{00000000-0010-0000-0400-000015000000}" name="20" totalsRowFunction="count" dataDxfId="717" totalsRowDxfId="202"/>
    <tableColumn id="22" xr3:uid="{00000000-0010-0000-0400-000016000000}" name="21" totalsRowFunction="count" dataDxfId="716" totalsRowDxfId="201"/>
    <tableColumn id="23" xr3:uid="{00000000-0010-0000-0400-000017000000}" name="22" totalsRowFunction="count" dataDxfId="715" totalsRowDxfId="200"/>
    <tableColumn id="24" xr3:uid="{00000000-0010-0000-0400-000018000000}" name="23" totalsRowFunction="count" dataDxfId="714" totalsRowDxfId="199"/>
    <tableColumn id="25" xr3:uid="{00000000-0010-0000-0400-000019000000}" name="24" totalsRowFunction="count" dataDxfId="713" totalsRowDxfId="198"/>
    <tableColumn id="26" xr3:uid="{00000000-0010-0000-0400-00001A000000}" name="25" totalsRowFunction="count" dataDxfId="712" totalsRowDxfId="197"/>
    <tableColumn id="27" xr3:uid="{00000000-0010-0000-0400-00001B000000}" name="26" totalsRowFunction="count" dataDxfId="711" totalsRowDxfId="196"/>
    <tableColumn id="28" xr3:uid="{00000000-0010-0000-0400-00001C000000}" name="27" totalsRowFunction="count" dataDxfId="710" totalsRowDxfId="195"/>
    <tableColumn id="29" xr3:uid="{00000000-0010-0000-0400-00001D000000}" name="28" totalsRowFunction="count" dataDxfId="709" totalsRowDxfId="194"/>
    <tableColumn id="30" xr3:uid="{00000000-0010-0000-0400-00001E000000}" name="29" totalsRowFunction="count" dataDxfId="708" totalsRowDxfId="193"/>
    <tableColumn id="31" xr3:uid="{00000000-0010-0000-0400-00001F000000}" name="30" totalsRowFunction="count" dataDxfId="707" totalsRowDxfId="192"/>
    <tableColumn id="32" xr3:uid="{00000000-0010-0000-0400-000020000000}" name="31" totalsRowFunction="count" dataDxfId="706" totalsRowDxfId="191"/>
    <tableColumn id="33" xr3:uid="{00000000-0010-0000-0400-000021000000}" name="Celkový počet dní" totalsRowFunction="sum" dataDxfId="705" totalsRowDxfId="190" dataCellStyle="Spolu">
      <calculatedColumnFormula>COUNTA(Máj[[#This Row],[1]:[31]])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Jún" displayName="Jún" ref="B6:AH12" totalsRowCount="1" headerRowDxfId="704" dataDxfId="703" totalsRowDxfId="702">
  <tableColumns count="33">
    <tableColumn id="1" xr3:uid="{00000000-0010-0000-0500-000001000000}" name="Meno zamestnanca" totalsRowFunction="custom" dataDxfId="701" totalsRowDxfId="700" dataCellStyle="Zamestnanec">
      <totalsRowFormula>NázovMesiaca&amp;" Spolu"</totalsRowFormula>
    </tableColumn>
    <tableColumn id="2" xr3:uid="{00000000-0010-0000-0500-000002000000}" name="1" totalsRowFunction="count" dataDxfId="699" totalsRowDxfId="253"/>
    <tableColumn id="3" xr3:uid="{00000000-0010-0000-0500-000003000000}" name="2" totalsRowFunction="count" dataDxfId="698" totalsRowDxfId="252"/>
    <tableColumn id="4" xr3:uid="{00000000-0010-0000-0500-000004000000}" name="3" totalsRowFunction="count" dataDxfId="697" totalsRowDxfId="251"/>
    <tableColumn id="5" xr3:uid="{00000000-0010-0000-0500-000005000000}" name="4" totalsRowFunction="count" dataDxfId="696" totalsRowDxfId="250"/>
    <tableColumn id="6" xr3:uid="{00000000-0010-0000-0500-000006000000}" name="5" totalsRowFunction="count" dataDxfId="695" totalsRowDxfId="249"/>
    <tableColumn id="7" xr3:uid="{00000000-0010-0000-0500-000007000000}" name="6" totalsRowFunction="count" dataDxfId="694" totalsRowDxfId="248"/>
    <tableColumn id="8" xr3:uid="{00000000-0010-0000-0500-000008000000}" name="7" totalsRowFunction="count" dataDxfId="693" totalsRowDxfId="247"/>
    <tableColumn id="9" xr3:uid="{00000000-0010-0000-0500-000009000000}" name="8" totalsRowFunction="count" dataDxfId="692" totalsRowDxfId="246"/>
    <tableColumn id="10" xr3:uid="{00000000-0010-0000-0500-00000A000000}" name="9" totalsRowFunction="count" dataDxfId="691" totalsRowDxfId="245"/>
    <tableColumn id="11" xr3:uid="{00000000-0010-0000-0500-00000B000000}" name="10" totalsRowFunction="count" dataDxfId="690" totalsRowDxfId="244"/>
    <tableColumn id="12" xr3:uid="{00000000-0010-0000-0500-00000C000000}" name="11" totalsRowFunction="count" dataDxfId="689" totalsRowDxfId="243"/>
    <tableColumn id="13" xr3:uid="{00000000-0010-0000-0500-00000D000000}" name="12" totalsRowFunction="count" dataDxfId="688" totalsRowDxfId="242"/>
    <tableColumn id="14" xr3:uid="{00000000-0010-0000-0500-00000E000000}" name="13" totalsRowFunction="count" dataDxfId="687" totalsRowDxfId="241"/>
    <tableColumn id="15" xr3:uid="{00000000-0010-0000-0500-00000F000000}" name="14" totalsRowFunction="count" dataDxfId="686" totalsRowDxfId="240"/>
    <tableColumn id="16" xr3:uid="{00000000-0010-0000-0500-000010000000}" name="15" totalsRowFunction="count" dataDxfId="685" totalsRowDxfId="239"/>
    <tableColumn id="17" xr3:uid="{00000000-0010-0000-0500-000011000000}" name="16" totalsRowFunction="count" dataDxfId="684" totalsRowDxfId="238"/>
    <tableColumn id="18" xr3:uid="{00000000-0010-0000-0500-000012000000}" name="17" totalsRowFunction="count" dataDxfId="683" totalsRowDxfId="237"/>
    <tableColumn id="19" xr3:uid="{00000000-0010-0000-0500-000013000000}" name="18" totalsRowFunction="count" dataDxfId="682" totalsRowDxfId="236"/>
    <tableColumn id="20" xr3:uid="{00000000-0010-0000-0500-000014000000}" name="19" totalsRowFunction="count" dataDxfId="681" totalsRowDxfId="235"/>
    <tableColumn id="21" xr3:uid="{00000000-0010-0000-0500-000015000000}" name="20" totalsRowFunction="count" dataDxfId="680" totalsRowDxfId="234"/>
    <tableColumn id="22" xr3:uid="{00000000-0010-0000-0500-000016000000}" name="21" totalsRowFunction="count" dataDxfId="679" totalsRowDxfId="233"/>
    <tableColumn id="23" xr3:uid="{00000000-0010-0000-0500-000017000000}" name="22" totalsRowFunction="count" dataDxfId="678" totalsRowDxfId="232"/>
    <tableColumn id="24" xr3:uid="{00000000-0010-0000-0500-000018000000}" name="23" totalsRowFunction="count" dataDxfId="677" totalsRowDxfId="231"/>
    <tableColumn id="25" xr3:uid="{00000000-0010-0000-0500-000019000000}" name="24" totalsRowFunction="count" dataDxfId="676" totalsRowDxfId="230"/>
    <tableColumn id="26" xr3:uid="{00000000-0010-0000-0500-00001A000000}" name="25" totalsRowFunction="count" dataDxfId="675" totalsRowDxfId="229"/>
    <tableColumn id="27" xr3:uid="{00000000-0010-0000-0500-00001B000000}" name="26" totalsRowFunction="count" dataDxfId="674" totalsRowDxfId="228"/>
    <tableColumn id="28" xr3:uid="{00000000-0010-0000-0500-00001C000000}" name="27" totalsRowFunction="count" dataDxfId="673" totalsRowDxfId="227"/>
    <tableColumn id="29" xr3:uid="{00000000-0010-0000-0500-00001D000000}" name="28" totalsRowFunction="count" dataDxfId="672" totalsRowDxfId="226"/>
    <tableColumn id="30" xr3:uid="{00000000-0010-0000-0500-00001E000000}" name="29" totalsRowFunction="count" dataDxfId="671" totalsRowDxfId="225"/>
    <tableColumn id="31" xr3:uid="{00000000-0010-0000-0500-00001F000000}" name="30" totalsRowFunction="count" dataDxfId="670" totalsRowDxfId="224"/>
    <tableColumn id="32" xr3:uid="{00000000-0010-0000-0500-000020000000}" name=" " totalsRowFunction="count" dataDxfId="669" totalsRowDxfId="223"/>
    <tableColumn id="33" xr3:uid="{00000000-0010-0000-0500-000021000000}" name="Celkový počet dní" totalsRowFunction="sum" dataDxfId="668" totalsRowDxfId="222" dataCellStyle="Spolu">
      <calculatedColumnFormula>COUNTA(Jún[[#This Row],[1]:[30]])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Júl" displayName="Júl" ref="B6:AH12" totalsRowCount="1" headerRowDxfId="667" dataDxfId="666" totalsRowDxfId="665">
  <tableColumns count="33">
    <tableColumn id="1" xr3:uid="{00000000-0010-0000-0600-000001000000}" name="Meno zamestnanca" totalsRowFunction="custom" dataDxfId="664" totalsRowDxfId="663" dataCellStyle="Zamestnanec">
      <totalsRowFormula>NázovMesiaca&amp;" Spolu"</totalsRowFormula>
    </tableColumn>
    <tableColumn id="2" xr3:uid="{00000000-0010-0000-0600-000002000000}" name="1" totalsRowFunction="count" dataDxfId="662" totalsRowDxfId="285"/>
    <tableColumn id="3" xr3:uid="{00000000-0010-0000-0600-000003000000}" name="2" totalsRowFunction="count" dataDxfId="661" totalsRowDxfId="284"/>
    <tableColumn id="4" xr3:uid="{00000000-0010-0000-0600-000004000000}" name="3" totalsRowFunction="count" dataDxfId="660" totalsRowDxfId="283"/>
    <tableColumn id="5" xr3:uid="{00000000-0010-0000-0600-000005000000}" name="4" totalsRowFunction="count" dataDxfId="659" totalsRowDxfId="282"/>
    <tableColumn id="6" xr3:uid="{00000000-0010-0000-0600-000006000000}" name="5" totalsRowFunction="count" dataDxfId="658" totalsRowDxfId="281"/>
    <tableColumn id="7" xr3:uid="{00000000-0010-0000-0600-000007000000}" name="6" totalsRowFunction="count" dataDxfId="657" totalsRowDxfId="280"/>
    <tableColumn id="8" xr3:uid="{00000000-0010-0000-0600-000008000000}" name="7" totalsRowFunction="count" dataDxfId="656" totalsRowDxfId="279"/>
    <tableColumn id="9" xr3:uid="{00000000-0010-0000-0600-000009000000}" name="8" totalsRowFunction="count" dataDxfId="655" totalsRowDxfId="278"/>
    <tableColumn id="10" xr3:uid="{00000000-0010-0000-0600-00000A000000}" name="9" totalsRowFunction="count" dataDxfId="654" totalsRowDxfId="277"/>
    <tableColumn id="11" xr3:uid="{00000000-0010-0000-0600-00000B000000}" name="10" totalsRowFunction="count" dataDxfId="653" totalsRowDxfId="276"/>
    <tableColumn id="12" xr3:uid="{00000000-0010-0000-0600-00000C000000}" name="11" totalsRowFunction="count" dataDxfId="652" totalsRowDxfId="275"/>
    <tableColumn id="13" xr3:uid="{00000000-0010-0000-0600-00000D000000}" name="12" totalsRowFunction="count" dataDxfId="651" totalsRowDxfId="274"/>
    <tableColumn id="14" xr3:uid="{00000000-0010-0000-0600-00000E000000}" name="13" totalsRowFunction="count" dataDxfId="650" totalsRowDxfId="273"/>
    <tableColumn id="15" xr3:uid="{00000000-0010-0000-0600-00000F000000}" name="14" totalsRowFunction="count" dataDxfId="649" totalsRowDxfId="272"/>
    <tableColumn id="16" xr3:uid="{00000000-0010-0000-0600-000010000000}" name="15" totalsRowFunction="count" dataDxfId="648" totalsRowDxfId="271"/>
    <tableColumn id="17" xr3:uid="{00000000-0010-0000-0600-000011000000}" name="16" totalsRowFunction="count" dataDxfId="647" totalsRowDxfId="270"/>
    <tableColumn id="18" xr3:uid="{00000000-0010-0000-0600-000012000000}" name="17" totalsRowFunction="count" dataDxfId="646" totalsRowDxfId="269"/>
    <tableColumn id="19" xr3:uid="{00000000-0010-0000-0600-000013000000}" name="18" totalsRowFunction="count" dataDxfId="645" totalsRowDxfId="268"/>
    <tableColumn id="20" xr3:uid="{00000000-0010-0000-0600-000014000000}" name="19" totalsRowFunction="count" dataDxfId="644" totalsRowDxfId="267"/>
    <tableColumn id="21" xr3:uid="{00000000-0010-0000-0600-000015000000}" name="20" totalsRowFunction="count" dataDxfId="643" totalsRowDxfId="266"/>
    <tableColumn id="22" xr3:uid="{00000000-0010-0000-0600-000016000000}" name="21" totalsRowFunction="count" dataDxfId="642" totalsRowDxfId="265"/>
    <tableColumn id="23" xr3:uid="{00000000-0010-0000-0600-000017000000}" name="22" totalsRowFunction="count" dataDxfId="641" totalsRowDxfId="264"/>
    <tableColumn id="24" xr3:uid="{00000000-0010-0000-0600-000018000000}" name="23" totalsRowFunction="count" dataDxfId="640" totalsRowDxfId="263"/>
    <tableColumn id="25" xr3:uid="{00000000-0010-0000-0600-000019000000}" name="24" totalsRowFunction="count" dataDxfId="639" totalsRowDxfId="262"/>
    <tableColumn id="26" xr3:uid="{00000000-0010-0000-0600-00001A000000}" name="25" totalsRowFunction="count" dataDxfId="638" totalsRowDxfId="261"/>
    <tableColumn id="27" xr3:uid="{00000000-0010-0000-0600-00001B000000}" name="26" totalsRowFunction="count" dataDxfId="637" totalsRowDxfId="260"/>
    <tableColumn id="28" xr3:uid="{00000000-0010-0000-0600-00001C000000}" name="27" totalsRowFunction="count" dataDxfId="636" totalsRowDxfId="259"/>
    <tableColumn id="29" xr3:uid="{00000000-0010-0000-0600-00001D000000}" name="28" totalsRowFunction="count" dataDxfId="635" totalsRowDxfId="258"/>
    <tableColumn id="30" xr3:uid="{00000000-0010-0000-0600-00001E000000}" name="29" totalsRowFunction="count" dataDxfId="634" totalsRowDxfId="257"/>
    <tableColumn id="31" xr3:uid="{00000000-0010-0000-0600-00001F000000}" name="30" totalsRowFunction="count" dataDxfId="633" totalsRowDxfId="256"/>
    <tableColumn id="32" xr3:uid="{00000000-0010-0000-0600-000020000000}" name="31" totalsRowFunction="count" dataDxfId="632" totalsRowDxfId="255"/>
    <tableColumn id="33" xr3:uid="{00000000-0010-0000-0600-000021000000}" name="Celkový počet dní" totalsRowFunction="sum" dataDxfId="631" totalsRowDxfId="254" dataCellStyle="Spolu">
      <calculatedColumnFormula>COUNTA(Júl[[#This Row],[1]:[31]])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August" displayName="August" ref="B6:AH12" totalsRowCount="1" headerRowDxfId="630" dataDxfId="629" totalsRowDxfId="628">
  <tableColumns count="33">
    <tableColumn id="1" xr3:uid="{00000000-0010-0000-0700-000001000000}" name="Meno zamestnanca" totalsRowFunction="custom" dataDxfId="627" totalsRowDxfId="626" dataCellStyle="Zamestnanec">
      <totalsRowFormula>NázovMesiaca&amp;" Spolu"</totalsRowFormula>
    </tableColumn>
    <tableColumn id="2" xr3:uid="{00000000-0010-0000-0700-000002000000}" name="1" totalsRowFunction="count" dataDxfId="625" totalsRowDxfId="317"/>
    <tableColumn id="3" xr3:uid="{00000000-0010-0000-0700-000003000000}" name="2" totalsRowFunction="count" dataDxfId="624" totalsRowDxfId="316"/>
    <tableColumn id="4" xr3:uid="{00000000-0010-0000-0700-000004000000}" name="3" totalsRowFunction="count" dataDxfId="623" totalsRowDxfId="315"/>
    <tableColumn id="5" xr3:uid="{00000000-0010-0000-0700-000005000000}" name="4" totalsRowFunction="count" dataDxfId="622" totalsRowDxfId="314"/>
    <tableColumn id="6" xr3:uid="{00000000-0010-0000-0700-000006000000}" name="5" totalsRowFunction="count" dataDxfId="621" totalsRowDxfId="313"/>
    <tableColumn id="7" xr3:uid="{00000000-0010-0000-0700-000007000000}" name="6" totalsRowFunction="count" dataDxfId="620" totalsRowDxfId="312"/>
    <tableColumn id="8" xr3:uid="{00000000-0010-0000-0700-000008000000}" name="7" totalsRowFunction="count" dataDxfId="619" totalsRowDxfId="311"/>
    <tableColumn id="9" xr3:uid="{00000000-0010-0000-0700-000009000000}" name="8" totalsRowFunction="count" dataDxfId="618" totalsRowDxfId="310"/>
    <tableColumn id="10" xr3:uid="{00000000-0010-0000-0700-00000A000000}" name="9" totalsRowFunction="count" dataDxfId="617" totalsRowDxfId="309"/>
    <tableColumn id="11" xr3:uid="{00000000-0010-0000-0700-00000B000000}" name="10" totalsRowFunction="count" dataDxfId="616" totalsRowDxfId="308"/>
    <tableColumn id="12" xr3:uid="{00000000-0010-0000-0700-00000C000000}" name="11" totalsRowFunction="count" dataDxfId="615" totalsRowDxfId="307"/>
    <tableColumn id="13" xr3:uid="{00000000-0010-0000-0700-00000D000000}" name="12" totalsRowFunction="count" dataDxfId="614" totalsRowDxfId="306"/>
    <tableColumn id="14" xr3:uid="{00000000-0010-0000-0700-00000E000000}" name="13" totalsRowFunction="count" dataDxfId="613" totalsRowDxfId="305"/>
    <tableColumn id="15" xr3:uid="{00000000-0010-0000-0700-00000F000000}" name="14" totalsRowFunction="count" dataDxfId="612" totalsRowDxfId="304"/>
    <tableColumn id="16" xr3:uid="{00000000-0010-0000-0700-000010000000}" name="15" totalsRowFunction="count" dataDxfId="611" totalsRowDxfId="303"/>
    <tableColumn id="17" xr3:uid="{00000000-0010-0000-0700-000011000000}" name="16" totalsRowFunction="count" dataDxfId="610" totalsRowDxfId="302"/>
    <tableColumn id="18" xr3:uid="{00000000-0010-0000-0700-000012000000}" name="17" totalsRowFunction="count" dataDxfId="609" totalsRowDxfId="301"/>
    <tableColumn id="19" xr3:uid="{00000000-0010-0000-0700-000013000000}" name="18" totalsRowFunction="count" dataDxfId="608" totalsRowDxfId="300"/>
    <tableColumn id="20" xr3:uid="{00000000-0010-0000-0700-000014000000}" name="19" totalsRowFunction="count" dataDxfId="607" totalsRowDxfId="299"/>
    <tableColumn id="21" xr3:uid="{00000000-0010-0000-0700-000015000000}" name="20" totalsRowFunction="count" dataDxfId="606" totalsRowDxfId="298"/>
    <tableColumn id="22" xr3:uid="{00000000-0010-0000-0700-000016000000}" name="21" totalsRowFunction="count" dataDxfId="605" totalsRowDxfId="297"/>
    <tableColumn id="23" xr3:uid="{00000000-0010-0000-0700-000017000000}" name="22" totalsRowFunction="count" dataDxfId="604" totalsRowDxfId="296"/>
    <tableColumn id="24" xr3:uid="{00000000-0010-0000-0700-000018000000}" name="23" totalsRowFunction="count" dataDxfId="603" totalsRowDxfId="295"/>
    <tableColumn id="25" xr3:uid="{00000000-0010-0000-0700-000019000000}" name="24" totalsRowFunction="count" dataDxfId="602" totalsRowDxfId="294"/>
    <tableColumn id="26" xr3:uid="{00000000-0010-0000-0700-00001A000000}" name="25" totalsRowFunction="count" dataDxfId="601" totalsRowDxfId="293"/>
    <tableColumn id="27" xr3:uid="{00000000-0010-0000-0700-00001B000000}" name="26" totalsRowFunction="count" dataDxfId="600" totalsRowDxfId="292"/>
    <tableColumn id="28" xr3:uid="{00000000-0010-0000-0700-00001C000000}" name="27" totalsRowFunction="count" dataDxfId="599" totalsRowDxfId="291"/>
    <tableColumn id="29" xr3:uid="{00000000-0010-0000-0700-00001D000000}" name="28" totalsRowFunction="count" dataDxfId="598" totalsRowDxfId="290"/>
    <tableColumn id="30" xr3:uid="{00000000-0010-0000-0700-00001E000000}" name="29" totalsRowFunction="count" dataDxfId="597" totalsRowDxfId="289"/>
    <tableColumn id="31" xr3:uid="{00000000-0010-0000-0700-00001F000000}" name="30" totalsRowFunction="count" dataDxfId="596" totalsRowDxfId="288"/>
    <tableColumn id="32" xr3:uid="{00000000-0010-0000-0700-000020000000}" name="31" totalsRowFunction="count" dataDxfId="595" totalsRowDxfId="287"/>
    <tableColumn id="33" xr3:uid="{00000000-0010-0000-0700-000021000000}" name="Celkový počet dní" totalsRowFunction="sum" dataDxfId="594" totalsRowDxfId="286" dataCellStyle="Spolu">
      <calculatedColumnFormula>COUNTA(August[[#This Row],[1]:[31]])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September" displayName="September" ref="B6:AH12" totalsRowCount="1" headerRowDxfId="593" dataDxfId="592" totalsRowDxfId="591">
  <tableColumns count="33">
    <tableColumn id="1" xr3:uid="{00000000-0010-0000-0800-000001000000}" name="Meno zamestnanca" totalsRowFunction="custom" dataDxfId="590" totalsRowDxfId="589" dataCellStyle="Zamestnanec">
      <totalsRowFormula>NázovMesiaca&amp;" Spolu"</totalsRowFormula>
    </tableColumn>
    <tableColumn id="2" xr3:uid="{00000000-0010-0000-0800-000002000000}" name="1" totalsRowFunction="count" dataDxfId="588" totalsRowDxfId="349"/>
    <tableColumn id="3" xr3:uid="{00000000-0010-0000-0800-000003000000}" name="2" totalsRowFunction="count" dataDxfId="587" totalsRowDxfId="348"/>
    <tableColumn id="4" xr3:uid="{00000000-0010-0000-0800-000004000000}" name="3" totalsRowFunction="count" dataDxfId="586" totalsRowDxfId="347"/>
    <tableColumn id="5" xr3:uid="{00000000-0010-0000-0800-000005000000}" name="4" totalsRowFunction="count" dataDxfId="585" totalsRowDxfId="346"/>
    <tableColumn id="6" xr3:uid="{00000000-0010-0000-0800-000006000000}" name="5" totalsRowFunction="count" dataDxfId="584" totalsRowDxfId="345"/>
    <tableColumn id="7" xr3:uid="{00000000-0010-0000-0800-000007000000}" name="6" totalsRowFunction="count" dataDxfId="583" totalsRowDxfId="344"/>
    <tableColumn id="8" xr3:uid="{00000000-0010-0000-0800-000008000000}" name="7" totalsRowFunction="count" dataDxfId="582" totalsRowDxfId="343"/>
    <tableColumn id="9" xr3:uid="{00000000-0010-0000-0800-000009000000}" name="8" totalsRowFunction="count" dataDxfId="581" totalsRowDxfId="342"/>
    <tableColumn id="10" xr3:uid="{00000000-0010-0000-0800-00000A000000}" name="9" totalsRowFunction="count" dataDxfId="580" totalsRowDxfId="341"/>
    <tableColumn id="11" xr3:uid="{00000000-0010-0000-0800-00000B000000}" name="10" totalsRowFunction="count" dataDxfId="579" totalsRowDxfId="340"/>
    <tableColumn id="12" xr3:uid="{00000000-0010-0000-0800-00000C000000}" name="11" totalsRowFunction="count" dataDxfId="578" totalsRowDxfId="339"/>
    <tableColumn id="13" xr3:uid="{00000000-0010-0000-0800-00000D000000}" name="12" totalsRowFunction="count" dataDxfId="577" totalsRowDxfId="338"/>
    <tableColumn id="14" xr3:uid="{00000000-0010-0000-0800-00000E000000}" name="13" totalsRowFunction="count" dataDxfId="576" totalsRowDxfId="337"/>
    <tableColumn id="15" xr3:uid="{00000000-0010-0000-0800-00000F000000}" name="14" totalsRowFunction="count" dataDxfId="575" totalsRowDxfId="336"/>
    <tableColumn id="16" xr3:uid="{00000000-0010-0000-0800-000010000000}" name="15" totalsRowFunction="count" dataDxfId="574" totalsRowDxfId="335"/>
    <tableColumn id="17" xr3:uid="{00000000-0010-0000-0800-000011000000}" name="16" totalsRowFunction="count" dataDxfId="573" totalsRowDxfId="334"/>
    <tableColumn id="18" xr3:uid="{00000000-0010-0000-0800-000012000000}" name="17" totalsRowFunction="count" dataDxfId="572" totalsRowDxfId="333"/>
    <tableColumn id="19" xr3:uid="{00000000-0010-0000-0800-000013000000}" name="18" totalsRowFunction="count" dataDxfId="571" totalsRowDxfId="332"/>
    <tableColumn id="20" xr3:uid="{00000000-0010-0000-0800-000014000000}" name="19" totalsRowFunction="count" dataDxfId="570" totalsRowDxfId="331"/>
    <tableColumn id="21" xr3:uid="{00000000-0010-0000-0800-000015000000}" name="20" totalsRowFunction="count" dataDxfId="569" totalsRowDxfId="330"/>
    <tableColumn id="22" xr3:uid="{00000000-0010-0000-0800-000016000000}" name="21" totalsRowFunction="count" dataDxfId="568" totalsRowDxfId="329"/>
    <tableColumn id="23" xr3:uid="{00000000-0010-0000-0800-000017000000}" name="22" totalsRowFunction="count" dataDxfId="567" totalsRowDxfId="328"/>
    <tableColumn id="24" xr3:uid="{00000000-0010-0000-0800-000018000000}" name="23" totalsRowFunction="count" dataDxfId="566" totalsRowDxfId="327"/>
    <tableColumn id="25" xr3:uid="{00000000-0010-0000-0800-000019000000}" name="24" totalsRowFunction="count" dataDxfId="565" totalsRowDxfId="326"/>
    <tableColumn id="26" xr3:uid="{00000000-0010-0000-0800-00001A000000}" name="25" totalsRowFunction="count" dataDxfId="564" totalsRowDxfId="325"/>
    <tableColumn id="27" xr3:uid="{00000000-0010-0000-0800-00001B000000}" name="26" totalsRowFunction="count" dataDxfId="563" totalsRowDxfId="324"/>
    <tableColumn id="28" xr3:uid="{00000000-0010-0000-0800-00001C000000}" name="27" totalsRowFunction="count" dataDxfId="562" totalsRowDxfId="323"/>
    <tableColumn id="29" xr3:uid="{00000000-0010-0000-0800-00001D000000}" name="28" totalsRowFunction="count" dataDxfId="561" totalsRowDxfId="322"/>
    <tableColumn id="30" xr3:uid="{00000000-0010-0000-0800-00001E000000}" name="29" totalsRowFunction="count" dataDxfId="560" totalsRowDxfId="321"/>
    <tableColumn id="31" xr3:uid="{00000000-0010-0000-0800-00001F000000}" name="30" totalsRowFunction="count" dataDxfId="559" totalsRowDxfId="320"/>
    <tableColumn id="32" xr3:uid="{00000000-0010-0000-0800-000020000000}" name=" " totalsRowFunction="count" dataDxfId="558" totalsRowDxfId="319"/>
    <tableColumn id="33" xr3:uid="{00000000-0010-0000-0800-000021000000}" name="Celkový počet dní" totalsRowFunction="sum" dataDxfId="557" totalsRowDxfId="318" dataCellStyle="Spolu">
      <calculatedColumnFormula>COUNTA(September[[#This Row],[1]:[30]])</calculatedColumnFormula>
    </tableColumn>
  </tableColumns>
  <tableStyleInfo name="Tabuľka Absencia zamestnancov" showFirstColumn="1" showLastColumn="1" showRowStripes="1" showColumnStripes="0"/>
  <extLst>
    <ext xmlns:x14="http://schemas.microsoft.com/office/spreadsheetml/2009/9/main" uri="{504A1905-F514-4f6f-8877-14C23A59335A}">
      <x14:table altTextSummary="Zadajte mená zamestnancov a dátumy absencie. Do riadku 12 zaznamenajte typ absencie podľa kódu: D=Dovolenka, P=Práceneschopnosť, O=Osobné dôvody a dva zástupné objekty pre vlastné položky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1:34" ht="50.1" customHeight="1" x14ac:dyDescent="0.25">
      <c r="A1" s="18"/>
      <c r="B1" s="14" t="s">
        <v>64</v>
      </c>
    </row>
    <row r="2" spans="1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1:34" ht="15" customHeight="1" x14ac:dyDescent="0.25">
      <c r="AH3" s="20" t="s">
        <v>48</v>
      </c>
    </row>
    <row r="4" spans="1:34" ht="30" customHeight="1" x14ac:dyDescent="0.25">
      <c r="B4" s="12" t="s">
        <v>1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v>2019</v>
      </c>
    </row>
    <row r="5" spans="1:34" ht="15" customHeight="1" x14ac:dyDescent="0.25">
      <c r="B5" s="12"/>
      <c r="C5" s="2" t="str">
        <f>TEXT(WEEKDAY(DATE(KalendárnyRok,1,1),1),"aaa")</f>
        <v>ut</v>
      </c>
      <c r="D5" s="2" t="str">
        <f>TEXT(WEEKDAY(DATE(KalendárnyRok,1,2),1),"aaa")</f>
        <v>st</v>
      </c>
      <c r="E5" s="2" t="str">
        <f>TEXT(WEEKDAY(DATE(KalendárnyRok,1,3),1),"aaa")</f>
        <v>št</v>
      </c>
      <c r="F5" s="2" t="str">
        <f>TEXT(WEEKDAY(DATE(KalendárnyRok,1,4),1),"aaa")</f>
        <v>pi</v>
      </c>
      <c r="G5" s="2" t="str">
        <f>TEXT(WEEKDAY(DATE(KalendárnyRok,1,5),1),"aaa")</f>
        <v>so</v>
      </c>
      <c r="H5" s="2" t="str">
        <f>TEXT(WEEKDAY(DATE(KalendárnyRok,1,6),1),"aaa")</f>
        <v>ne</v>
      </c>
      <c r="I5" s="2" t="str">
        <f>TEXT(WEEKDAY(DATE(KalendárnyRok,1,7),1),"aaa")</f>
        <v>po</v>
      </c>
      <c r="J5" s="2" t="str">
        <f>TEXT(WEEKDAY(DATE(KalendárnyRok,1,8),1),"aaa")</f>
        <v>ut</v>
      </c>
      <c r="K5" s="2" t="str">
        <f>TEXT(WEEKDAY(DATE(KalendárnyRok,1,9),1),"aaa")</f>
        <v>st</v>
      </c>
      <c r="L5" s="2" t="str">
        <f>TEXT(WEEKDAY(DATE(KalendárnyRok,1,10),1),"aaa")</f>
        <v>št</v>
      </c>
      <c r="M5" s="2" t="str">
        <f>TEXT(WEEKDAY(DATE(KalendárnyRok,1,11),1),"aaa")</f>
        <v>pi</v>
      </c>
      <c r="N5" s="2" t="str">
        <f>TEXT(WEEKDAY(DATE(KalendárnyRok,1,12),1),"aaa")</f>
        <v>so</v>
      </c>
      <c r="O5" s="2" t="str">
        <f>TEXT(WEEKDAY(DATE(KalendárnyRok,1,13),1),"aaa")</f>
        <v>ne</v>
      </c>
      <c r="P5" s="2" t="str">
        <f>TEXT(WEEKDAY(DATE(KalendárnyRok,1,14),1),"aaa")</f>
        <v>po</v>
      </c>
      <c r="Q5" s="2" t="str">
        <f>TEXT(WEEKDAY(DATE(KalendárnyRok,1,15),1),"aaa")</f>
        <v>ut</v>
      </c>
      <c r="R5" s="2" t="str">
        <f>TEXT(WEEKDAY(DATE(KalendárnyRok,1,16),1),"aaa")</f>
        <v>st</v>
      </c>
      <c r="S5" s="2" t="str">
        <f>TEXT(WEEKDAY(DATE(KalendárnyRok,1,17),1),"aaa")</f>
        <v>št</v>
      </c>
      <c r="T5" s="2" t="str">
        <f>TEXT(WEEKDAY(DATE(KalendárnyRok,1,18),1),"aaa")</f>
        <v>pi</v>
      </c>
      <c r="U5" s="2" t="str">
        <f>TEXT(WEEKDAY(DATE(KalendárnyRok,1,19),1),"aaa")</f>
        <v>so</v>
      </c>
      <c r="V5" s="2" t="str">
        <f>TEXT(WEEKDAY(DATE(KalendárnyRok,1,20),1),"aaa")</f>
        <v>ne</v>
      </c>
      <c r="W5" s="2" t="str">
        <f>TEXT(WEEKDAY(DATE(KalendárnyRok,1,21),1),"aaa")</f>
        <v>po</v>
      </c>
      <c r="X5" s="2" t="str">
        <f>TEXT(WEEKDAY(DATE(KalendárnyRok,1,22),1),"aaa")</f>
        <v>ut</v>
      </c>
      <c r="Y5" s="2" t="str">
        <f>TEXT(WEEKDAY(DATE(KalendárnyRok,1,23),1),"aaa")</f>
        <v>st</v>
      </c>
      <c r="Z5" s="2" t="str">
        <f>TEXT(WEEKDAY(DATE(KalendárnyRok,1,24),1),"aaa")</f>
        <v>št</v>
      </c>
      <c r="AA5" s="2" t="str">
        <f>TEXT(WEEKDAY(DATE(KalendárnyRok,1,25),1),"aaa")</f>
        <v>pi</v>
      </c>
      <c r="AB5" s="2" t="str">
        <f>TEXT(WEEKDAY(DATE(KalendárnyRok,1,26),1),"aaa")</f>
        <v>so</v>
      </c>
      <c r="AC5" s="2" t="str">
        <f>TEXT(WEEKDAY(DATE(KalendárnyRok,1,27),1),"aaa")</f>
        <v>ne</v>
      </c>
      <c r="AD5" s="2" t="str">
        <f>TEXT(WEEKDAY(DATE(KalendárnyRok,1,28),1),"aaa")</f>
        <v>po</v>
      </c>
      <c r="AE5" s="2" t="str">
        <f>TEXT(WEEKDAY(DATE(KalendárnyRok,1,29),1),"aaa")</f>
        <v>ut</v>
      </c>
      <c r="AF5" s="2" t="str">
        <f>TEXT(WEEKDAY(DATE(KalendárnyRok,1,30),1),"aaa")</f>
        <v>st</v>
      </c>
      <c r="AG5" s="2" t="str">
        <f>TEXT(WEEKDAY(DATE(KalendárnyRok,1,31),1),"aaa")</f>
        <v>št</v>
      </c>
      <c r="AH5" s="12"/>
    </row>
    <row r="6" spans="1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1:34" ht="30" customHeight="1" x14ac:dyDescent="0.25">
      <c r="B7" s="9" t="s">
        <v>3</v>
      </c>
      <c r="C7" s="3"/>
      <c r="D7" s="3"/>
      <c r="E7" s="3" t="s">
        <v>8</v>
      </c>
      <c r="F7" s="3" t="s">
        <v>8</v>
      </c>
      <c r="G7" s="3" t="s">
        <v>8</v>
      </c>
      <c r="H7" s="3" t="s">
        <v>8</v>
      </c>
      <c r="I7" s="3"/>
      <c r="J7" s="3"/>
      <c r="K7" s="3"/>
      <c r="L7" s="3"/>
      <c r="M7" s="3"/>
      <c r="N7" s="3"/>
      <c r="O7" s="3" t="s">
        <v>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COUNTA(Január!$C7:$AG7)</f>
        <v>5</v>
      </c>
    </row>
    <row r="8" spans="1:34" ht="30" customHeight="1" x14ac:dyDescent="0.25">
      <c r="B8" s="9" t="s">
        <v>4</v>
      </c>
      <c r="C8" s="3"/>
      <c r="D8" s="3"/>
      <c r="E8" s="3"/>
      <c r="F8" s="3"/>
      <c r="G8" s="3" t="s">
        <v>16</v>
      </c>
      <c r="H8" s="3" t="s">
        <v>16</v>
      </c>
      <c r="I8" s="3"/>
      <c r="J8" s="3"/>
      <c r="K8" s="3"/>
      <c r="L8" s="3"/>
      <c r="M8" s="3" t="s">
        <v>14</v>
      </c>
      <c r="N8" s="3"/>
      <c r="O8" s="3"/>
      <c r="P8" s="3"/>
      <c r="Q8" s="3"/>
      <c r="R8" s="3"/>
      <c r="S8" s="3"/>
      <c r="T8" s="3"/>
      <c r="U8" s="3"/>
      <c r="V8" s="3" t="s">
        <v>16</v>
      </c>
      <c r="W8" s="3"/>
      <c r="X8" s="3"/>
      <c r="Y8" s="3"/>
      <c r="Z8" s="3"/>
      <c r="AA8" s="3" t="s">
        <v>8</v>
      </c>
      <c r="AB8" s="3" t="s">
        <v>8</v>
      </c>
      <c r="AC8" s="3" t="s">
        <v>8</v>
      </c>
      <c r="AD8" s="3"/>
      <c r="AE8" s="3"/>
      <c r="AF8" s="3"/>
      <c r="AG8" s="3"/>
      <c r="AH8" s="10">
        <f>COUNTA(Január!$C8:$AG8)</f>
        <v>7</v>
      </c>
    </row>
    <row r="9" spans="1:34" ht="30" customHeight="1" x14ac:dyDescent="0.25">
      <c r="B9" s="9" t="s">
        <v>5</v>
      </c>
      <c r="C9" s="3"/>
      <c r="D9" s="3"/>
      <c r="E9" s="3" t="s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16</v>
      </c>
      <c r="AF9" s="3"/>
      <c r="AG9" s="3"/>
      <c r="AH9" s="10">
        <f>COUNTA(Január!$C9:$AG9)</f>
        <v>3</v>
      </c>
    </row>
    <row r="10" spans="1:34" ht="30" customHeight="1" x14ac:dyDescent="0.25">
      <c r="B10" s="9" t="s">
        <v>6</v>
      </c>
      <c r="C10" s="3"/>
      <c r="D10" s="3"/>
      <c r="E10" s="3"/>
      <c r="F10" s="3"/>
      <c r="G10" s="3"/>
      <c r="H10" s="3"/>
      <c r="I10" s="3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8</v>
      </c>
      <c r="V10" s="3" t="s">
        <v>8</v>
      </c>
      <c r="W10" s="3" t="s">
        <v>8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COUNTA(Január!$C10:$AG10)</f>
        <v>4</v>
      </c>
    </row>
    <row r="11" spans="1:34" ht="30" customHeight="1" x14ac:dyDescent="0.25">
      <c r="B11" s="9" t="s">
        <v>7</v>
      </c>
      <c r="C11" s="3"/>
      <c r="D11" s="3"/>
      <c r="E11" s="3"/>
      <c r="F11" s="3" t="s">
        <v>16</v>
      </c>
      <c r="G11" s="3" t="s">
        <v>8</v>
      </c>
      <c r="H11" s="3" t="s">
        <v>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16</v>
      </c>
      <c r="T11" s="3"/>
      <c r="U11" s="3"/>
      <c r="V11" s="3"/>
      <c r="W11" s="3"/>
      <c r="X11" s="3"/>
      <c r="Y11" s="3"/>
      <c r="Z11" s="3" t="s">
        <v>16</v>
      </c>
      <c r="AA11" s="3"/>
      <c r="AB11" s="3"/>
      <c r="AC11" s="3"/>
      <c r="AD11" s="3"/>
      <c r="AE11" s="3"/>
      <c r="AF11" s="3"/>
      <c r="AG11" s="3" t="s">
        <v>8</v>
      </c>
      <c r="AH11" s="10">
        <f>COUNTA(Január!$C11:$AG11)</f>
        <v>6</v>
      </c>
    </row>
    <row r="12" spans="1:34" ht="30" customHeight="1" x14ac:dyDescent="0.25">
      <c r="B12" s="21" t="str">
        <f>NázovMesiaca&amp;" Spolu"</f>
        <v>Január Spolu</v>
      </c>
      <c r="C12" s="13">
        <f>SUBTOTAL(103,Január!$C$7:$C$11)</f>
        <v>0</v>
      </c>
      <c r="D12" s="13">
        <f>SUBTOTAL(103,Január!$D$7:$D$11)</f>
        <v>0</v>
      </c>
      <c r="E12" s="13">
        <f>SUBTOTAL(103,Január!$E$7:$E$11)</f>
        <v>2</v>
      </c>
      <c r="F12" s="13">
        <f>SUBTOTAL(103,Január!$F$7:$F$11)</f>
        <v>2</v>
      </c>
      <c r="G12" s="13">
        <f>SUBTOTAL(103,Január!$G$7:$G$11)</f>
        <v>3</v>
      </c>
      <c r="H12" s="13">
        <f>SUBTOTAL(103,Január!$H$7:$H$11)</f>
        <v>3</v>
      </c>
      <c r="I12" s="13">
        <f>SUBTOTAL(103,Január!$I$7:$I$11)</f>
        <v>1</v>
      </c>
      <c r="J12" s="13">
        <f>SUBTOTAL(103,Január!$J$7:$J$11)</f>
        <v>0</v>
      </c>
      <c r="K12" s="13">
        <f>SUBTOTAL(103,Január!$K$7:$K$11)</f>
        <v>0</v>
      </c>
      <c r="L12" s="13">
        <f>SUBTOTAL(103,Január!$L$7:$L$11)</f>
        <v>0</v>
      </c>
      <c r="M12" s="13">
        <f>SUBTOTAL(103,Január!$M$7:$M$11)</f>
        <v>1</v>
      </c>
      <c r="N12" s="13">
        <f>SUBTOTAL(103,Január!$N$7:$N$11)</f>
        <v>0</v>
      </c>
      <c r="O12" s="13">
        <f>SUBTOTAL(103,Január!$O$7:$O$11)</f>
        <v>1</v>
      </c>
      <c r="P12" s="13">
        <f>SUBTOTAL(103,Január!$P$7:$P$11)</f>
        <v>1</v>
      </c>
      <c r="Q12" s="13">
        <f>SUBTOTAL(103,Január!$Q$7:$Q$11)</f>
        <v>0</v>
      </c>
      <c r="R12" s="13">
        <f>SUBTOTAL(103,Január!$R$7:$R$11)</f>
        <v>0</v>
      </c>
      <c r="S12" s="13">
        <f>SUBTOTAL(103,Január!$S$7:$S$11)</f>
        <v>1</v>
      </c>
      <c r="T12" s="13">
        <f>SUBTOTAL(103,Január!$T$7:$T$11)</f>
        <v>0</v>
      </c>
      <c r="U12" s="13">
        <f>SUBTOTAL(103,Január!$U$7:$U$11)</f>
        <v>1</v>
      </c>
      <c r="V12" s="13">
        <f>SUBTOTAL(103,Január!$V$7:$V$11)</f>
        <v>2</v>
      </c>
      <c r="W12" s="13">
        <f>SUBTOTAL(103,Január!$W$7:$W$11)</f>
        <v>1</v>
      </c>
      <c r="X12" s="13">
        <f>SUBTOTAL(103,Január!$X$7:$X$11)</f>
        <v>0</v>
      </c>
      <c r="Y12" s="13">
        <f>SUBTOTAL(103,Január!$Y$7:$Y$11)</f>
        <v>0</v>
      </c>
      <c r="Z12" s="13">
        <f>SUBTOTAL(103,Január!$Z$7:$Z$11)</f>
        <v>1</v>
      </c>
      <c r="AA12" s="13">
        <f>SUBTOTAL(103,Január!$AA$7:$AA$11)</f>
        <v>1</v>
      </c>
      <c r="AB12" s="13">
        <f>SUBTOTAL(103,Január!$AB$7:$AB$11)</f>
        <v>1</v>
      </c>
      <c r="AC12" s="13">
        <f>SUBTOTAL(103,Január!$AC$7:$AC$11)</f>
        <v>1</v>
      </c>
      <c r="AD12" s="13">
        <f>SUBTOTAL(103,Január!$AD$7:$AD$11)</f>
        <v>0</v>
      </c>
      <c r="AE12" s="13">
        <f>SUBTOTAL(103,Január!$AE$7:$AE$11)</f>
        <v>1</v>
      </c>
      <c r="AF12" s="13">
        <f>SUBTOTAL(103,Január!$AF$7:$AF$11)</f>
        <v>0</v>
      </c>
      <c r="AG12" s="13">
        <f>SUBTOTAL(103,Január!$AG$7:$AG$11)</f>
        <v>1</v>
      </c>
      <c r="AH12" s="13">
        <f>SUBTOTAL(109,Január[Celkový počet dní])</f>
        <v>25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  <cfRule type="expression" dxfId="61" priority="6" stopIfTrue="1">
      <formula>C7=KódVlastné2</formula>
    </cfRule>
    <cfRule type="expression" dxfId="60" priority="7" stopIfTrue="1">
      <formula>C7=KódVlastné1</formula>
    </cfRule>
    <cfRule type="expression" dxfId="59" priority="8" stopIfTrue="1">
      <formula>C7=KódPráceneschospnosť</formula>
    </cfRule>
    <cfRule type="expression" dxfId="58" priority="9" stopIfTrue="1">
      <formula>C7=KódOsobnéDôvody</formula>
    </cfRule>
    <cfRule type="expression" dxfId="57" priority="10" stopIfTrue="1">
      <formula>C7=KódDovolenka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Do tejto bunky zadajte rok." sqref="AH4" xr:uid="{00000000-0002-0000-0000-000000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000-000001000000}"/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000-000002000000}"/>
    <dataValidation allowBlank="1" showInputMessage="1" showErrorMessage="1" prompt="Dni v týždni v tomto riadku sa pre tento mesiac aktualizujú automaticky podľa roka zadaného v bunke AH4. Každý deň v mesiaci je stĺpec, ktorý slúži na zaznamenanie absencie zamestnanca a typu absencie" sqref="C5" xr:uid="{00000000-0002-0000-0000-000003000000}"/>
    <dataValidation allowBlank="1" showInputMessage="1" showErrorMessage="1" prompt="Automaticky sa vypočíta celkový počet dní, kedy bol zamestnanec počas tohto mesiaca neprítomný" sqref="AH6" xr:uid="{00000000-0002-0000-0000-000004000000}"/>
    <dataValidation allowBlank="1" showInputMessage="1" showErrorMessage="1" prompt="V tejto bunke je nadpis hárka. Aktualizujte nadpis a každý hárok automaticky zdedí vykonané zmeny" sqref="B1" xr:uid="{00000000-0002-0000-0000-000005000000}"/>
    <dataValidation allowBlank="1" showInputMessage="1" showErrorMessage="1" prompt="Sledovanie absencie pre tento mesiac. Aktualizujte rok v bunke AH4. Sledovanie celkového počtu dní za mesiac v poslednej bunke tabuľky. V tabuľke v stĺpci B zadajte mená zamestnancov" sqref="B4" xr:uid="{00000000-0002-0000-0000-000006000000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000-000007000000}"/>
    <dataValidation allowBlank="1" showInputMessage="1" showErrorMessage="1" prompt="Písmeno D označuje absenciu z dôvodu dovolenky" sqref="C2" xr:uid="{00000000-0002-0000-0000-000008000000}"/>
    <dataValidation allowBlank="1" showInputMessage="1" showErrorMessage="1" prompt="Písmeno O označuje absenciu z osobných dôvodov" sqref="G2" xr:uid="{00000000-0002-0000-0000-000009000000}"/>
    <dataValidation allowBlank="1" showInputMessage="1" showErrorMessage="1" prompt="Písmeno P označuje absenciu z dôvodu choroby" sqref="L2" xr:uid="{00000000-0002-0000-0000-00000A000000}"/>
    <dataValidation allowBlank="1" showInputMessage="1" showErrorMessage="1" prompt="Vpravo zadajte písmeno a prispôsobte označenie, čím pridáte ďalšiu položku kódu" sqref="O2 S2" xr:uid="{6440B8D7-2112-437A-852F-FC0479956C41}"/>
    <dataValidation allowBlank="1" showInputMessage="1" showErrorMessage="1" prompt="Vľavo zadajte označenie pre popis vlastného kódu" sqref="P2:R2 T2:V2" xr:uid="{E45DFF4F-BBF5-4CD5-A5D8-0D6A5CDFEDE4}"/>
    <dataValidation allowBlank="1" showInputMessage="1" showErrorMessage="1" prompt="So šablónou Sledovanie absencií zamestnancov môžete sledovať absencie podľa dní v každom mesiaci. Nájdete tu 13 hárkov. Z toho 12 hárkov predstavuje jednotlivé mesiace a posledný obsahuje mená zamestnancov. Sledovanie absencií v januári v tomto hárku" sqref="A1" xr:uid="{00000000-0002-0000-0000-00000D000000}"/>
    <dataValidation allowBlank="1" showInputMessage="1" showErrorMessage="1" prompt="Do bunky nižšie zadajte rok" sqref="AH3" xr:uid="{00000000-0002-0000-0000-00000E000000}"/>
  </dataValidations>
  <printOptions horizontalCentered="1"/>
  <pageMargins left="0.25" right="0.25" top="0.75" bottom="0.75" header="0.3" footer="0.3"/>
  <pageSetup paperSize="9" scale="71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60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TEXT(WEEKDAY(DATE(KalendárnyRok,10,1),1),"aaa")</f>
        <v>ut</v>
      </c>
      <c r="D5" s="2" t="str">
        <f>TEXT(WEEKDAY(DATE(KalendárnyRok,10,2),1),"aaa")</f>
        <v>st</v>
      </c>
      <c r="E5" s="2" t="str">
        <f>TEXT(WEEKDAY(DATE(KalendárnyRok,10,3),1),"aaa")</f>
        <v>št</v>
      </c>
      <c r="F5" s="2" t="str">
        <f>TEXT(WEEKDAY(DATE(KalendárnyRok,10,4),1),"aaa")</f>
        <v>pi</v>
      </c>
      <c r="G5" s="2" t="str">
        <f>TEXT(WEEKDAY(DATE(KalendárnyRok,10,5),1),"aaa")</f>
        <v>so</v>
      </c>
      <c r="H5" s="2" t="str">
        <f>TEXT(WEEKDAY(DATE(KalendárnyRok,10,6),1),"aaa")</f>
        <v>ne</v>
      </c>
      <c r="I5" s="2" t="str">
        <f>TEXT(WEEKDAY(DATE(KalendárnyRok,10,7),1),"aaa")</f>
        <v>po</v>
      </c>
      <c r="J5" s="2" t="str">
        <f>TEXT(WEEKDAY(DATE(KalendárnyRok,10,8),1),"aaa")</f>
        <v>ut</v>
      </c>
      <c r="K5" s="2" t="str">
        <f>TEXT(WEEKDAY(DATE(KalendárnyRok,10,9),1),"aaa")</f>
        <v>st</v>
      </c>
      <c r="L5" s="2" t="str">
        <f>TEXT(WEEKDAY(DATE(KalendárnyRok,10,10),1),"aaa")</f>
        <v>št</v>
      </c>
      <c r="M5" s="2" t="str">
        <f>TEXT(WEEKDAY(DATE(KalendárnyRok,10,11),1),"aaa")</f>
        <v>pi</v>
      </c>
      <c r="N5" s="2" t="str">
        <f>TEXT(WEEKDAY(DATE(KalendárnyRok,10,12),1),"aaa")</f>
        <v>so</v>
      </c>
      <c r="O5" s="2" t="str">
        <f>TEXT(WEEKDAY(DATE(KalendárnyRok,10,13),1),"aaa")</f>
        <v>ne</v>
      </c>
      <c r="P5" s="2" t="str">
        <f>TEXT(WEEKDAY(DATE(KalendárnyRok,10,14),1),"aaa")</f>
        <v>po</v>
      </c>
      <c r="Q5" s="2" t="str">
        <f>TEXT(WEEKDAY(DATE(KalendárnyRok,10,15),1),"aaa")</f>
        <v>ut</v>
      </c>
      <c r="R5" s="2" t="str">
        <f>TEXT(WEEKDAY(DATE(KalendárnyRok,10,16),1),"aaa")</f>
        <v>st</v>
      </c>
      <c r="S5" s="2" t="str">
        <f>TEXT(WEEKDAY(DATE(KalendárnyRok,10,17),1),"aaa")</f>
        <v>št</v>
      </c>
      <c r="T5" s="2" t="str">
        <f>TEXT(WEEKDAY(DATE(KalendárnyRok,10,18),1),"aaa")</f>
        <v>pi</v>
      </c>
      <c r="U5" s="2" t="str">
        <f>TEXT(WEEKDAY(DATE(KalendárnyRok,10,19),1),"aaa")</f>
        <v>so</v>
      </c>
      <c r="V5" s="2" t="str">
        <f>TEXT(WEEKDAY(DATE(KalendárnyRok,10,20),1),"aaa")</f>
        <v>ne</v>
      </c>
      <c r="W5" s="2" t="str">
        <f>TEXT(WEEKDAY(DATE(KalendárnyRok,10,21),1),"aaa")</f>
        <v>po</v>
      </c>
      <c r="X5" s="2" t="str">
        <f>TEXT(WEEKDAY(DATE(KalendárnyRok,10,22),1),"aaa")</f>
        <v>ut</v>
      </c>
      <c r="Y5" s="2" t="str">
        <f>TEXT(WEEKDAY(DATE(KalendárnyRok,10,23),1),"aaa")</f>
        <v>st</v>
      </c>
      <c r="Z5" s="2" t="str">
        <f>TEXT(WEEKDAY(DATE(KalendárnyRok,10,24),1),"aaa")</f>
        <v>št</v>
      </c>
      <c r="AA5" s="2" t="str">
        <f>TEXT(WEEKDAY(DATE(KalendárnyRok,10,25),1),"aaa")</f>
        <v>pi</v>
      </c>
      <c r="AB5" s="2" t="str">
        <f>TEXT(WEEKDAY(DATE(KalendárnyRok,10,26),1),"aaa")</f>
        <v>so</v>
      </c>
      <c r="AC5" s="2" t="str">
        <f>TEXT(WEEKDAY(DATE(KalendárnyRok,10,27),1),"aaa")</f>
        <v>ne</v>
      </c>
      <c r="AD5" s="2" t="str">
        <f>TEXT(WEEKDAY(DATE(KalendárnyRok,10,28),1),"aaa")</f>
        <v>po</v>
      </c>
      <c r="AE5" s="2" t="str">
        <f>TEXT(WEEKDAY(DATE(KalendárnyRok,10,29),1),"aaa")</f>
        <v>ut</v>
      </c>
      <c r="AF5" s="2" t="str">
        <f>TEXT(WEEKDAY(DATE(KalendárnyRok,10,30),1),"aaa")</f>
        <v>st</v>
      </c>
      <c r="AG5" s="2" t="str">
        <f>TEXT(WEEKDAY(DATE(KalendárnyRok,10,31),1),"aaa")</f>
        <v>št</v>
      </c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COUNTA(Október[[#This Row],[1]:[31]])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COUNTA(Október[[#This Row],[1]:[31]])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COUNTA(Október[[#This Row],[1]:[31]])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COUNTA(Október[[#This Row],[1]:[31]])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COUNTA(Október[[#This Row],[1]:[31]])</f>
        <v>0</v>
      </c>
    </row>
    <row r="12" spans="2:34" ht="30" customHeight="1" x14ac:dyDescent="0.25">
      <c r="B12" s="21" t="str">
        <f>NázovMesiaca&amp;" Spolu"</f>
        <v>Október Spolu</v>
      </c>
      <c r="C12" s="13">
        <f>SUBTOTAL(103,Október[1])</f>
        <v>0</v>
      </c>
      <c r="D12" s="13">
        <f>SUBTOTAL(103,Október[2])</f>
        <v>0</v>
      </c>
      <c r="E12" s="13">
        <f>SUBTOTAL(103,Október[3])</f>
        <v>0</v>
      </c>
      <c r="F12" s="13">
        <f>SUBTOTAL(103,Október[4])</f>
        <v>0</v>
      </c>
      <c r="G12" s="13">
        <f>SUBTOTAL(103,Október[5])</f>
        <v>0</v>
      </c>
      <c r="H12" s="13">
        <f>SUBTOTAL(103,Október[6])</f>
        <v>0</v>
      </c>
      <c r="I12" s="13">
        <f>SUBTOTAL(103,Október[7])</f>
        <v>0</v>
      </c>
      <c r="J12" s="13">
        <f>SUBTOTAL(103,Október[8])</f>
        <v>0</v>
      </c>
      <c r="K12" s="13">
        <f>SUBTOTAL(103,Október[9])</f>
        <v>0</v>
      </c>
      <c r="L12" s="13">
        <f>SUBTOTAL(103,Október[10])</f>
        <v>0</v>
      </c>
      <c r="M12" s="13">
        <f>SUBTOTAL(103,Október[11])</f>
        <v>0</v>
      </c>
      <c r="N12" s="13">
        <f>SUBTOTAL(103,Október[12])</f>
        <v>0</v>
      </c>
      <c r="O12" s="13">
        <f>SUBTOTAL(103,Október[13])</f>
        <v>0</v>
      </c>
      <c r="P12" s="13">
        <f>SUBTOTAL(103,Október[14])</f>
        <v>0</v>
      </c>
      <c r="Q12" s="13">
        <f>SUBTOTAL(103,Október[15])</f>
        <v>0</v>
      </c>
      <c r="R12" s="13">
        <f>SUBTOTAL(103,Október[16])</f>
        <v>0</v>
      </c>
      <c r="S12" s="13">
        <f>SUBTOTAL(103,Október[17])</f>
        <v>0</v>
      </c>
      <c r="T12" s="13">
        <f>SUBTOTAL(103,Október[18])</f>
        <v>0</v>
      </c>
      <c r="U12" s="13">
        <f>SUBTOTAL(103,Október[19])</f>
        <v>0</v>
      </c>
      <c r="V12" s="13">
        <f>SUBTOTAL(103,Október[20])</f>
        <v>0</v>
      </c>
      <c r="W12" s="13">
        <f>SUBTOTAL(103,Október[21])</f>
        <v>0</v>
      </c>
      <c r="X12" s="13">
        <f>SUBTOTAL(103,Október[22])</f>
        <v>0</v>
      </c>
      <c r="Y12" s="13">
        <f>SUBTOTAL(103,Október[23])</f>
        <v>0</v>
      </c>
      <c r="Z12" s="13">
        <f>SUBTOTAL(103,Október[24])</f>
        <v>0</v>
      </c>
      <c r="AA12" s="13">
        <f>SUBTOTAL(103,Október[25])</f>
        <v>0</v>
      </c>
      <c r="AB12" s="13">
        <f>SUBTOTAL(103,Október[26])</f>
        <v>0</v>
      </c>
      <c r="AC12" s="13">
        <f>SUBTOTAL(103,Október[27])</f>
        <v>0</v>
      </c>
      <c r="AD12" s="13">
        <f>SUBTOTAL(103,Október[28])</f>
        <v>0</v>
      </c>
      <c r="AE12" s="13">
        <f>SUBTOTAL(103,Október[29])</f>
        <v>0</v>
      </c>
      <c r="AF12" s="13">
        <f>SUBTOTAL(103,Október[30])</f>
        <v>0</v>
      </c>
      <c r="AG12" s="13">
        <f>SUBTOTAL(103,Október[31])</f>
        <v>0</v>
      </c>
      <c r="AH12" s="13">
        <f>SUBTOTAL(109,Október[Celkový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14" priority="2" stopIfTrue="1">
      <formula>C7=KódVlastné2</formula>
    </cfRule>
    <cfRule type="expression" dxfId="13" priority="3" stopIfTrue="1">
      <formula>C7=KódVlastné1</formula>
    </cfRule>
    <cfRule type="expression" dxfId="12" priority="4" stopIfTrue="1">
      <formula>C7=KódPráceneschospnosť</formula>
    </cfRule>
    <cfRule type="expression" dxfId="11" priority="5" stopIfTrue="1">
      <formula>C7=KódOsobnéDôvody</formula>
    </cfRule>
    <cfRule type="expression" dxfId="10" priority="6" stopIfTrue="1">
      <formula>C7=KódDovolenka</formula>
    </cfRule>
  </conditionalFormatting>
  <conditionalFormatting sqref="AH7:AH11">
    <cfRule type="dataBar" priority="7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900-000000000000}"/>
    <dataValidation allowBlank="1" showInputMessage="1" showErrorMessage="1" prompt="Automaticky aktualizovaný rok podľa roka zadaného v hárku Január" sqref="AH4" xr:uid="{00000000-0002-0000-0900-000001000000}"/>
    <dataValidation allowBlank="1" showInputMessage="1" showErrorMessage="1" prompt="V tomto stĺpci sa automaticky vypočíta celkový počet dní, kedy bol zamestnanec počas tohto mesiaca neprítomný" sqref="AH6" xr:uid="{00000000-0002-0000-0900-000002000000}"/>
    <dataValidation allowBlank="1" showInputMessage="1" showErrorMessage="1" prompt="Sledovanie absencií v októbri v tomto hárku" sqref="A1" xr:uid="{00000000-0002-0000-0900-000003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900-000004000000}"/>
    <dataValidation allowBlank="1" showInputMessage="1" showErrorMessage="1" prompt="V tejto bunke sa nachádza automaticky aktualizovaný nadpis. Ak chcete upraviť názov, aktualizujte bunku B1 v hárku Január" sqref="B1" xr:uid="{00000000-0002-0000-0900-000005000000}"/>
    <dataValidation allowBlank="1" showInputMessage="1" showErrorMessage="1" prompt="Písmeno D označuje absenciu z dôvodu dovolenky" sqref="C2" xr:uid="{9E04FEDB-02E5-42E2-BD9C-934BE196DEF1}"/>
    <dataValidation allowBlank="1" showInputMessage="1" showErrorMessage="1" prompt="Písmeno O označuje absenciu z osobných dôvodov" sqref="G2" xr:uid="{E7F4B586-95BB-47A1-B618-E7CB15A719B1}"/>
    <dataValidation allowBlank="1" showInputMessage="1" showErrorMessage="1" prompt="Písmeno P označuje absenciu z dôvodu choroby" sqref="L2" xr:uid="{C06C6665-D2D8-40A9-887C-5ABE9FDCBFDE}"/>
    <dataValidation allowBlank="1" showInputMessage="1" showErrorMessage="1" prompt="Vpravo zadajte písmeno a prispôsobte označenie, čím pridáte ďalšiu položku kódu" sqref="O2 S2" xr:uid="{2306B2C5-3936-47B1-804E-C1BD62CF89A7}"/>
    <dataValidation allowBlank="1" showInputMessage="1" showErrorMessage="1" prompt="Vľavo zadajte označenie pre popis vlastného kódu" sqref="P2:R2 T2:V2" xr:uid="{3C615215-9A3D-4C72-9F33-B8B76315B0FA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900-00000B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900-00000C000000}"/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9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61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TEXT(WEEKDAY(DATE(KalendárnyRok,11,1),1),"aaa")</f>
        <v>pi</v>
      </c>
      <c r="D5" s="2" t="str">
        <f>TEXT(WEEKDAY(DATE(KalendárnyRok,11,2),1),"aaa")</f>
        <v>so</v>
      </c>
      <c r="E5" s="2" t="str">
        <f>TEXT(WEEKDAY(DATE(KalendárnyRok,11,3),1),"aaa")</f>
        <v>ne</v>
      </c>
      <c r="F5" s="2" t="str">
        <f>TEXT(WEEKDAY(DATE(KalendárnyRok,11,4),1),"aaa")</f>
        <v>po</v>
      </c>
      <c r="G5" s="2" t="str">
        <f>TEXT(WEEKDAY(DATE(KalendárnyRok,11,5),1),"aaa")</f>
        <v>ut</v>
      </c>
      <c r="H5" s="2" t="str">
        <f>TEXT(WEEKDAY(DATE(KalendárnyRok,11,6),1),"aaa")</f>
        <v>st</v>
      </c>
      <c r="I5" s="2" t="str">
        <f>TEXT(WEEKDAY(DATE(KalendárnyRok,11,7),1),"aaa")</f>
        <v>št</v>
      </c>
      <c r="J5" s="2" t="str">
        <f>TEXT(WEEKDAY(DATE(KalendárnyRok,11,8),1),"aaa")</f>
        <v>pi</v>
      </c>
      <c r="K5" s="2" t="str">
        <f>TEXT(WEEKDAY(DATE(KalendárnyRok,11,9),1),"aaa")</f>
        <v>so</v>
      </c>
      <c r="L5" s="2" t="str">
        <f>TEXT(WEEKDAY(DATE(KalendárnyRok,11,10),1),"aaa")</f>
        <v>ne</v>
      </c>
      <c r="M5" s="2" t="str">
        <f>TEXT(WEEKDAY(DATE(KalendárnyRok,11,11),1),"aaa")</f>
        <v>po</v>
      </c>
      <c r="N5" s="2" t="str">
        <f>TEXT(WEEKDAY(DATE(KalendárnyRok,11,12),1),"aaa")</f>
        <v>ut</v>
      </c>
      <c r="O5" s="2" t="str">
        <f>TEXT(WEEKDAY(DATE(KalendárnyRok,11,13),1),"aaa")</f>
        <v>st</v>
      </c>
      <c r="P5" s="2" t="str">
        <f>TEXT(WEEKDAY(DATE(KalendárnyRok,11,14),1),"aaa")</f>
        <v>št</v>
      </c>
      <c r="Q5" s="2" t="str">
        <f>TEXT(WEEKDAY(DATE(KalendárnyRok,11,15),1),"aaa")</f>
        <v>pi</v>
      </c>
      <c r="R5" s="2" t="str">
        <f>TEXT(WEEKDAY(DATE(KalendárnyRok,11,16),1),"aaa")</f>
        <v>so</v>
      </c>
      <c r="S5" s="2" t="str">
        <f>TEXT(WEEKDAY(DATE(KalendárnyRok,11,17),1),"aaa")</f>
        <v>ne</v>
      </c>
      <c r="T5" s="2" t="str">
        <f>TEXT(WEEKDAY(DATE(KalendárnyRok,11,18),1),"aaa")</f>
        <v>po</v>
      </c>
      <c r="U5" s="2" t="str">
        <f>TEXT(WEEKDAY(DATE(KalendárnyRok,11,19),1),"aaa")</f>
        <v>ut</v>
      </c>
      <c r="V5" s="2" t="str">
        <f>TEXT(WEEKDAY(DATE(KalendárnyRok,11,20),1),"aaa")</f>
        <v>st</v>
      </c>
      <c r="W5" s="2" t="str">
        <f>TEXT(WEEKDAY(DATE(KalendárnyRok,11,21),1),"aaa")</f>
        <v>št</v>
      </c>
      <c r="X5" s="2" t="str">
        <f>TEXT(WEEKDAY(DATE(KalendárnyRok,11,22),1),"aaa")</f>
        <v>pi</v>
      </c>
      <c r="Y5" s="2" t="str">
        <f>TEXT(WEEKDAY(DATE(KalendárnyRok,11,23),1),"aaa")</f>
        <v>so</v>
      </c>
      <c r="Z5" s="2" t="str">
        <f>TEXT(WEEKDAY(DATE(KalendárnyRok,11,24),1),"aaa")</f>
        <v>ne</v>
      </c>
      <c r="AA5" s="2" t="str">
        <f>TEXT(WEEKDAY(DATE(KalendárnyRok,11,25),1),"aaa")</f>
        <v>po</v>
      </c>
      <c r="AB5" s="2" t="str">
        <f>TEXT(WEEKDAY(DATE(KalendárnyRok,11,26),1),"aaa")</f>
        <v>ut</v>
      </c>
      <c r="AC5" s="2" t="str">
        <f>TEXT(WEEKDAY(DATE(KalendárnyRok,11,27),1),"aaa")</f>
        <v>st</v>
      </c>
      <c r="AD5" s="2" t="str">
        <f>TEXT(WEEKDAY(DATE(KalendárnyRok,11,28),1),"aaa")</f>
        <v>št</v>
      </c>
      <c r="AE5" s="2" t="str">
        <f>TEXT(WEEKDAY(DATE(KalendárnyRok,11,29),1),"aaa")</f>
        <v>pi</v>
      </c>
      <c r="AF5" s="2" t="str">
        <f>TEXT(WEEKDAY(DATE(KalendárnyRok,11,30),1),"aaa")</f>
        <v>so</v>
      </c>
      <c r="AG5" s="2"/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COUNTA(November[[#This Row],[1]:[30]])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COUNTA(November[[#This Row],[1]:[30]])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COUNTA(November[[#This Row],[1]:[30]])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COUNTA(November[[#This Row],[1]:[30]])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COUNTA(November[[#This Row],[1]:[30]])</f>
        <v>0</v>
      </c>
    </row>
    <row r="12" spans="2:34" ht="30" customHeight="1" x14ac:dyDescent="0.25">
      <c r="B12" s="21" t="str">
        <f>NázovMesiaca&amp;" Spolu"</f>
        <v>November Spolu</v>
      </c>
      <c r="C12" s="13">
        <f>SUBTOTAL(103,November[1])</f>
        <v>0</v>
      </c>
      <c r="D12" s="13">
        <f>SUBTOTAL(103,November[2])</f>
        <v>0</v>
      </c>
      <c r="E12" s="13">
        <f>SUBTOTAL(103,November[3])</f>
        <v>0</v>
      </c>
      <c r="F12" s="13">
        <f>SUBTOTAL(103,November[4])</f>
        <v>0</v>
      </c>
      <c r="G12" s="13">
        <f>SUBTOTAL(103,November[5])</f>
        <v>0</v>
      </c>
      <c r="H12" s="13">
        <f>SUBTOTAL(103,November[6])</f>
        <v>0</v>
      </c>
      <c r="I12" s="13">
        <f>SUBTOTAL(103,November[7])</f>
        <v>0</v>
      </c>
      <c r="J12" s="13">
        <f>SUBTOTAL(103,November[8])</f>
        <v>0</v>
      </c>
      <c r="K12" s="13">
        <f>SUBTOTAL(103,November[9])</f>
        <v>0</v>
      </c>
      <c r="L12" s="13">
        <f>SUBTOTAL(103,November[10])</f>
        <v>0</v>
      </c>
      <c r="M12" s="13">
        <f>SUBTOTAL(103,November[11])</f>
        <v>0</v>
      </c>
      <c r="N12" s="13">
        <f>SUBTOTAL(103,November[12])</f>
        <v>0</v>
      </c>
      <c r="O12" s="13">
        <f>SUBTOTAL(103,November[13])</f>
        <v>0</v>
      </c>
      <c r="P12" s="13">
        <f>SUBTOTAL(103,November[14])</f>
        <v>0</v>
      </c>
      <c r="Q12" s="13">
        <f>SUBTOTAL(103,November[15])</f>
        <v>0</v>
      </c>
      <c r="R12" s="13">
        <f>SUBTOTAL(103,November[16])</f>
        <v>0</v>
      </c>
      <c r="S12" s="13">
        <f>SUBTOTAL(103,November[17])</f>
        <v>0</v>
      </c>
      <c r="T12" s="13">
        <f>SUBTOTAL(103,November[18])</f>
        <v>0</v>
      </c>
      <c r="U12" s="13">
        <f>SUBTOTAL(103,November[19])</f>
        <v>0</v>
      </c>
      <c r="V12" s="13">
        <f>SUBTOTAL(103,November[20])</f>
        <v>0</v>
      </c>
      <c r="W12" s="13">
        <f>SUBTOTAL(103,November[21])</f>
        <v>0</v>
      </c>
      <c r="X12" s="13">
        <f>SUBTOTAL(103,November[22])</f>
        <v>0</v>
      </c>
      <c r="Y12" s="13">
        <f>SUBTOTAL(103,November[23])</f>
        <v>0</v>
      </c>
      <c r="Z12" s="13">
        <f>SUBTOTAL(103,November[24])</f>
        <v>0</v>
      </c>
      <c r="AA12" s="13">
        <f>SUBTOTAL(103,November[25])</f>
        <v>0</v>
      </c>
      <c r="AB12" s="13">
        <f>SUBTOTAL(103,November[26])</f>
        <v>0</v>
      </c>
      <c r="AC12" s="13">
        <f>SUBTOTAL(103,November[27])</f>
        <v>0</v>
      </c>
      <c r="AD12" s="13">
        <f>SUBTOTAL(103,November[28])</f>
        <v>0</v>
      </c>
      <c r="AE12" s="13">
        <f>SUBTOTAL(103,November[29])</f>
        <v>0</v>
      </c>
      <c r="AF12" s="13">
        <f>SUBTOTAL(103,November[30])</f>
        <v>0</v>
      </c>
      <c r="AG12" s="13">
        <f>SUBTOTAL(103,November[[ ]])</f>
        <v>0</v>
      </c>
      <c r="AH12" s="13">
        <f>SUBTOTAL(109,November[Celkový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9" priority="2" stopIfTrue="1">
      <formula>C7=KódVlastné2</formula>
    </cfRule>
    <cfRule type="expression" dxfId="8" priority="3" stopIfTrue="1">
      <formula>C7=KódVlastné1</formula>
    </cfRule>
    <cfRule type="expression" dxfId="7" priority="4" stopIfTrue="1">
      <formula>C7=KódPráceneschospnosť</formula>
    </cfRule>
    <cfRule type="expression" dxfId="6" priority="5" stopIfTrue="1">
      <formula>C7=KódOsobnéDôvody</formula>
    </cfRule>
    <cfRule type="expression" dxfId="5" priority="6" stopIfTrue="1">
      <formula>C7=KódDovolenka</formula>
    </cfRule>
  </conditionalFormatting>
  <conditionalFormatting sqref="AH7:AH11">
    <cfRule type="dataBar" priority="7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A00-000000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A00-000001000000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A00-000002000000}"/>
    <dataValidation allowBlank="1" showInputMessage="1" showErrorMessage="1" prompt="Vľavo zadajte označenie pre popis vlastného kódu" sqref="P2:R2 T2:V2" xr:uid="{77A16BF5-F3D4-43D4-B8B4-5CDB448BE794}"/>
    <dataValidation allowBlank="1" showInputMessage="1" showErrorMessage="1" prompt="Vpravo zadajte písmeno a prispôsobte označenie, čím pridáte ďalšiu položku kódu" sqref="O2 S2" xr:uid="{FF2750F4-EB8F-4149-BA73-CC20B657D3B4}"/>
    <dataValidation allowBlank="1" showInputMessage="1" showErrorMessage="1" prompt="Písmeno P označuje absenciu z dôvodu choroby" sqref="L2" xr:uid="{93C099AA-9585-49A4-A2ED-E9FB545A45B4}"/>
    <dataValidation allowBlank="1" showInputMessage="1" showErrorMessage="1" prompt="Písmeno O označuje absenciu z osobných dôvodov" sqref="G2" xr:uid="{85EF3E48-9076-44E6-8735-E5B366292F5A}"/>
    <dataValidation allowBlank="1" showInputMessage="1" showErrorMessage="1" prompt="Písmeno D označuje absenciu z dôvodu dovolenky" sqref="C2" xr:uid="{2B29ACBE-75E0-4100-AF67-2014512BFBF6}"/>
    <dataValidation allowBlank="1" showInputMessage="1" showErrorMessage="1" prompt="V tejto bunke sa nachádza automaticky aktualizovaný nadpis. Ak chcete upraviť názov, aktualizujte bunku B1 v hárku Január" sqref="B1" xr:uid="{00000000-0002-0000-0A00-000008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A00-000009000000}"/>
    <dataValidation allowBlank="1" showInputMessage="1" showErrorMessage="1" prompt="Sledovanie absencií v novembri v tomto hárku" sqref="A1" xr:uid="{00000000-0002-0000-0A00-00000A000000}"/>
    <dataValidation allowBlank="1" showInputMessage="1" showErrorMessage="1" prompt="V tomto stĺpci sa automaticky vypočíta celkový počet dní, kedy bol zamestnanec počas tohto mesiaca neprítomný" sqref="AH6" xr:uid="{00000000-0002-0000-0A00-00000B000000}"/>
    <dataValidation allowBlank="1" showInputMessage="1" showErrorMessage="1" prompt="Automaticky aktualizovaný rok podľa roka zadaného v hárku Január" sqref="AH4" xr:uid="{00000000-0002-0000-0A00-00000C000000}"/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A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62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TEXT(WEEKDAY(DATE(KalendárnyRok,12,1),1),"aaa")</f>
        <v>ne</v>
      </c>
      <c r="D5" s="2" t="str">
        <f>TEXT(WEEKDAY(DATE(KalendárnyRok,12,2),1),"aaa")</f>
        <v>po</v>
      </c>
      <c r="E5" s="2" t="str">
        <f>TEXT(WEEKDAY(DATE(KalendárnyRok,12,3),1),"aaa")</f>
        <v>ut</v>
      </c>
      <c r="F5" s="2" t="str">
        <f>TEXT(WEEKDAY(DATE(KalendárnyRok,12,4),1),"aaa")</f>
        <v>st</v>
      </c>
      <c r="G5" s="2" t="str">
        <f>TEXT(WEEKDAY(DATE(KalendárnyRok,12,5),1),"aaa")</f>
        <v>št</v>
      </c>
      <c r="H5" s="2" t="str">
        <f>TEXT(WEEKDAY(DATE(KalendárnyRok,12,6),1),"aaa")</f>
        <v>pi</v>
      </c>
      <c r="I5" s="2" t="str">
        <f>TEXT(WEEKDAY(DATE(KalendárnyRok,12,7),1),"aaa")</f>
        <v>so</v>
      </c>
      <c r="J5" s="2" t="str">
        <f>TEXT(WEEKDAY(DATE(KalendárnyRok,12,8),1),"aaa")</f>
        <v>ne</v>
      </c>
      <c r="K5" s="2" t="str">
        <f>TEXT(WEEKDAY(DATE(KalendárnyRok,12,9),1),"aaa")</f>
        <v>po</v>
      </c>
      <c r="L5" s="2" t="str">
        <f>TEXT(WEEKDAY(DATE(KalendárnyRok,12,10),1),"aaa")</f>
        <v>ut</v>
      </c>
      <c r="M5" s="2" t="str">
        <f>TEXT(WEEKDAY(DATE(KalendárnyRok,12,11),1),"aaa")</f>
        <v>st</v>
      </c>
      <c r="N5" s="2" t="str">
        <f>TEXT(WEEKDAY(DATE(KalendárnyRok,12,12),1),"aaa")</f>
        <v>št</v>
      </c>
      <c r="O5" s="2" t="str">
        <f>TEXT(WEEKDAY(DATE(KalendárnyRok,12,13),1),"aaa")</f>
        <v>pi</v>
      </c>
      <c r="P5" s="2" t="str">
        <f>TEXT(WEEKDAY(DATE(KalendárnyRok,12,14),1),"aaa")</f>
        <v>so</v>
      </c>
      <c r="Q5" s="2" t="str">
        <f>TEXT(WEEKDAY(DATE(KalendárnyRok,12,15),1),"aaa")</f>
        <v>ne</v>
      </c>
      <c r="R5" s="2" t="str">
        <f>TEXT(WEEKDAY(DATE(KalendárnyRok,12,16),1),"aaa")</f>
        <v>po</v>
      </c>
      <c r="S5" s="2" t="str">
        <f>TEXT(WEEKDAY(DATE(KalendárnyRok,12,17),1),"aaa")</f>
        <v>ut</v>
      </c>
      <c r="T5" s="2" t="str">
        <f>TEXT(WEEKDAY(DATE(KalendárnyRok,12,18),1),"aaa")</f>
        <v>st</v>
      </c>
      <c r="U5" s="2" t="str">
        <f>TEXT(WEEKDAY(DATE(KalendárnyRok,12,19),1),"aaa")</f>
        <v>št</v>
      </c>
      <c r="V5" s="2" t="str">
        <f>TEXT(WEEKDAY(DATE(KalendárnyRok,12,20),1),"aaa")</f>
        <v>pi</v>
      </c>
      <c r="W5" s="2" t="str">
        <f>TEXT(WEEKDAY(DATE(KalendárnyRok,12,21),1),"aaa")</f>
        <v>so</v>
      </c>
      <c r="X5" s="2" t="str">
        <f>TEXT(WEEKDAY(DATE(KalendárnyRok,12,22),1),"aaa")</f>
        <v>ne</v>
      </c>
      <c r="Y5" s="2" t="str">
        <f>TEXT(WEEKDAY(DATE(KalendárnyRok,12,23),1),"aaa")</f>
        <v>po</v>
      </c>
      <c r="Z5" s="2" t="str">
        <f>TEXT(WEEKDAY(DATE(KalendárnyRok,12,24),1),"aaa")</f>
        <v>ut</v>
      </c>
      <c r="AA5" s="2" t="str">
        <f>TEXT(WEEKDAY(DATE(KalendárnyRok,12,25),1),"aaa")</f>
        <v>st</v>
      </c>
      <c r="AB5" s="2" t="str">
        <f>TEXT(WEEKDAY(DATE(KalendárnyRok,12,26),1),"aaa")</f>
        <v>št</v>
      </c>
      <c r="AC5" s="2" t="str">
        <f>TEXT(WEEKDAY(DATE(KalendárnyRok,12,27),1),"aaa")</f>
        <v>pi</v>
      </c>
      <c r="AD5" s="2" t="str">
        <f>TEXT(WEEKDAY(DATE(KalendárnyRok,12,28),1),"aaa")</f>
        <v>so</v>
      </c>
      <c r="AE5" s="2" t="str">
        <f>TEXT(WEEKDAY(DATE(KalendárnyRok,12,29),1),"aaa")</f>
        <v>ne</v>
      </c>
      <c r="AF5" s="2" t="str">
        <f>TEXT(WEEKDAY(DATE(KalendárnyRok,12,30),1),"aaa")</f>
        <v>po</v>
      </c>
      <c r="AG5" s="2" t="str">
        <f>TEXT(WEEKDAY(DATE(KalendárnyRok,12,31),1),"aaa")</f>
        <v>ut</v>
      </c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COUNTA(December[[#This Row],[1]:[31]])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COUNTA(December[[#This Row],[1]:[31]])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COUNTA(December[[#This Row],[1]:[31]])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COUNTA(December[[#This Row],[1]:[31]])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COUNTA(December[[#This Row],[1]:[31]])</f>
        <v>0</v>
      </c>
    </row>
    <row r="12" spans="2:34" ht="30" customHeight="1" x14ac:dyDescent="0.25">
      <c r="B12" s="21" t="str">
        <f>NázovMesiaca&amp;" Spolu"</f>
        <v>December Spolu</v>
      </c>
      <c r="C12" s="13">
        <f>SUBTOTAL(103,December[1])</f>
        <v>0</v>
      </c>
      <c r="D12" s="13">
        <f>SUBTOTAL(103,December[2])</f>
        <v>0</v>
      </c>
      <c r="E12" s="13">
        <f>SUBTOTAL(103,December[3])</f>
        <v>0</v>
      </c>
      <c r="F12" s="13">
        <f>SUBTOTAL(103,December[4])</f>
        <v>0</v>
      </c>
      <c r="G12" s="13">
        <f>SUBTOTAL(103,December[5])</f>
        <v>0</v>
      </c>
      <c r="H12" s="13">
        <f>SUBTOTAL(103,December[6])</f>
        <v>0</v>
      </c>
      <c r="I12" s="13">
        <f>SUBTOTAL(103,December[7])</f>
        <v>0</v>
      </c>
      <c r="J12" s="13">
        <f>SUBTOTAL(103,December[8])</f>
        <v>0</v>
      </c>
      <c r="K12" s="13">
        <f>SUBTOTAL(103,December[9])</f>
        <v>0</v>
      </c>
      <c r="L12" s="13">
        <f>SUBTOTAL(103,December[10])</f>
        <v>0</v>
      </c>
      <c r="M12" s="13">
        <f>SUBTOTAL(103,December[11])</f>
        <v>0</v>
      </c>
      <c r="N12" s="13">
        <f>SUBTOTAL(103,December[12])</f>
        <v>0</v>
      </c>
      <c r="O12" s="13">
        <f>SUBTOTAL(103,December[13])</f>
        <v>0</v>
      </c>
      <c r="P12" s="13">
        <f>SUBTOTAL(103,December[14])</f>
        <v>0</v>
      </c>
      <c r="Q12" s="13">
        <f>SUBTOTAL(103,December[15])</f>
        <v>0</v>
      </c>
      <c r="R12" s="13">
        <f>SUBTOTAL(103,December[16])</f>
        <v>0</v>
      </c>
      <c r="S12" s="13">
        <f>SUBTOTAL(103,December[17])</f>
        <v>0</v>
      </c>
      <c r="T12" s="13">
        <f>SUBTOTAL(103,December[18])</f>
        <v>0</v>
      </c>
      <c r="U12" s="13">
        <f>SUBTOTAL(103,December[19])</f>
        <v>0</v>
      </c>
      <c r="V12" s="13">
        <f>SUBTOTAL(103,December[20])</f>
        <v>0</v>
      </c>
      <c r="W12" s="13">
        <f>SUBTOTAL(103,December[21])</f>
        <v>0</v>
      </c>
      <c r="X12" s="13">
        <f>SUBTOTAL(103,December[22])</f>
        <v>0</v>
      </c>
      <c r="Y12" s="13">
        <f>SUBTOTAL(103,December[23])</f>
        <v>0</v>
      </c>
      <c r="Z12" s="13">
        <f>SUBTOTAL(103,December[24])</f>
        <v>0</v>
      </c>
      <c r="AA12" s="13">
        <f>SUBTOTAL(103,December[25])</f>
        <v>0</v>
      </c>
      <c r="AB12" s="13">
        <f>SUBTOTAL(103,December[26])</f>
        <v>0</v>
      </c>
      <c r="AC12" s="13">
        <f>SUBTOTAL(103,December[27])</f>
        <v>0</v>
      </c>
      <c r="AD12" s="13">
        <f>SUBTOTAL(103,December[28])</f>
        <v>0</v>
      </c>
      <c r="AE12" s="13">
        <f>SUBTOTAL(103,December[29])</f>
        <v>0</v>
      </c>
      <c r="AF12" s="13">
        <f>SUBTOTAL(103,December[30])</f>
        <v>0</v>
      </c>
      <c r="AG12" s="13">
        <f>SUBTOTAL(103,December[31])</f>
        <v>0</v>
      </c>
      <c r="AH12" s="13">
        <f>SUBTOTAL(109,December[Celkový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4" priority="2" stopIfTrue="1">
      <formula>C7=KódVlastné2</formula>
    </cfRule>
    <cfRule type="expression" dxfId="3" priority="3" stopIfTrue="1">
      <formula>C7=KódVlastné1</formula>
    </cfRule>
    <cfRule type="expression" dxfId="2" priority="4" stopIfTrue="1">
      <formula>C7=KódPráceneschospnosť</formula>
    </cfRule>
    <cfRule type="expression" dxfId="1" priority="5" stopIfTrue="1">
      <formula>C7=KódOsobnéDôvody</formula>
    </cfRule>
    <cfRule type="expression" dxfId="0" priority="6" stopIfTrue="1">
      <formula>C7=KódDovolenka</formula>
    </cfRule>
  </conditionalFormatting>
  <conditionalFormatting sqref="AH7:AH11">
    <cfRule type="dataBar" priority="30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Automaticky aktualizovaný rok podľa roka zadaného v hárku Január" sqref="AH4" xr:uid="{00000000-0002-0000-0B00-000000000000}"/>
    <dataValidation allowBlank="1" showInputMessage="1" showErrorMessage="1" prompt="V tomto stĺpci sa automaticky vypočíta celkový počet dní, kedy bol zamestnanec počas tohto mesiaca neprítomný" sqref="AH6" xr:uid="{00000000-0002-0000-0B00-000001000000}"/>
    <dataValidation allowBlank="1" showInputMessage="1" showErrorMessage="1" prompt="Sledovanie absencií v decembri v tomto hárku" sqref="A1" xr:uid="{00000000-0002-0000-0B00-000002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B00-000003000000}"/>
    <dataValidation allowBlank="1" showInputMessage="1" showErrorMessage="1" prompt="V tejto bunke sa nachádza automaticky aktualizovaný nadpis. Ak chcete upraviť názov, aktualizujte bunku B1 v hárku Január" sqref="B1" xr:uid="{00000000-0002-0000-0B00-000004000000}"/>
    <dataValidation allowBlank="1" showInputMessage="1" showErrorMessage="1" prompt="Písmeno D označuje absenciu z dôvodu dovolenky" sqref="C2" xr:uid="{D673146E-5CAA-4613-A841-1099BE328A32}"/>
    <dataValidation allowBlank="1" showInputMessage="1" showErrorMessage="1" prompt="Písmeno O označuje absenciu z osobných dôvodov" sqref="G2" xr:uid="{FC12C1EC-0E48-4E9D-96AF-4523A1A9A0B3}"/>
    <dataValidation allowBlank="1" showInputMessage="1" showErrorMessage="1" prompt="Písmeno P označuje absenciu z dôvodu choroby" sqref="L2" xr:uid="{B9BC419C-2847-4C95-AAF2-20078BFF4FC8}"/>
    <dataValidation allowBlank="1" showInputMessage="1" showErrorMessage="1" prompt="Vpravo zadajte písmeno a prispôsobte označenie, čím pridáte ďalšiu položku kódu" sqref="O2 S2" xr:uid="{0B73AC45-97D1-413D-B1F8-12B20B58E5B7}"/>
    <dataValidation allowBlank="1" showInputMessage="1" showErrorMessage="1" prompt="Vľavo zadajte označenie pre popis vlastného kódu" sqref="P2:R2 T2:V2" xr:uid="{E5DB0DB4-7899-4AEF-8851-27C678FE5A18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B00-00000A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B00-00000B000000}"/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B00-00000C000000}"/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B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B1:B8"/>
  <sheetViews>
    <sheetView showGridLines="0" workbookViewId="0"/>
  </sheetViews>
  <sheetFormatPr defaultRowHeight="30" customHeight="1" x14ac:dyDescent="0.25"/>
  <cols>
    <col min="1" max="1" width="2.7109375" customWidth="1"/>
    <col min="2" max="2" width="30.7109375" customWidth="1"/>
    <col min="3" max="3" width="2.7109375" customWidth="1"/>
  </cols>
  <sheetData>
    <row r="1" spans="2:2" ht="50.1" customHeight="1" x14ac:dyDescent="0.25">
      <c r="B1" s="22" t="s">
        <v>63</v>
      </c>
    </row>
    <row r="2" spans="2:2" ht="15" customHeight="1" x14ac:dyDescent="0.25"/>
    <row r="3" spans="2:2" ht="30" customHeight="1" x14ac:dyDescent="0.25">
      <c r="B3" t="s">
        <v>63</v>
      </c>
    </row>
    <row r="4" spans="2:2" ht="30" customHeight="1" x14ac:dyDescent="0.25">
      <c r="B4" s="1" t="s">
        <v>3</v>
      </c>
    </row>
    <row r="5" spans="2:2" ht="30" customHeight="1" x14ac:dyDescent="0.25">
      <c r="B5" s="1" t="s">
        <v>4</v>
      </c>
    </row>
    <row r="6" spans="2:2" ht="30" customHeight="1" x14ac:dyDescent="0.25">
      <c r="B6" s="1" t="s">
        <v>5</v>
      </c>
    </row>
    <row r="7" spans="2:2" ht="30" customHeight="1" x14ac:dyDescent="0.25">
      <c r="B7" s="1" t="s">
        <v>6</v>
      </c>
    </row>
    <row r="8" spans="2:2" ht="30" customHeight="1" x14ac:dyDescent="0.25">
      <c r="B8" s="1" t="s">
        <v>7</v>
      </c>
    </row>
  </sheetData>
  <dataValidations count="3">
    <dataValidation allowBlank="1" showInputMessage="1" showErrorMessage="1" prompt="Nadpis Mená zamestnancov" sqref="B1" xr:uid="{00000000-0002-0000-0C00-000000000000}"/>
    <dataValidation allowBlank="1" showInputMessage="1" showErrorMessage="1" prompt="Zadajte mená zamestnancov do tabuľky s menami zamestnancov v tomto hárku. Tieto mená slúžia ako možnosti v stĺpci B tabuľky absencií v rámci jednotlivých mesiacov" sqref="A1" xr:uid="{00000000-0002-0000-0C00-000001000000}"/>
    <dataValidation allowBlank="1" showInputMessage="1" showErrorMessage="1" prompt="Do tohto stĺpca zadajte mená zamestnancov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40625"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/>
    </row>
    <row r="4" spans="2:34" ht="30" customHeight="1" x14ac:dyDescent="0.25">
      <c r="B4" s="12" t="s">
        <v>50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TEXT(WEEKDAY(DATE(KalendárnyRok,2,1),1),"aaa")</f>
        <v>pi</v>
      </c>
      <c r="D5" s="2" t="str">
        <f>TEXT(WEEKDAY(DATE(KalendárnyRok,2,2),1),"aaa")</f>
        <v>so</v>
      </c>
      <c r="E5" s="2" t="str">
        <f>TEXT(WEEKDAY(DATE(KalendárnyRok,2,3),1),"aaa")</f>
        <v>ne</v>
      </c>
      <c r="F5" s="2" t="str">
        <f>TEXT(WEEKDAY(DATE(KalendárnyRok,2,4),1),"aaa")</f>
        <v>po</v>
      </c>
      <c r="G5" s="2" t="str">
        <f>TEXT(WEEKDAY(DATE(KalendárnyRok,2,5),1),"aaa")</f>
        <v>ut</v>
      </c>
      <c r="H5" s="2" t="str">
        <f>TEXT(WEEKDAY(DATE(KalendárnyRok,2,6),1),"aaa")</f>
        <v>st</v>
      </c>
      <c r="I5" s="2" t="str">
        <f>TEXT(WEEKDAY(DATE(KalendárnyRok,2,7),1),"aaa")</f>
        <v>št</v>
      </c>
      <c r="J5" s="2" t="str">
        <f>TEXT(WEEKDAY(DATE(KalendárnyRok,2,8),1),"aaa")</f>
        <v>pi</v>
      </c>
      <c r="K5" s="2" t="str">
        <f>TEXT(WEEKDAY(DATE(KalendárnyRok,2,9),1),"aaa")</f>
        <v>so</v>
      </c>
      <c r="L5" s="2" t="str">
        <f>TEXT(WEEKDAY(DATE(KalendárnyRok,2,10),1),"aaa")</f>
        <v>ne</v>
      </c>
      <c r="M5" s="2" t="str">
        <f>TEXT(WEEKDAY(DATE(KalendárnyRok,2,11),1),"aaa")</f>
        <v>po</v>
      </c>
      <c r="N5" s="2" t="str">
        <f>TEXT(WEEKDAY(DATE(KalendárnyRok,2,12),1),"aaa")</f>
        <v>ut</v>
      </c>
      <c r="O5" s="2" t="str">
        <f>TEXT(WEEKDAY(DATE(KalendárnyRok,2,13),1),"aaa")</f>
        <v>st</v>
      </c>
      <c r="P5" s="2" t="str">
        <f>TEXT(WEEKDAY(DATE(KalendárnyRok,2,14),1),"aaa")</f>
        <v>št</v>
      </c>
      <c r="Q5" s="2" t="str">
        <f>TEXT(WEEKDAY(DATE(KalendárnyRok,2,15),1),"aaa")</f>
        <v>pi</v>
      </c>
      <c r="R5" s="2" t="str">
        <f>TEXT(WEEKDAY(DATE(KalendárnyRok,2,16),1),"aaa")</f>
        <v>so</v>
      </c>
      <c r="S5" s="2" t="str">
        <f>TEXT(WEEKDAY(DATE(KalendárnyRok,2,17),1),"aaa")</f>
        <v>ne</v>
      </c>
      <c r="T5" s="2" t="str">
        <f>TEXT(WEEKDAY(DATE(KalendárnyRok,2,18),1),"aaa")</f>
        <v>po</v>
      </c>
      <c r="U5" s="2" t="str">
        <f>TEXT(WEEKDAY(DATE(KalendárnyRok,2,19),1),"aaa")</f>
        <v>ut</v>
      </c>
      <c r="V5" s="2" t="str">
        <f>TEXT(WEEKDAY(DATE(KalendárnyRok,2,20),1),"aaa")</f>
        <v>st</v>
      </c>
      <c r="W5" s="2" t="str">
        <f>TEXT(WEEKDAY(DATE(KalendárnyRok,2,21),1),"aaa")</f>
        <v>št</v>
      </c>
      <c r="X5" s="2" t="str">
        <f>TEXT(WEEKDAY(DATE(KalendárnyRok,2,22),1),"aaa")</f>
        <v>pi</v>
      </c>
      <c r="Y5" s="2" t="str">
        <f>TEXT(WEEKDAY(DATE(KalendárnyRok,2,23),1),"aaa")</f>
        <v>so</v>
      </c>
      <c r="Z5" s="2" t="str">
        <f>TEXT(WEEKDAY(DATE(KalendárnyRok,2,24),1),"aaa")</f>
        <v>ne</v>
      </c>
      <c r="AA5" s="2" t="str">
        <f>TEXT(WEEKDAY(DATE(KalendárnyRok,2,25),1),"aaa")</f>
        <v>po</v>
      </c>
      <c r="AB5" s="2" t="str">
        <f>TEXT(WEEKDAY(DATE(KalendárnyRok,2,26),1),"aaa")</f>
        <v>ut</v>
      </c>
      <c r="AC5" s="2" t="str">
        <f>TEXT(WEEKDAY(DATE(KalendárnyRok,2,27),1),"aaa")</f>
        <v>st</v>
      </c>
      <c r="AD5" s="2" t="str">
        <f>TEXT(WEEKDAY(DATE(KalendárnyRok,2,28),1),"aaa")</f>
        <v>št</v>
      </c>
      <c r="AE5" s="2" t="str">
        <f>TEXT(WEEKDAY(DATE(KalendárnyRok,2,29),1),"aaa")</f>
        <v>pi</v>
      </c>
      <c r="AF5" s="2"/>
      <c r="AG5" s="2"/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51</v>
      </c>
      <c r="AG6" s="3" t="s">
        <v>52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 t="s">
        <v>8</v>
      </c>
      <c r="F7" s="3" t="s">
        <v>8</v>
      </c>
      <c r="G7" s="3" t="s">
        <v>8</v>
      </c>
      <c r="H7" s="3" t="s">
        <v>8</v>
      </c>
      <c r="I7" s="3"/>
      <c r="J7" s="3"/>
      <c r="K7" s="3"/>
      <c r="L7" s="3"/>
      <c r="M7" s="3"/>
      <c r="N7" s="3"/>
      <c r="O7" s="3" t="s">
        <v>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COUNTA(Február[[#This Row],[1]:[29]])</f>
        <v>5</v>
      </c>
    </row>
    <row r="8" spans="2:34" ht="30" customHeight="1" x14ac:dyDescent="0.25">
      <c r="B8" s="17" t="s">
        <v>4</v>
      </c>
      <c r="C8" s="3"/>
      <c r="D8" s="3"/>
      <c r="E8" s="3"/>
      <c r="F8" s="3"/>
      <c r="G8" s="3" t="s">
        <v>16</v>
      </c>
      <c r="H8" s="3" t="s">
        <v>16</v>
      </c>
      <c r="I8" s="3"/>
      <c r="J8" s="3"/>
      <c r="K8" s="3"/>
      <c r="L8" s="3"/>
      <c r="M8" s="3" t="s">
        <v>14</v>
      </c>
      <c r="N8" s="3"/>
      <c r="O8" s="3"/>
      <c r="P8" s="3"/>
      <c r="Q8" s="3"/>
      <c r="R8" s="3"/>
      <c r="S8" s="3"/>
      <c r="T8" s="3"/>
      <c r="U8" s="3"/>
      <c r="V8" s="3" t="s">
        <v>16</v>
      </c>
      <c r="W8" s="3"/>
      <c r="X8" s="3"/>
      <c r="Y8" s="3"/>
      <c r="Z8" s="3"/>
      <c r="AA8" s="3" t="s">
        <v>8</v>
      </c>
      <c r="AB8" s="3" t="s">
        <v>8</v>
      </c>
      <c r="AC8" s="3" t="s">
        <v>8</v>
      </c>
      <c r="AD8" s="3"/>
      <c r="AE8" s="3"/>
      <c r="AF8" s="3"/>
      <c r="AG8" s="3"/>
      <c r="AH8" s="10">
        <f>COUNTA(Február[[#This Row],[1]:[29]])</f>
        <v>7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COUNTA(Február[[#This Row],[1]:[29]])</f>
        <v>0</v>
      </c>
    </row>
    <row r="10" spans="2:34" ht="30" customHeight="1" x14ac:dyDescent="0.25">
      <c r="B10" s="17" t="s">
        <v>6</v>
      </c>
      <c r="C10" s="3"/>
      <c r="D10" s="3"/>
      <c r="E10" s="3" t="s">
        <v>16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16</v>
      </c>
      <c r="Q10" s="3"/>
      <c r="R10" s="3"/>
      <c r="S10" s="3"/>
      <c r="T10" s="3" t="s">
        <v>14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16</v>
      </c>
      <c r="AE10" s="3"/>
      <c r="AF10" s="3"/>
      <c r="AG10" s="3"/>
      <c r="AH10" s="10">
        <f>COUNTA(Február[[#This Row],[1]:[29]])</f>
        <v>4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 t="s">
        <v>8</v>
      </c>
      <c r="K11" s="3" t="s">
        <v>8</v>
      </c>
      <c r="L11" s="3" t="s">
        <v>8</v>
      </c>
      <c r="M11" s="3" t="s">
        <v>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16</v>
      </c>
      <c r="AA11" s="3"/>
      <c r="AB11" s="3"/>
      <c r="AC11" s="3"/>
      <c r="AD11" s="3"/>
      <c r="AE11" s="3"/>
      <c r="AF11" s="3"/>
      <c r="AG11" s="3"/>
      <c r="AH11" s="10">
        <f>COUNTA(Február[[#This Row],[1]:[29]])</f>
        <v>5</v>
      </c>
    </row>
    <row r="12" spans="2:34" ht="30" customHeight="1" x14ac:dyDescent="0.25">
      <c r="B12" s="21" t="str">
        <f>NázovMesiaca&amp;" Spolu"</f>
        <v>Február Spolu</v>
      </c>
      <c r="C12" s="13">
        <f>SUBTOTAL(103,Február[1])</f>
        <v>0</v>
      </c>
      <c r="D12" s="13">
        <f>SUBTOTAL(103,Február[2])</f>
        <v>0</v>
      </c>
      <c r="E12" s="13">
        <f>SUBTOTAL(103,Február[3])</f>
        <v>2</v>
      </c>
      <c r="F12" s="13">
        <f>SUBTOTAL(103,Február[4])</f>
        <v>1</v>
      </c>
      <c r="G12" s="13">
        <f>SUBTOTAL(103,Február[5])</f>
        <v>2</v>
      </c>
      <c r="H12" s="13">
        <f>SUBTOTAL(103,Február[6])</f>
        <v>2</v>
      </c>
      <c r="I12" s="13">
        <f>SUBTOTAL(103,Február[7])</f>
        <v>0</v>
      </c>
      <c r="J12" s="13">
        <f>SUBTOTAL(103,Február[8])</f>
        <v>1</v>
      </c>
      <c r="K12" s="13">
        <f>SUBTOTAL(103,Február[9])</f>
        <v>1</v>
      </c>
      <c r="L12" s="13">
        <f>SUBTOTAL(103,Február[10])</f>
        <v>1</v>
      </c>
      <c r="M12" s="13">
        <f>SUBTOTAL(103,Február[11])</f>
        <v>2</v>
      </c>
      <c r="N12" s="13">
        <f>SUBTOTAL(103,Február[12])</f>
        <v>0</v>
      </c>
      <c r="O12" s="13">
        <f>SUBTOTAL(103,Február[13])</f>
        <v>1</v>
      </c>
      <c r="P12" s="13">
        <f>SUBTOTAL(103,Február[14])</f>
        <v>1</v>
      </c>
      <c r="Q12" s="13">
        <f>SUBTOTAL(103,Február[15])</f>
        <v>0</v>
      </c>
      <c r="R12" s="13">
        <f>SUBTOTAL(103,Február[16])</f>
        <v>0</v>
      </c>
      <c r="S12" s="13">
        <f>SUBTOTAL(103,Február[17])</f>
        <v>0</v>
      </c>
      <c r="T12" s="13">
        <f>SUBTOTAL(103,Február[18])</f>
        <v>1</v>
      </c>
      <c r="U12" s="13">
        <f>SUBTOTAL(103,Február[19])</f>
        <v>0</v>
      </c>
      <c r="V12" s="13">
        <f>SUBTOTAL(103,Február[20])</f>
        <v>1</v>
      </c>
      <c r="W12" s="13">
        <f>SUBTOTAL(103,Február[21])</f>
        <v>0</v>
      </c>
      <c r="X12" s="13">
        <f>SUBTOTAL(103,Február[22])</f>
        <v>0</v>
      </c>
      <c r="Y12" s="13">
        <f>SUBTOTAL(103,Február[23])</f>
        <v>0</v>
      </c>
      <c r="Z12" s="13">
        <f>SUBTOTAL(103,Február[24])</f>
        <v>1</v>
      </c>
      <c r="AA12" s="13">
        <f>SUBTOTAL(103,Február[25])</f>
        <v>1</v>
      </c>
      <c r="AB12" s="13">
        <f>SUBTOTAL(103,Február[26])</f>
        <v>1</v>
      </c>
      <c r="AC12" s="13">
        <f>SUBTOTAL(103,Február[27])</f>
        <v>1</v>
      </c>
      <c r="AD12" s="13">
        <f>SUBTOTAL(103,Február[28])</f>
        <v>1</v>
      </c>
      <c r="AE12" s="13">
        <f>SUBTOTAL(103,Február[29])</f>
        <v>0</v>
      </c>
      <c r="AF12" s="13"/>
      <c r="AG12" s="13"/>
      <c r="AH12" s="13">
        <f>SUBTOTAL(109,Február[Celkový počet dní])</f>
        <v>21</v>
      </c>
    </row>
  </sheetData>
  <mergeCells count="3">
    <mergeCell ref="C4:AG4"/>
    <mergeCell ref="D2:F2"/>
    <mergeCell ref="H2:K2"/>
  </mergeCells>
  <conditionalFormatting sqref="AE6">
    <cfRule type="expression" dxfId="56" priority="16">
      <formula>MONTH(DATE(KalendárnyRok,2,29))&lt;&gt;2</formula>
    </cfRule>
  </conditionalFormatting>
  <conditionalFormatting sqref="AE5">
    <cfRule type="expression" dxfId="55" priority="15">
      <formula>MONTH(DATE(KalendárnyRok,2,29))&lt;&gt;2</formula>
    </cfRule>
  </conditionalFormatting>
  <conditionalFormatting sqref="C7:AG11">
    <cfRule type="expression" priority="2" stopIfTrue="1">
      <formula>C7=""</formula>
    </cfRule>
    <cfRule type="expression" dxfId="54" priority="3" stopIfTrue="1">
      <formula>C7=KódVlastné2</formula>
    </cfRule>
  </conditionalFormatting>
  <conditionalFormatting sqref="C7:AG11">
    <cfRule type="expression" dxfId="53" priority="5" stopIfTrue="1">
      <formula>C7=KódVlastné1</formula>
    </cfRule>
    <cfRule type="expression" dxfId="52" priority="6" stopIfTrue="1">
      <formula>C7=KódPráceneschospnosť</formula>
    </cfRule>
    <cfRule type="expression" dxfId="51" priority="7" stopIfTrue="1">
      <formula>C7=KódOsobnéDôvody</formula>
    </cfRule>
    <cfRule type="expression" dxfId="50" priority="8" stopIfTrue="1">
      <formula>C7=KódDovolenka</formula>
    </cfRule>
  </conditionalFormatting>
  <conditionalFormatting sqref="AH7:AH11">
    <cfRule type="dataBar" priority="153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Automaticky aktualizovaný rok podľa roka zadaného v hárku Január" sqref="AH4" xr:uid="{00000000-0002-0000-0100-000000000000}"/>
    <dataValidation allowBlank="1" showInputMessage="1" showErrorMessage="1" prompt="Sledovanie absencií vo februári v tomto hárku" sqref="A1" xr:uid="{00000000-0002-0000-0100-000001000000}"/>
    <dataValidation allowBlank="1" showInputMessage="1" showErrorMessage="1" prompt="V tomto stĺpci sa automaticky vypočíta celkový počet dní, kedy bol zamestnanec počas tohto mesiaca neprítomný" sqref="AH6" xr:uid="{00000000-0002-0000-0100-000002000000}"/>
    <dataValidation allowBlank="1" showInputMessage="1" showErrorMessage="1" prompt="V tejto bunke sa nachádza automaticky aktualizovaný nadpis. Ak chcete upraviť názov, aktualizujte bunku B1 v hárku Január" sqref="B1" xr:uid="{00000000-0002-0000-0100-000003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100-000004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100-000005000000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100-000006000000}"/>
    <dataValidation allowBlank="1" showInputMessage="1" showErrorMessage="1" prompt="Vľavo zadajte označenie pre popis vlastného kódu" sqref="P2:R2 T2:V2" xr:uid="{8B1A741C-E631-4749-8A67-56D72FC76CCD}"/>
    <dataValidation allowBlank="1" showInputMessage="1" showErrorMessage="1" prompt="Vpravo zadajte písmeno a prispôsobte označenie, čím pridáte ďalšiu položku kódu" sqref="O2 S2" xr:uid="{AEAD55C0-8B9A-4FF4-ACDB-B1C2F99D110D}"/>
    <dataValidation allowBlank="1" showInputMessage="1" showErrorMessage="1" prompt="Písmeno P označuje absenciu z dôvodu choroby" sqref="L2" xr:uid="{E79EBD39-15B7-44C5-937A-FB5B04A99211}"/>
    <dataValidation allowBlank="1" showInputMessage="1" showErrorMessage="1" prompt="Písmeno O označuje absenciu z osobných dôvodov" sqref="G2" xr:uid="{645BDF06-9CB7-40A2-BA7F-844D163D57CB}"/>
    <dataValidation allowBlank="1" showInputMessage="1" showErrorMessage="1" prompt="Písmeno D označuje absenciu z dôvodu dovolenky" sqref="C2" xr:uid="{AC951569-9295-44AE-B4A5-90897E7BFF4B}"/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100-00000C000000}"/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1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53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TEXT(WEEKDAY(DATE(KalendárnyRok,3,1),1),"aaa")</f>
        <v>pi</v>
      </c>
      <c r="D5" s="2" t="str">
        <f>TEXT(WEEKDAY(DATE(KalendárnyRok,3,2),1),"aaa")</f>
        <v>so</v>
      </c>
      <c r="E5" s="2" t="str">
        <f>TEXT(WEEKDAY(DATE(KalendárnyRok,3,3),1),"aaa")</f>
        <v>ne</v>
      </c>
      <c r="F5" s="2" t="str">
        <f>TEXT(WEEKDAY(DATE(KalendárnyRok,3,4),1),"aaa")</f>
        <v>po</v>
      </c>
      <c r="G5" s="2" t="str">
        <f>TEXT(WEEKDAY(DATE(KalendárnyRok,3,5),1),"aaa")</f>
        <v>ut</v>
      </c>
      <c r="H5" s="2" t="str">
        <f>TEXT(WEEKDAY(DATE(KalendárnyRok,3,6),1),"aaa")</f>
        <v>st</v>
      </c>
      <c r="I5" s="2" t="str">
        <f>TEXT(WEEKDAY(DATE(KalendárnyRok,3,7),1),"aaa")</f>
        <v>št</v>
      </c>
      <c r="J5" s="2" t="str">
        <f>TEXT(WEEKDAY(DATE(KalendárnyRok,3,8),1),"aaa")</f>
        <v>pi</v>
      </c>
      <c r="K5" s="2" t="str">
        <f>TEXT(WEEKDAY(DATE(KalendárnyRok,3,9),1),"aaa")</f>
        <v>so</v>
      </c>
      <c r="L5" s="2" t="str">
        <f>TEXT(WEEKDAY(DATE(KalendárnyRok,3,10),1),"aaa")</f>
        <v>ne</v>
      </c>
      <c r="M5" s="2" t="str">
        <f>TEXT(WEEKDAY(DATE(KalendárnyRok,3,11),1),"aaa")</f>
        <v>po</v>
      </c>
      <c r="N5" s="2" t="str">
        <f>TEXT(WEEKDAY(DATE(KalendárnyRok,3,12),1),"aaa")</f>
        <v>ut</v>
      </c>
      <c r="O5" s="2" t="str">
        <f>TEXT(WEEKDAY(DATE(KalendárnyRok,3,13),1),"aaa")</f>
        <v>st</v>
      </c>
      <c r="P5" s="2" t="str">
        <f>TEXT(WEEKDAY(DATE(KalendárnyRok,3,14),1),"aaa")</f>
        <v>št</v>
      </c>
      <c r="Q5" s="2" t="str">
        <f>TEXT(WEEKDAY(DATE(KalendárnyRok,3,15),1),"aaa")</f>
        <v>pi</v>
      </c>
      <c r="R5" s="2" t="str">
        <f>TEXT(WEEKDAY(DATE(KalendárnyRok,3,16),1),"aaa")</f>
        <v>so</v>
      </c>
      <c r="S5" s="2" t="str">
        <f>TEXT(WEEKDAY(DATE(KalendárnyRok,3,17),1),"aaa")</f>
        <v>ne</v>
      </c>
      <c r="T5" s="2" t="str">
        <f>TEXT(WEEKDAY(DATE(KalendárnyRok,3,18),1),"aaa")</f>
        <v>po</v>
      </c>
      <c r="U5" s="2" t="str">
        <f>TEXT(WEEKDAY(DATE(KalendárnyRok,3,19),1),"aaa")</f>
        <v>ut</v>
      </c>
      <c r="V5" s="2" t="str">
        <f>TEXT(WEEKDAY(DATE(KalendárnyRok,3,20),1),"aaa")</f>
        <v>st</v>
      </c>
      <c r="W5" s="2" t="str">
        <f>TEXT(WEEKDAY(DATE(KalendárnyRok,3,21),1),"aaa")</f>
        <v>št</v>
      </c>
      <c r="X5" s="2" t="str">
        <f>TEXT(WEEKDAY(DATE(KalendárnyRok,3,22),1),"aaa")</f>
        <v>pi</v>
      </c>
      <c r="Y5" s="2" t="str">
        <f>TEXT(WEEKDAY(DATE(KalendárnyRok,3,23),1),"aaa")</f>
        <v>so</v>
      </c>
      <c r="Z5" s="2" t="str">
        <f>TEXT(WEEKDAY(DATE(KalendárnyRok,3,24),1),"aaa")</f>
        <v>ne</v>
      </c>
      <c r="AA5" s="2" t="str">
        <f>TEXT(WEEKDAY(DATE(KalendárnyRok,3,25),1),"aaa")</f>
        <v>po</v>
      </c>
      <c r="AB5" s="2" t="str">
        <f>TEXT(WEEKDAY(DATE(KalendárnyRok,3,26),1),"aaa")</f>
        <v>ut</v>
      </c>
      <c r="AC5" s="2" t="str">
        <f>TEXT(WEEKDAY(DATE(KalendárnyRok,3,27),1),"aaa")</f>
        <v>st</v>
      </c>
      <c r="AD5" s="2" t="str">
        <f>TEXT(WEEKDAY(DATE(KalendárnyRok,3,28),1),"aaa")</f>
        <v>št</v>
      </c>
      <c r="AE5" s="2" t="str">
        <f>TEXT(WEEKDAY(DATE(KalendárnyRok,3,29),1),"aaa")</f>
        <v>pi</v>
      </c>
      <c r="AF5" s="2" t="str">
        <f>TEXT(WEEKDAY(DATE(KalendárnyRok,3,30),1),"aaa")</f>
        <v>so</v>
      </c>
      <c r="AG5" s="2" t="str">
        <f>TEXT(WEEKDAY(DATE(KalendárnyRok,3,31),1),"aaa")</f>
        <v>ne</v>
      </c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COUNTA(Marec[[#This Row],[1]:[31]])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COUNTA(Marec[[#This Row],[1]:[31]])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COUNTA(Marec[[#This Row],[1]:[31]])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COUNTA(Marec[[#This Row],[1]:[31]])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COUNTA(Marec[[#This Row],[1]:[31]])</f>
        <v>0</v>
      </c>
    </row>
    <row r="12" spans="2:34" ht="30" customHeight="1" x14ac:dyDescent="0.25">
      <c r="B12" s="21" t="str">
        <f>NázovMesiaca&amp;" Spolu"</f>
        <v>Marec Spolu</v>
      </c>
      <c r="C12" s="13">
        <f>SUBTOTAL(103,Marec[1])</f>
        <v>0</v>
      </c>
      <c r="D12" s="13">
        <f>SUBTOTAL(103,Marec[2])</f>
        <v>0</v>
      </c>
      <c r="E12" s="13">
        <f>SUBTOTAL(103,Marec[3])</f>
        <v>0</v>
      </c>
      <c r="F12" s="13">
        <f>SUBTOTAL(103,Marec[4])</f>
        <v>0</v>
      </c>
      <c r="G12" s="13">
        <f>SUBTOTAL(103,Marec[5])</f>
        <v>0</v>
      </c>
      <c r="H12" s="13">
        <f>SUBTOTAL(103,Marec[6])</f>
        <v>0</v>
      </c>
      <c r="I12" s="13">
        <f>SUBTOTAL(103,Marec[7])</f>
        <v>0</v>
      </c>
      <c r="J12" s="13">
        <f>SUBTOTAL(103,Marec[8])</f>
        <v>0</v>
      </c>
      <c r="K12" s="13">
        <f>SUBTOTAL(103,Marec[9])</f>
        <v>0</v>
      </c>
      <c r="L12" s="13">
        <f>SUBTOTAL(103,Marec[10])</f>
        <v>0</v>
      </c>
      <c r="M12" s="13">
        <f>SUBTOTAL(103,Marec[11])</f>
        <v>0</v>
      </c>
      <c r="N12" s="13">
        <f>SUBTOTAL(103,Marec[12])</f>
        <v>0</v>
      </c>
      <c r="O12" s="13">
        <f>SUBTOTAL(103,Marec[13])</f>
        <v>0</v>
      </c>
      <c r="P12" s="13">
        <f>SUBTOTAL(103,Marec[14])</f>
        <v>0</v>
      </c>
      <c r="Q12" s="13">
        <f>SUBTOTAL(103,Marec[15])</f>
        <v>0</v>
      </c>
      <c r="R12" s="13">
        <f>SUBTOTAL(103,Marec[16])</f>
        <v>0</v>
      </c>
      <c r="S12" s="13">
        <f>SUBTOTAL(103,Marec[17])</f>
        <v>0</v>
      </c>
      <c r="T12" s="13">
        <f>SUBTOTAL(103,Marec[18])</f>
        <v>0</v>
      </c>
      <c r="U12" s="13">
        <f>SUBTOTAL(103,Marec[19])</f>
        <v>0</v>
      </c>
      <c r="V12" s="13">
        <f>SUBTOTAL(103,Marec[20])</f>
        <v>0</v>
      </c>
      <c r="W12" s="13">
        <f>SUBTOTAL(103,Marec[21])</f>
        <v>0</v>
      </c>
      <c r="X12" s="13">
        <f>SUBTOTAL(103,Marec[22])</f>
        <v>0</v>
      </c>
      <c r="Y12" s="13">
        <f>SUBTOTAL(103,Marec[23])</f>
        <v>0</v>
      </c>
      <c r="Z12" s="13">
        <f>SUBTOTAL(103,Marec[24])</f>
        <v>0</v>
      </c>
      <c r="AA12" s="13">
        <f>SUBTOTAL(103,Marec[25])</f>
        <v>0</v>
      </c>
      <c r="AB12" s="13">
        <f>SUBTOTAL(103,Marec[26])</f>
        <v>0</v>
      </c>
      <c r="AC12" s="13">
        <f>SUBTOTAL(103,Marec[27])</f>
        <v>0</v>
      </c>
      <c r="AD12" s="13">
        <f>SUBTOTAL(103,Marec[28])</f>
        <v>0</v>
      </c>
      <c r="AE12" s="13">
        <f>SUBTOTAL(103,Marec[29])</f>
        <v>0</v>
      </c>
      <c r="AF12" s="13">
        <f>SUBTOTAL(103,Marec[30])</f>
        <v>0</v>
      </c>
      <c r="AG12" s="13">
        <f>SUBTOTAL(103,Marec[31])</f>
        <v>0</v>
      </c>
      <c r="AH12" s="13">
        <f>SUBTOTAL(109,Marec[Celkový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49" priority="2" stopIfTrue="1">
      <formula>C7=KódVlastné2</formula>
    </cfRule>
    <cfRule type="expression" dxfId="48" priority="3" stopIfTrue="1">
      <formula>C7=KódVlastné1</formula>
    </cfRule>
    <cfRule type="expression" dxfId="47" priority="4" stopIfTrue="1">
      <formula>C7=KódPráceneschospnosť</formula>
    </cfRule>
    <cfRule type="expression" dxfId="46" priority="5" stopIfTrue="1">
      <formula>C7=KódOsobnéDôvody</formula>
    </cfRule>
    <cfRule type="expression" dxfId="45" priority="6" stopIfTrue="1">
      <formula>C7=KódDovolenka</formula>
    </cfRule>
  </conditionalFormatting>
  <conditionalFormatting sqref="AH7:AH11">
    <cfRule type="dataBar" priority="7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200-000000000000}"/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200-000001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200-000002000000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200-000003000000}"/>
    <dataValidation allowBlank="1" showInputMessage="1" showErrorMessage="1" prompt="Vľavo zadajte označenie pre popis vlastného kódu" sqref="P2:R2 T2:V2" xr:uid="{A784D811-E09C-4632-B132-66BD62687A66}"/>
    <dataValidation allowBlank="1" showInputMessage="1" showErrorMessage="1" prompt="Vpravo zadajte písmeno a prispôsobte označenie, čím pridáte ďalšiu položku kódu" sqref="O2 S2" xr:uid="{4F166B6A-26C9-45C8-9A50-0A5EC66B937E}"/>
    <dataValidation allowBlank="1" showInputMessage="1" showErrorMessage="1" prompt="Písmeno P označuje absenciu z dôvodu choroby" sqref="L2" xr:uid="{F6AAEB1F-729A-4B83-A6B8-4BCE1B1CC47E}"/>
    <dataValidation allowBlank="1" showInputMessage="1" showErrorMessage="1" prompt="Písmeno O označuje absenciu z osobných dôvodov" sqref="G2" xr:uid="{1B6EF08A-A17E-4C8A-A42C-DC5A9BBF54F8}"/>
    <dataValidation allowBlank="1" showInputMessage="1" showErrorMessage="1" prompt="Písmeno D označuje absenciu z dôvodu dovolenky" sqref="C2" xr:uid="{F40F4ECF-C962-47AB-B98E-B1CCA9B0CDA2}"/>
    <dataValidation allowBlank="1" showInputMessage="1" showErrorMessage="1" prompt="V tejto bunke sa nachádza automaticky aktualizovaný nadpis. Ak chcete upraviť názov, aktualizujte bunku B1 v hárku Január" sqref="B1" xr:uid="{00000000-0002-0000-0200-000009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200-00000A000000}"/>
    <dataValidation allowBlank="1" showInputMessage="1" showErrorMessage="1" prompt="Sledovanie absencií v marci v tomto hárku" sqref="A1" xr:uid="{00000000-0002-0000-0200-00000B000000}"/>
    <dataValidation allowBlank="1" showInputMessage="1" showErrorMessage="1" prompt="V tomto stĺpci sa automaticky vypočíta celkový počet dní, kedy bol zamestnanec počas tohto mesiaca neprítomný" sqref="AH6" xr:uid="{00000000-0002-0000-0200-00000C000000}"/>
    <dataValidation allowBlank="1" showInputMessage="1" showErrorMessage="1" prompt="Automaticky aktualizovaný rok podľa roka zadaného v hárku Január" sqref="AH4" xr:uid="{00000000-0002-0000-02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54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TEXT(WEEKDAY(DATE(KalendárnyRok,4,1),1),"aaa")</f>
        <v>po</v>
      </c>
      <c r="D5" s="2" t="str">
        <f>TEXT(WEEKDAY(DATE(KalendárnyRok,4,2),1),"aaa")</f>
        <v>ut</v>
      </c>
      <c r="E5" s="2" t="str">
        <f>TEXT(WEEKDAY(DATE(KalendárnyRok,4,3),1),"aaa")</f>
        <v>st</v>
      </c>
      <c r="F5" s="2" t="str">
        <f>TEXT(WEEKDAY(DATE(KalendárnyRok,4,4),1),"aaa")</f>
        <v>št</v>
      </c>
      <c r="G5" s="2" t="str">
        <f>TEXT(WEEKDAY(DATE(KalendárnyRok,4,5),1),"aaa")</f>
        <v>pi</v>
      </c>
      <c r="H5" s="2" t="str">
        <f>TEXT(WEEKDAY(DATE(KalendárnyRok,4,6),1),"aaa")</f>
        <v>so</v>
      </c>
      <c r="I5" s="2" t="str">
        <f>TEXT(WEEKDAY(DATE(KalendárnyRok,4,7),1),"aaa")</f>
        <v>ne</v>
      </c>
      <c r="J5" s="2" t="str">
        <f>TEXT(WEEKDAY(DATE(KalendárnyRok,4,8),1),"aaa")</f>
        <v>po</v>
      </c>
      <c r="K5" s="2" t="str">
        <f>TEXT(WEEKDAY(DATE(KalendárnyRok,4,9),1),"aaa")</f>
        <v>ut</v>
      </c>
      <c r="L5" s="2" t="str">
        <f>TEXT(WEEKDAY(DATE(KalendárnyRok,4,10),1),"aaa")</f>
        <v>st</v>
      </c>
      <c r="M5" s="2" t="str">
        <f>TEXT(WEEKDAY(DATE(KalendárnyRok,4,11),1),"aaa")</f>
        <v>št</v>
      </c>
      <c r="N5" s="2" t="str">
        <f>TEXT(WEEKDAY(DATE(KalendárnyRok,4,12),1),"aaa")</f>
        <v>pi</v>
      </c>
      <c r="O5" s="2" t="str">
        <f>TEXT(WEEKDAY(DATE(KalendárnyRok,4,13),1),"aaa")</f>
        <v>so</v>
      </c>
      <c r="P5" s="2" t="str">
        <f>TEXT(WEEKDAY(DATE(KalendárnyRok,4,14),1),"aaa")</f>
        <v>ne</v>
      </c>
      <c r="Q5" s="2" t="str">
        <f>TEXT(WEEKDAY(DATE(KalendárnyRok,4,15),1),"aaa")</f>
        <v>po</v>
      </c>
      <c r="R5" s="2" t="str">
        <f>TEXT(WEEKDAY(DATE(KalendárnyRok,4,16),1),"aaa")</f>
        <v>ut</v>
      </c>
      <c r="S5" s="2" t="str">
        <f>TEXT(WEEKDAY(DATE(KalendárnyRok,4,17),1),"aaa")</f>
        <v>st</v>
      </c>
      <c r="T5" s="2" t="str">
        <f>TEXT(WEEKDAY(DATE(KalendárnyRok,4,18),1),"aaa")</f>
        <v>št</v>
      </c>
      <c r="U5" s="2" t="str">
        <f>TEXT(WEEKDAY(DATE(KalendárnyRok,4,19),1),"aaa")</f>
        <v>pi</v>
      </c>
      <c r="V5" s="2" t="str">
        <f>TEXT(WEEKDAY(DATE(KalendárnyRok,4,20),1),"aaa")</f>
        <v>so</v>
      </c>
      <c r="W5" s="2" t="str">
        <f>TEXT(WEEKDAY(DATE(KalendárnyRok,4,21),1),"aaa")</f>
        <v>ne</v>
      </c>
      <c r="X5" s="2" t="str">
        <f>TEXT(WEEKDAY(DATE(KalendárnyRok,4,22),1),"aaa")</f>
        <v>po</v>
      </c>
      <c r="Y5" s="2" t="str">
        <f>TEXT(WEEKDAY(DATE(KalendárnyRok,4,23),1),"aaa")</f>
        <v>ut</v>
      </c>
      <c r="Z5" s="2" t="str">
        <f>TEXT(WEEKDAY(DATE(KalendárnyRok,4,24),1),"aaa")</f>
        <v>st</v>
      </c>
      <c r="AA5" s="2" t="str">
        <f>TEXT(WEEKDAY(DATE(KalendárnyRok,4,25),1),"aaa")</f>
        <v>št</v>
      </c>
      <c r="AB5" s="2" t="str">
        <f>TEXT(WEEKDAY(DATE(KalendárnyRok,4,26),1),"aaa")</f>
        <v>pi</v>
      </c>
      <c r="AC5" s="2" t="str">
        <f>TEXT(WEEKDAY(DATE(KalendárnyRok,4,27),1),"aaa")</f>
        <v>so</v>
      </c>
      <c r="AD5" s="2" t="str">
        <f>TEXT(WEEKDAY(DATE(KalendárnyRok,4,28),1),"aaa")</f>
        <v>ne</v>
      </c>
      <c r="AE5" s="2" t="str">
        <f>TEXT(WEEKDAY(DATE(KalendárnyRok,4,29),1),"aaa")</f>
        <v>po</v>
      </c>
      <c r="AF5" s="2" t="str">
        <f>TEXT(WEEKDAY(DATE(KalendárnyRok,4,30),1),"aaa")</f>
        <v>ut</v>
      </c>
      <c r="AG5" s="2"/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23" t="s">
        <v>51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COUNTA(Apríl[[#This Row],[1]:[30]])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COUNTA(Apríl[[#This Row],[1]:[30]])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COUNTA(Apríl[[#This Row],[1]:[30]])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COUNTA(Apríl[[#This Row],[1]:[30]])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COUNTA(Apríl[[#This Row],[1]:[30]])</f>
        <v>0</v>
      </c>
    </row>
    <row r="12" spans="2:34" ht="30" customHeight="1" x14ac:dyDescent="0.25">
      <c r="B12" s="21" t="str">
        <f>NázovMesiaca&amp;" Spolu"</f>
        <v>Apríl Spolu</v>
      </c>
      <c r="C12" s="13">
        <f>SUBTOTAL(103,Apríl[1])</f>
        <v>0</v>
      </c>
      <c r="D12" s="13">
        <f>SUBTOTAL(103,Apríl[2])</f>
        <v>0</v>
      </c>
      <c r="E12" s="13">
        <f>SUBTOTAL(103,Apríl[3])</f>
        <v>0</v>
      </c>
      <c r="F12" s="13">
        <f>SUBTOTAL(103,Apríl[4])</f>
        <v>0</v>
      </c>
      <c r="G12" s="13">
        <f>SUBTOTAL(103,Apríl[5])</f>
        <v>0</v>
      </c>
      <c r="H12" s="13">
        <f>SUBTOTAL(103,Apríl[6])</f>
        <v>0</v>
      </c>
      <c r="I12" s="13">
        <f>SUBTOTAL(103,Apríl[7])</f>
        <v>0</v>
      </c>
      <c r="J12" s="13">
        <f>SUBTOTAL(103,Apríl[8])</f>
        <v>0</v>
      </c>
      <c r="K12" s="13">
        <f>SUBTOTAL(103,Apríl[9])</f>
        <v>0</v>
      </c>
      <c r="L12" s="13">
        <f>SUBTOTAL(103,Apríl[10])</f>
        <v>0</v>
      </c>
      <c r="M12" s="13">
        <f>SUBTOTAL(103,Apríl[11])</f>
        <v>0</v>
      </c>
      <c r="N12" s="13">
        <f>SUBTOTAL(103,Apríl[12])</f>
        <v>0</v>
      </c>
      <c r="O12" s="13">
        <f>SUBTOTAL(103,Apríl[13])</f>
        <v>0</v>
      </c>
      <c r="P12" s="13">
        <f>SUBTOTAL(103,Apríl[14])</f>
        <v>0</v>
      </c>
      <c r="Q12" s="13">
        <f>SUBTOTAL(103,Apríl[15])</f>
        <v>0</v>
      </c>
      <c r="R12" s="13">
        <f>SUBTOTAL(103,Apríl[16])</f>
        <v>0</v>
      </c>
      <c r="S12" s="13">
        <f>SUBTOTAL(103,Apríl[17])</f>
        <v>0</v>
      </c>
      <c r="T12" s="13">
        <f>SUBTOTAL(103,Apríl[18])</f>
        <v>0</v>
      </c>
      <c r="U12" s="13">
        <f>SUBTOTAL(103,Apríl[19])</f>
        <v>0</v>
      </c>
      <c r="V12" s="13">
        <f>SUBTOTAL(103,Apríl[20])</f>
        <v>0</v>
      </c>
      <c r="W12" s="13">
        <f>SUBTOTAL(103,Apríl[21])</f>
        <v>0</v>
      </c>
      <c r="X12" s="13">
        <f>SUBTOTAL(103,Apríl[22])</f>
        <v>0</v>
      </c>
      <c r="Y12" s="13">
        <f>SUBTOTAL(103,Apríl[23])</f>
        <v>0</v>
      </c>
      <c r="Z12" s="13">
        <f>SUBTOTAL(103,Apríl[24])</f>
        <v>0</v>
      </c>
      <c r="AA12" s="13">
        <f>SUBTOTAL(103,Apríl[25])</f>
        <v>0</v>
      </c>
      <c r="AB12" s="13">
        <f>SUBTOTAL(103,Apríl[26])</f>
        <v>0</v>
      </c>
      <c r="AC12" s="13">
        <f>SUBTOTAL(103,Apríl[27])</f>
        <v>0</v>
      </c>
      <c r="AD12" s="13">
        <f>SUBTOTAL(103,Apríl[28])</f>
        <v>0</v>
      </c>
      <c r="AE12" s="13">
        <f>SUBTOTAL(103,Apríl[29])</f>
        <v>0</v>
      </c>
      <c r="AF12" s="13">
        <f>SUBTOTAL(103,Apríl[30])</f>
        <v>0</v>
      </c>
      <c r="AG12" s="13">
        <f>SUBTOTAL(103,Apríl[30])</f>
        <v>0</v>
      </c>
      <c r="AH12" s="13">
        <f>SUBTOTAL(109,Apríl[Celkový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44" priority="2" stopIfTrue="1">
      <formula>C7=KódVlastné2</formula>
    </cfRule>
    <cfRule type="expression" dxfId="43" priority="3" stopIfTrue="1">
      <formula>C7=KódVlastné1</formula>
    </cfRule>
    <cfRule type="expression" dxfId="42" priority="4" stopIfTrue="1">
      <formula>C7=KódPráceneschospnosť</formula>
    </cfRule>
    <cfRule type="expression" dxfId="41" priority="5" stopIfTrue="1">
      <formula>C7=KódOsobnéDôvody</formula>
    </cfRule>
    <cfRule type="expression" dxfId="40" priority="6" stopIfTrue="1">
      <formula>C7=KódDovolenka</formula>
    </cfRule>
  </conditionalFormatting>
  <conditionalFormatting sqref="AH7:AH11">
    <cfRule type="dataBar" priority="7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Automaticky aktualizovaný rok podľa roka zadaného v hárku Január" sqref="AH4" xr:uid="{00000000-0002-0000-0300-000000000000}"/>
    <dataValidation allowBlank="1" showInputMessage="1" showErrorMessage="1" prompt="V tomto stĺpci sa automaticky vypočíta celkový počet dní, kedy bol zamestnanec počas tohto mesiaca neprítomný" sqref="AH6" xr:uid="{00000000-0002-0000-0300-000001000000}"/>
    <dataValidation allowBlank="1" showInputMessage="1" showErrorMessage="1" prompt="Sledovanie absencií v apríli v tomto hárku" sqref="A1" xr:uid="{00000000-0002-0000-0300-000002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300-000003000000}"/>
    <dataValidation allowBlank="1" showInputMessage="1" showErrorMessage="1" prompt="V tejto bunke sa nachádza automaticky aktualizovaný nadpis. Ak chcete upraviť názov, aktualizujte bunku B1 v hárku Január" sqref="B1" xr:uid="{00000000-0002-0000-0300-000004000000}"/>
    <dataValidation allowBlank="1" showInputMessage="1" showErrorMessage="1" prompt="Písmeno D označuje absenciu z dôvodu dovolenky" sqref="C2" xr:uid="{FFFCF97B-CBF8-480A-989D-2A5D45EBE5A5}"/>
    <dataValidation allowBlank="1" showInputMessage="1" showErrorMessage="1" prompt="Písmeno O označuje absenciu z osobných dôvodov" sqref="G2" xr:uid="{9B87F7CD-36B9-4418-AA44-32143122CEEE}"/>
    <dataValidation allowBlank="1" showInputMessage="1" showErrorMessage="1" prompt="Písmeno P označuje absenciu z dôvodu choroby" sqref="L2" xr:uid="{AC4D1C65-74B0-4735-9048-3AEABD3C930C}"/>
    <dataValidation allowBlank="1" showInputMessage="1" showErrorMessage="1" prompt="Vpravo zadajte písmeno a prispôsobte označenie, čím pridáte ďalšiu položku kódu" sqref="O2 S2" xr:uid="{EB07249F-AB43-4486-B072-652D70E081EB}"/>
    <dataValidation allowBlank="1" showInputMessage="1" showErrorMessage="1" prompt="Vľavo zadajte označenie pre popis vlastného kódu" sqref="P2:R2 T2:V2" xr:uid="{A644F42C-CAD1-4C92-9527-A2E26894DC11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300-00000A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300-00000B000000}"/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300-00000C000000}"/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3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55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TEXT(WEEKDAY(DATE(KalendárnyRok,5,1),1),"aaa")</f>
        <v>st</v>
      </c>
      <c r="D5" s="2" t="str">
        <f>TEXT(WEEKDAY(DATE(KalendárnyRok,5,2),1),"aaa")</f>
        <v>št</v>
      </c>
      <c r="E5" s="2" t="str">
        <f>TEXT(WEEKDAY(DATE(KalendárnyRok,5,3),1),"aaa")</f>
        <v>pi</v>
      </c>
      <c r="F5" s="2" t="str">
        <f>TEXT(WEEKDAY(DATE(KalendárnyRok,5,4),1),"aaa")</f>
        <v>so</v>
      </c>
      <c r="G5" s="2" t="str">
        <f>TEXT(WEEKDAY(DATE(KalendárnyRok,5,5),1),"aaa")</f>
        <v>ne</v>
      </c>
      <c r="H5" s="2" t="str">
        <f>TEXT(WEEKDAY(DATE(KalendárnyRok,5,6),1),"aaa")</f>
        <v>po</v>
      </c>
      <c r="I5" s="2" t="str">
        <f>TEXT(WEEKDAY(DATE(KalendárnyRok,5,7),1),"aaa")</f>
        <v>ut</v>
      </c>
      <c r="J5" s="2" t="str">
        <f>TEXT(WEEKDAY(DATE(KalendárnyRok,5,8),1),"aaa")</f>
        <v>st</v>
      </c>
      <c r="K5" s="2" t="str">
        <f>TEXT(WEEKDAY(DATE(KalendárnyRok,5,9),1),"aaa")</f>
        <v>št</v>
      </c>
      <c r="L5" s="2" t="str">
        <f>TEXT(WEEKDAY(DATE(KalendárnyRok,5,10),1),"aaa")</f>
        <v>pi</v>
      </c>
      <c r="M5" s="2" t="str">
        <f>TEXT(WEEKDAY(DATE(KalendárnyRok,5,11),1),"aaa")</f>
        <v>so</v>
      </c>
      <c r="N5" s="2" t="str">
        <f>TEXT(WEEKDAY(DATE(KalendárnyRok,5,12),1),"aaa")</f>
        <v>ne</v>
      </c>
      <c r="O5" s="2" t="str">
        <f>TEXT(WEEKDAY(DATE(KalendárnyRok,5,13),1),"aaa")</f>
        <v>po</v>
      </c>
      <c r="P5" s="2" t="str">
        <f>TEXT(WEEKDAY(DATE(KalendárnyRok,5,14),1),"aaa")</f>
        <v>ut</v>
      </c>
      <c r="Q5" s="2" t="str">
        <f>TEXT(WEEKDAY(DATE(KalendárnyRok,5,15),1),"aaa")</f>
        <v>st</v>
      </c>
      <c r="R5" s="2" t="str">
        <f>TEXT(WEEKDAY(DATE(KalendárnyRok,5,16),1),"aaa")</f>
        <v>št</v>
      </c>
      <c r="S5" s="2" t="str">
        <f>TEXT(WEEKDAY(DATE(KalendárnyRok,5,17),1),"aaa")</f>
        <v>pi</v>
      </c>
      <c r="T5" s="2" t="str">
        <f>TEXT(WEEKDAY(DATE(KalendárnyRok,5,18),1),"aaa")</f>
        <v>so</v>
      </c>
      <c r="U5" s="2" t="str">
        <f>TEXT(WEEKDAY(DATE(KalendárnyRok,5,19),1),"aaa")</f>
        <v>ne</v>
      </c>
      <c r="V5" s="2" t="str">
        <f>TEXT(WEEKDAY(DATE(KalendárnyRok,5,20),1),"aaa")</f>
        <v>po</v>
      </c>
      <c r="W5" s="2" t="str">
        <f>TEXT(WEEKDAY(DATE(KalendárnyRok,5,21),1),"aaa")</f>
        <v>ut</v>
      </c>
      <c r="X5" s="2" t="str">
        <f>TEXT(WEEKDAY(DATE(KalendárnyRok,5,22),1),"aaa")</f>
        <v>st</v>
      </c>
      <c r="Y5" s="2" t="str">
        <f>TEXT(WEEKDAY(DATE(KalendárnyRok,5,23),1),"aaa")</f>
        <v>št</v>
      </c>
      <c r="Z5" s="2" t="str">
        <f>TEXT(WEEKDAY(DATE(KalendárnyRok,5,24),1),"aaa")</f>
        <v>pi</v>
      </c>
      <c r="AA5" s="2" t="str">
        <f>TEXT(WEEKDAY(DATE(KalendárnyRok,5,25),1),"aaa")</f>
        <v>so</v>
      </c>
      <c r="AB5" s="2" t="str">
        <f>TEXT(WEEKDAY(DATE(KalendárnyRok,5,26),1),"aaa")</f>
        <v>ne</v>
      </c>
      <c r="AC5" s="2" t="str">
        <f>TEXT(WEEKDAY(DATE(KalendárnyRok,5,27),1),"aaa")</f>
        <v>po</v>
      </c>
      <c r="AD5" s="2" t="str">
        <f>TEXT(WEEKDAY(DATE(KalendárnyRok,5,28),1),"aaa")</f>
        <v>ut</v>
      </c>
      <c r="AE5" s="2" t="str">
        <f>TEXT(WEEKDAY(DATE(KalendárnyRok,5,29),1),"aaa")</f>
        <v>st</v>
      </c>
      <c r="AF5" s="2" t="str">
        <f>TEXT(WEEKDAY(DATE(KalendárnyRok,5,30),1),"aaa")</f>
        <v>št</v>
      </c>
      <c r="AG5" s="2" t="str">
        <f>TEXT(WEEKDAY(DATE(KalendárnyRok,5,31),1),"aaa")</f>
        <v>pi</v>
      </c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COUNTA(Máj[[#This Row],[1]:[31]])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COUNTA(Máj[[#This Row],[1]:[31]])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COUNTA(Máj[[#This Row],[1]:[31]])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COUNTA(Máj[[#This Row],[1]:[31]])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COUNTA(Máj[[#This Row],[1]:[31]])</f>
        <v>0</v>
      </c>
    </row>
    <row r="12" spans="2:34" ht="30" customHeight="1" x14ac:dyDescent="0.25">
      <c r="B12" s="21" t="str">
        <f>NázovMesiaca&amp;" Spolu"</f>
        <v>Máj Spolu</v>
      </c>
      <c r="C12" s="13">
        <f>SUBTOTAL(103,Máj[1])</f>
        <v>0</v>
      </c>
      <c r="D12" s="13">
        <f>SUBTOTAL(103,Máj[2])</f>
        <v>0</v>
      </c>
      <c r="E12" s="13">
        <f>SUBTOTAL(103,Máj[3])</f>
        <v>0</v>
      </c>
      <c r="F12" s="13">
        <f>SUBTOTAL(103,Máj[4])</f>
        <v>0</v>
      </c>
      <c r="G12" s="13">
        <f>SUBTOTAL(103,Máj[5])</f>
        <v>0</v>
      </c>
      <c r="H12" s="13">
        <f>SUBTOTAL(103,Máj[6])</f>
        <v>0</v>
      </c>
      <c r="I12" s="13">
        <f>SUBTOTAL(103,Máj[7])</f>
        <v>0</v>
      </c>
      <c r="J12" s="13">
        <f>SUBTOTAL(103,Máj[8])</f>
        <v>0</v>
      </c>
      <c r="K12" s="13">
        <f>SUBTOTAL(103,Máj[9])</f>
        <v>0</v>
      </c>
      <c r="L12" s="13">
        <f>SUBTOTAL(103,Máj[10])</f>
        <v>0</v>
      </c>
      <c r="M12" s="13">
        <f>SUBTOTAL(103,Máj[11])</f>
        <v>0</v>
      </c>
      <c r="N12" s="13">
        <f>SUBTOTAL(103,Máj[12])</f>
        <v>0</v>
      </c>
      <c r="O12" s="13">
        <f>SUBTOTAL(103,Máj[13])</f>
        <v>0</v>
      </c>
      <c r="P12" s="13">
        <f>SUBTOTAL(103,Máj[14])</f>
        <v>0</v>
      </c>
      <c r="Q12" s="13">
        <f>SUBTOTAL(103,Máj[15])</f>
        <v>0</v>
      </c>
      <c r="R12" s="13">
        <f>SUBTOTAL(103,Máj[16])</f>
        <v>0</v>
      </c>
      <c r="S12" s="13">
        <f>SUBTOTAL(103,Máj[17])</f>
        <v>0</v>
      </c>
      <c r="T12" s="13">
        <f>SUBTOTAL(103,Máj[18])</f>
        <v>0</v>
      </c>
      <c r="U12" s="13">
        <f>SUBTOTAL(103,Máj[19])</f>
        <v>0</v>
      </c>
      <c r="V12" s="13">
        <f>SUBTOTAL(103,Máj[20])</f>
        <v>0</v>
      </c>
      <c r="W12" s="13">
        <f>SUBTOTAL(103,Máj[21])</f>
        <v>0</v>
      </c>
      <c r="X12" s="13">
        <f>SUBTOTAL(103,Máj[22])</f>
        <v>0</v>
      </c>
      <c r="Y12" s="13">
        <f>SUBTOTAL(103,Máj[23])</f>
        <v>0</v>
      </c>
      <c r="Z12" s="13">
        <f>SUBTOTAL(103,Máj[24])</f>
        <v>0</v>
      </c>
      <c r="AA12" s="13">
        <f>SUBTOTAL(103,Máj[25])</f>
        <v>0</v>
      </c>
      <c r="AB12" s="13">
        <f>SUBTOTAL(103,Máj[26])</f>
        <v>0</v>
      </c>
      <c r="AC12" s="13">
        <f>SUBTOTAL(103,Máj[27])</f>
        <v>0</v>
      </c>
      <c r="AD12" s="13">
        <f>SUBTOTAL(103,Máj[28])</f>
        <v>0</v>
      </c>
      <c r="AE12" s="13">
        <f>SUBTOTAL(103,Máj[29])</f>
        <v>0</v>
      </c>
      <c r="AF12" s="13">
        <f>SUBTOTAL(103,Máj[30])</f>
        <v>0</v>
      </c>
      <c r="AG12" s="13">
        <f>SUBTOTAL(103,Máj[31])</f>
        <v>0</v>
      </c>
      <c r="AH12" s="13">
        <f>SUBTOTAL(109,Máj[Celkový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39" priority="2" stopIfTrue="1">
      <formula>C7=KódVlastné2</formula>
    </cfRule>
    <cfRule type="expression" dxfId="38" priority="3" stopIfTrue="1">
      <formula>C7=KódVlastné1</formula>
    </cfRule>
    <cfRule type="expression" dxfId="37" priority="4" stopIfTrue="1">
      <formula>C7=KódPráceneschospnosť</formula>
    </cfRule>
    <cfRule type="expression" dxfId="36" priority="5" stopIfTrue="1">
      <formula>C7=KódOsobnéDôvody</formula>
    </cfRule>
    <cfRule type="expression" dxfId="35" priority="6" stopIfTrue="1">
      <formula>C7=KódDovolenka</formula>
    </cfRule>
  </conditionalFormatting>
  <conditionalFormatting sqref="AH7:AH11">
    <cfRule type="dataBar" priority="7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400-000000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400-000001000000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400-000002000000}"/>
    <dataValidation allowBlank="1" showInputMessage="1" showErrorMessage="1" prompt="Vľavo zadajte označenie pre popis vlastného kódu" sqref="P2:R2 T2:V2" xr:uid="{77812AE6-4740-4961-AB68-E6C48614CAF9}"/>
    <dataValidation allowBlank="1" showInputMessage="1" showErrorMessage="1" prompt="Vpravo zadajte písmeno a prispôsobte označenie, čím pridáte ďalšiu položku kódu" sqref="O2 S2" xr:uid="{117313A1-5106-461A-9DF2-7774BB2E1042}"/>
    <dataValidation allowBlank="1" showInputMessage="1" showErrorMessage="1" prompt="Písmeno P označuje absenciu z dôvodu choroby" sqref="L2" xr:uid="{CB1FA5EA-B9AC-4D09-9E44-EC93F5B7A7B2}"/>
    <dataValidation allowBlank="1" showInputMessage="1" showErrorMessage="1" prompt="Písmeno O označuje absenciu z osobných dôvodov" sqref="G2" xr:uid="{7DB583D8-3A20-470F-A7F6-C26A67A5B8EB}"/>
    <dataValidation allowBlank="1" showInputMessage="1" showErrorMessage="1" prompt="Písmeno D označuje absenciu z dôvodu dovolenky" sqref="C2" xr:uid="{6E42EBA5-2964-4413-911C-BE8F6158FA4F}"/>
    <dataValidation allowBlank="1" showInputMessage="1" showErrorMessage="1" prompt="V tejto bunke sa nachádza automaticky aktualizovaný nadpis. Ak chcete upraviť názov, aktualizujte bunku B1 v hárku Január" sqref="B1" xr:uid="{00000000-0002-0000-0400-000008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400-000009000000}"/>
    <dataValidation allowBlank="1" showInputMessage="1" showErrorMessage="1" prompt="Sledovanie absencií v máji v tomto hárku" sqref="A1" xr:uid="{00000000-0002-0000-0400-00000A000000}"/>
    <dataValidation allowBlank="1" showInputMessage="1" showErrorMessage="1" prompt="V tomto stĺpci sa automaticky vypočíta celkový počet dní, kedy bol zamestnanec počas tohto mesiaca neprítomný" sqref="AH6" xr:uid="{00000000-0002-0000-0400-00000B000000}"/>
    <dataValidation allowBlank="1" showInputMessage="1" showErrorMessage="1" prompt="Automaticky aktualizovaný rok podľa roka zadaného v hárku Január" sqref="AH4" xr:uid="{00000000-0002-0000-0400-00000C000000}"/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4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56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TEXT(WEEKDAY(DATE(KalendárnyRok,6,1),1),"aaa")</f>
        <v>so</v>
      </c>
      <c r="D5" s="2" t="str">
        <f>TEXT(WEEKDAY(DATE(KalendárnyRok,6,2),1),"aaa")</f>
        <v>ne</v>
      </c>
      <c r="E5" s="2" t="str">
        <f>TEXT(WEEKDAY(DATE(KalendárnyRok,6,3),1),"aaa")</f>
        <v>po</v>
      </c>
      <c r="F5" s="2" t="str">
        <f>TEXT(WEEKDAY(DATE(KalendárnyRok,6,4),1),"aaa")</f>
        <v>ut</v>
      </c>
      <c r="G5" s="2" t="str">
        <f>TEXT(WEEKDAY(DATE(KalendárnyRok,6,5),1),"aaa")</f>
        <v>st</v>
      </c>
      <c r="H5" s="2" t="str">
        <f>TEXT(WEEKDAY(DATE(KalendárnyRok,6,6),1),"aaa")</f>
        <v>št</v>
      </c>
      <c r="I5" s="2" t="str">
        <f>TEXT(WEEKDAY(DATE(KalendárnyRok,6,7),1),"aaa")</f>
        <v>pi</v>
      </c>
      <c r="J5" s="2" t="str">
        <f>TEXT(WEEKDAY(DATE(KalendárnyRok,6,8),1),"aaa")</f>
        <v>so</v>
      </c>
      <c r="K5" s="2" t="str">
        <f>TEXT(WEEKDAY(DATE(KalendárnyRok,6,9),1),"aaa")</f>
        <v>ne</v>
      </c>
      <c r="L5" s="2" t="str">
        <f>TEXT(WEEKDAY(DATE(KalendárnyRok,6,10),1),"aaa")</f>
        <v>po</v>
      </c>
      <c r="M5" s="2" t="str">
        <f>TEXT(WEEKDAY(DATE(KalendárnyRok,6,11),1),"aaa")</f>
        <v>ut</v>
      </c>
      <c r="N5" s="2" t="str">
        <f>TEXT(WEEKDAY(DATE(KalendárnyRok,6,12),1),"aaa")</f>
        <v>st</v>
      </c>
      <c r="O5" s="2" t="str">
        <f>TEXT(WEEKDAY(DATE(KalendárnyRok,6,13),1),"aaa")</f>
        <v>št</v>
      </c>
      <c r="P5" s="2" t="str">
        <f>TEXT(WEEKDAY(DATE(KalendárnyRok,6,14),1),"aaa")</f>
        <v>pi</v>
      </c>
      <c r="Q5" s="2" t="str">
        <f>TEXT(WEEKDAY(DATE(KalendárnyRok,6,15),1),"aaa")</f>
        <v>so</v>
      </c>
      <c r="R5" s="2" t="str">
        <f>TEXT(WEEKDAY(DATE(KalendárnyRok,6,16),1),"aaa")</f>
        <v>ne</v>
      </c>
      <c r="S5" s="2" t="str">
        <f>TEXT(WEEKDAY(DATE(KalendárnyRok,6,17),1),"aaa")</f>
        <v>po</v>
      </c>
      <c r="T5" s="2" t="str">
        <f>TEXT(WEEKDAY(DATE(KalendárnyRok,6,18),1),"aaa")</f>
        <v>ut</v>
      </c>
      <c r="U5" s="2" t="str">
        <f>TEXT(WEEKDAY(DATE(KalendárnyRok,6,19),1),"aaa")</f>
        <v>st</v>
      </c>
      <c r="V5" s="2" t="str">
        <f>TEXT(WEEKDAY(DATE(KalendárnyRok,6,20),1),"aaa")</f>
        <v>št</v>
      </c>
      <c r="W5" s="2" t="str">
        <f>TEXT(WEEKDAY(DATE(KalendárnyRok,6,21),1),"aaa")</f>
        <v>pi</v>
      </c>
      <c r="X5" s="2" t="str">
        <f>TEXT(WEEKDAY(DATE(KalendárnyRok,6,22),1),"aaa")</f>
        <v>so</v>
      </c>
      <c r="Y5" s="2" t="str">
        <f>TEXT(WEEKDAY(DATE(KalendárnyRok,6,23),1),"aaa")</f>
        <v>ne</v>
      </c>
      <c r="Z5" s="2" t="str">
        <f>TEXT(WEEKDAY(DATE(KalendárnyRok,6,24),1),"aaa")</f>
        <v>po</v>
      </c>
      <c r="AA5" s="2" t="str">
        <f>TEXT(WEEKDAY(DATE(KalendárnyRok,6,25),1),"aaa")</f>
        <v>ut</v>
      </c>
      <c r="AB5" s="2" t="str">
        <f>TEXT(WEEKDAY(DATE(KalendárnyRok,6,26),1),"aaa")</f>
        <v>st</v>
      </c>
      <c r="AC5" s="2" t="str">
        <f>TEXT(WEEKDAY(DATE(KalendárnyRok,6,27),1),"aaa")</f>
        <v>št</v>
      </c>
      <c r="AD5" s="2" t="str">
        <f>TEXT(WEEKDAY(DATE(KalendárnyRok,6,28),1),"aaa")</f>
        <v>pi</v>
      </c>
      <c r="AE5" s="2" t="str">
        <f>TEXT(WEEKDAY(DATE(KalendárnyRok,6,29),1),"aaa")</f>
        <v>so</v>
      </c>
      <c r="AF5" s="2" t="str">
        <f>TEXT(WEEKDAY(DATE(KalendárnyRok,6,30),1),"aaa")</f>
        <v>ne</v>
      </c>
      <c r="AG5" s="2"/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COUNTA(Jún[[#This Row],[1]:[30]])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COUNTA(Jún[[#This Row],[1]:[30]])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COUNTA(Jún[[#This Row],[1]:[30]])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COUNTA(Jún[[#This Row],[1]:[30]])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COUNTA(Jún[[#This Row],[1]:[30]])</f>
        <v>0</v>
      </c>
    </row>
    <row r="12" spans="2:34" ht="30" customHeight="1" x14ac:dyDescent="0.25">
      <c r="B12" s="21" t="str">
        <f>NázovMesiaca&amp;" Spolu"</f>
        <v>Jún Spolu</v>
      </c>
      <c r="C12" s="13">
        <f>SUBTOTAL(103,Jún[1])</f>
        <v>0</v>
      </c>
      <c r="D12" s="13">
        <f>SUBTOTAL(103,Jún[2])</f>
        <v>0</v>
      </c>
      <c r="E12" s="13">
        <f>SUBTOTAL(103,Jún[3])</f>
        <v>0</v>
      </c>
      <c r="F12" s="13">
        <f>SUBTOTAL(103,Jún[4])</f>
        <v>0</v>
      </c>
      <c r="G12" s="13">
        <f>SUBTOTAL(103,Jún[5])</f>
        <v>0</v>
      </c>
      <c r="H12" s="13">
        <f>SUBTOTAL(103,Jún[6])</f>
        <v>0</v>
      </c>
      <c r="I12" s="13">
        <f>SUBTOTAL(103,Jún[7])</f>
        <v>0</v>
      </c>
      <c r="J12" s="13">
        <f>SUBTOTAL(103,Jún[8])</f>
        <v>0</v>
      </c>
      <c r="K12" s="13">
        <f>SUBTOTAL(103,Jún[9])</f>
        <v>0</v>
      </c>
      <c r="L12" s="13">
        <f>SUBTOTAL(103,Jún[10])</f>
        <v>0</v>
      </c>
      <c r="M12" s="13">
        <f>SUBTOTAL(103,Jún[11])</f>
        <v>0</v>
      </c>
      <c r="N12" s="13">
        <f>SUBTOTAL(103,Jún[12])</f>
        <v>0</v>
      </c>
      <c r="O12" s="13">
        <f>SUBTOTAL(103,Jún[13])</f>
        <v>0</v>
      </c>
      <c r="P12" s="13">
        <f>SUBTOTAL(103,Jún[14])</f>
        <v>0</v>
      </c>
      <c r="Q12" s="13">
        <f>SUBTOTAL(103,Jún[15])</f>
        <v>0</v>
      </c>
      <c r="R12" s="13">
        <f>SUBTOTAL(103,Jún[16])</f>
        <v>0</v>
      </c>
      <c r="S12" s="13">
        <f>SUBTOTAL(103,Jún[17])</f>
        <v>0</v>
      </c>
      <c r="T12" s="13">
        <f>SUBTOTAL(103,Jún[18])</f>
        <v>0</v>
      </c>
      <c r="U12" s="13">
        <f>SUBTOTAL(103,Jún[19])</f>
        <v>0</v>
      </c>
      <c r="V12" s="13">
        <f>SUBTOTAL(103,Jún[20])</f>
        <v>0</v>
      </c>
      <c r="W12" s="13">
        <f>SUBTOTAL(103,Jún[21])</f>
        <v>0</v>
      </c>
      <c r="X12" s="13">
        <f>SUBTOTAL(103,Jún[22])</f>
        <v>0</v>
      </c>
      <c r="Y12" s="13">
        <f>SUBTOTAL(103,Jún[23])</f>
        <v>0</v>
      </c>
      <c r="Z12" s="13">
        <f>SUBTOTAL(103,Jún[24])</f>
        <v>0</v>
      </c>
      <c r="AA12" s="13">
        <f>SUBTOTAL(103,Jún[25])</f>
        <v>0</v>
      </c>
      <c r="AB12" s="13">
        <f>SUBTOTAL(103,Jún[26])</f>
        <v>0</v>
      </c>
      <c r="AC12" s="13">
        <f>SUBTOTAL(103,Jún[27])</f>
        <v>0</v>
      </c>
      <c r="AD12" s="13">
        <f>SUBTOTAL(103,Jún[28])</f>
        <v>0</v>
      </c>
      <c r="AE12" s="13">
        <f>SUBTOTAL(103,Jún[29])</f>
        <v>0</v>
      </c>
      <c r="AF12" s="13">
        <f>SUBTOTAL(103,Jún[30])</f>
        <v>0</v>
      </c>
      <c r="AG12" s="13">
        <f>SUBTOTAL(103,Jún[[ ]])</f>
        <v>0</v>
      </c>
      <c r="AH12" s="13">
        <f>SUBTOTAL(109,Jún[Celkový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34" priority="2" stopIfTrue="1">
      <formula>C7=KódVlastné2</formula>
    </cfRule>
    <cfRule type="expression" dxfId="33" priority="3" stopIfTrue="1">
      <formula>C7=KódVlastné1</formula>
    </cfRule>
    <cfRule type="expression" dxfId="32" priority="4" stopIfTrue="1">
      <formula>C7=KódPráceneschospnosť</formula>
    </cfRule>
    <cfRule type="expression" dxfId="31" priority="5" stopIfTrue="1">
      <formula>C7=KódOsobnéDôvody</formula>
    </cfRule>
    <cfRule type="expression" dxfId="30" priority="6" stopIfTrue="1">
      <formula>C7=KódDovolenka</formula>
    </cfRule>
  </conditionalFormatting>
  <conditionalFormatting sqref="AH7:AH11">
    <cfRule type="dataBar" priority="7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500-000000000000}"/>
    <dataValidation allowBlank="1" showInputMessage="1" showErrorMessage="1" prompt="Automaticky aktualizovaný rok podľa roka zadaného v hárku Január" sqref="AH4" xr:uid="{00000000-0002-0000-0500-000001000000}"/>
    <dataValidation allowBlank="1" showInputMessage="1" showErrorMessage="1" prompt="V tomto stĺpci sa automaticky vypočíta celkový počet dní, kedy bol zamestnanec počas tohto mesiaca neprítomný" sqref="AH6" xr:uid="{00000000-0002-0000-0500-000002000000}"/>
    <dataValidation allowBlank="1" showInputMessage="1" showErrorMessage="1" prompt="Sledovanie absencií v júni v tomto hárku" sqref="A1" xr:uid="{00000000-0002-0000-0500-000003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500-000004000000}"/>
    <dataValidation allowBlank="1" showInputMessage="1" showErrorMessage="1" prompt="V tejto bunke sa nachádza automaticky aktualizovaný nadpis. Ak chcete upraviť názov, aktualizujte bunku B1 v hárku Január" sqref="B1" xr:uid="{00000000-0002-0000-0500-000005000000}"/>
    <dataValidation allowBlank="1" showInputMessage="1" showErrorMessage="1" prompt="Písmeno D označuje absenciu z dôvodu dovolenky" sqref="C2" xr:uid="{032E7595-F649-4A2B-8DC2-4D03EA251E99}"/>
    <dataValidation allowBlank="1" showInputMessage="1" showErrorMessage="1" prompt="Písmeno O označuje absenciu z osobných dôvodov" sqref="G2" xr:uid="{EFB9F9D3-439E-4F43-BEEB-04921E035ABF}"/>
    <dataValidation allowBlank="1" showInputMessage="1" showErrorMessage="1" prompt="Písmeno P označuje absenciu z dôvodu choroby" sqref="L2" xr:uid="{D3110FA0-1C58-471A-BE52-5E878E2F5285}"/>
    <dataValidation allowBlank="1" showInputMessage="1" showErrorMessage="1" prompt="Vpravo zadajte písmeno a prispôsobte označenie, čím pridáte ďalšiu položku kódu" sqref="O2 S2" xr:uid="{5066BC9B-676F-42C8-971A-8589599B92C6}"/>
    <dataValidation allowBlank="1" showInputMessage="1" showErrorMessage="1" prompt="Vľavo zadajte označenie pre popis vlastného kódu" sqref="P2:R2 T2:V2" xr:uid="{DB9234BB-03D1-46A2-86ED-B58F6A05245A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500-00000B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500-00000C000000}"/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5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57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TEXT(WEEKDAY(DATE(KalendárnyRok,7,1),1),"aaa")</f>
        <v>po</v>
      </c>
      <c r="D5" s="2" t="str">
        <f>TEXT(WEEKDAY(DATE(KalendárnyRok,7,2),1),"aaa")</f>
        <v>ut</v>
      </c>
      <c r="E5" s="2" t="str">
        <f>TEXT(WEEKDAY(DATE(KalendárnyRok,7,3),1),"aaa")</f>
        <v>st</v>
      </c>
      <c r="F5" s="2" t="str">
        <f>TEXT(WEEKDAY(DATE(KalendárnyRok,7,4),1),"aaa")</f>
        <v>št</v>
      </c>
      <c r="G5" s="2" t="str">
        <f>TEXT(WEEKDAY(DATE(KalendárnyRok,7,5),1),"aaa")</f>
        <v>pi</v>
      </c>
      <c r="H5" s="2" t="str">
        <f>TEXT(WEEKDAY(DATE(KalendárnyRok,7,6),1),"aaa")</f>
        <v>so</v>
      </c>
      <c r="I5" s="2" t="str">
        <f>TEXT(WEEKDAY(DATE(KalendárnyRok,7,7),1),"aaa")</f>
        <v>ne</v>
      </c>
      <c r="J5" s="2" t="str">
        <f>TEXT(WEEKDAY(DATE(KalendárnyRok,7,8),1),"aaa")</f>
        <v>po</v>
      </c>
      <c r="K5" s="2" t="str">
        <f>TEXT(WEEKDAY(DATE(KalendárnyRok,7,9),1),"aaa")</f>
        <v>ut</v>
      </c>
      <c r="L5" s="2" t="str">
        <f>TEXT(WEEKDAY(DATE(KalendárnyRok,7,10),1),"aaa")</f>
        <v>st</v>
      </c>
      <c r="M5" s="2" t="str">
        <f>TEXT(WEEKDAY(DATE(KalendárnyRok,7,11),1),"aaa")</f>
        <v>št</v>
      </c>
      <c r="N5" s="2" t="str">
        <f>TEXT(WEEKDAY(DATE(KalendárnyRok,7,12),1),"aaa")</f>
        <v>pi</v>
      </c>
      <c r="O5" s="2" t="str">
        <f>TEXT(WEEKDAY(DATE(KalendárnyRok,7,13),1),"aaa")</f>
        <v>so</v>
      </c>
      <c r="P5" s="2" t="str">
        <f>TEXT(WEEKDAY(DATE(KalendárnyRok,7,14),1),"aaa")</f>
        <v>ne</v>
      </c>
      <c r="Q5" s="2" t="str">
        <f>TEXT(WEEKDAY(DATE(KalendárnyRok,7,15),1),"aaa")</f>
        <v>po</v>
      </c>
      <c r="R5" s="2" t="str">
        <f>TEXT(WEEKDAY(DATE(KalendárnyRok,7,16),1),"aaa")</f>
        <v>ut</v>
      </c>
      <c r="S5" s="2" t="str">
        <f>TEXT(WEEKDAY(DATE(KalendárnyRok,7,17),1),"aaa")</f>
        <v>st</v>
      </c>
      <c r="T5" s="2" t="str">
        <f>TEXT(WEEKDAY(DATE(KalendárnyRok,7,18),1),"aaa")</f>
        <v>št</v>
      </c>
      <c r="U5" s="2" t="str">
        <f>TEXT(WEEKDAY(DATE(KalendárnyRok,7,19),1),"aaa")</f>
        <v>pi</v>
      </c>
      <c r="V5" s="2" t="str">
        <f>TEXT(WEEKDAY(DATE(KalendárnyRok,7,20),1),"aaa")</f>
        <v>so</v>
      </c>
      <c r="W5" s="2" t="str">
        <f>TEXT(WEEKDAY(DATE(KalendárnyRok,7,21),1),"aaa")</f>
        <v>ne</v>
      </c>
      <c r="X5" s="2" t="str">
        <f>TEXT(WEEKDAY(DATE(KalendárnyRok,7,22),1),"aaa")</f>
        <v>po</v>
      </c>
      <c r="Y5" s="2" t="str">
        <f>TEXT(WEEKDAY(DATE(KalendárnyRok,7,23),1),"aaa")</f>
        <v>ut</v>
      </c>
      <c r="Z5" s="2" t="str">
        <f>TEXT(WEEKDAY(DATE(KalendárnyRok,7,24),1),"aaa")</f>
        <v>st</v>
      </c>
      <c r="AA5" s="2" t="str">
        <f>TEXT(WEEKDAY(DATE(KalendárnyRok,7,25),1),"aaa")</f>
        <v>št</v>
      </c>
      <c r="AB5" s="2" t="str">
        <f>TEXT(WEEKDAY(DATE(KalendárnyRok,7,26),1),"aaa")</f>
        <v>pi</v>
      </c>
      <c r="AC5" s="2" t="str">
        <f>TEXT(WEEKDAY(DATE(KalendárnyRok,7,27),1),"aaa")</f>
        <v>so</v>
      </c>
      <c r="AD5" s="2" t="str">
        <f>TEXT(WEEKDAY(DATE(KalendárnyRok,7,28),1),"aaa")</f>
        <v>ne</v>
      </c>
      <c r="AE5" s="2" t="str">
        <f>TEXT(WEEKDAY(DATE(KalendárnyRok,7,29),1),"aaa")</f>
        <v>po</v>
      </c>
      <c r="AF5" s="2" t="str">
        <f>TEXT(WEEKDAY(DATE(KalendárnyRok,7,30),1),"aaa")</f>
        <v>ut</v>
      </c>
      <c r="AG5" s="2" t="str">
        <f>TEXT(WEEKDAY(DATE(KalendárnyRok,7,31),1),"aaa")</f>
        <v>st</v>
      </c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COUNTA(Júl[[#This Row],[1]:[31]])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COUNTA(Júl[[#This Row],[1]:[31]])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COUNTA(Júl[[#This Row],[1]:[31]])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COUNTA(Júl[[#This Row],[1]:[31]])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COUNTA(Júl[[#This Row],[1]:[31]])</f>
        <v>0</v>
      </c>
    </row>
    <row r="12" spans="2:34" ht="30" customHeight="1" x14ac:dyDescent="0.25">
      <c r="B12" s="21" t="str">
        <f>NázovMesiaca&amp;" Spolu"</f>
        <v>Júl Spolu</v>
      </c>
      <c r="C12" s="13">
        <f>SUBTOTAL(103,Júl[1])</f>
        <v>0</v>
      </c>
      <c r="D12" s="13">
        <f>SUBTOTAL(103,Júl[2])</f>
        <v>0</v>
      </c>
      <c r="E12" s="13">
        <f>SUBTOTAL(103,Júl[3])</f>
        <v>0</v>
      </c>
      <c r="F12" s="13">
        <f>SUBTOTAL(103,Júl[4])</f>
        <v>0</v>
      </c>
      <c r="G12" s="13">
        <f>SUBTOTAL(103,Júl[5])</f>
        <v>0</v>
      </c>
      <c r="H12" s="13">
        <f>SUBTOTAL(103,Júl[6])</f>
        <v>0</v>
      </c>
      <c r="I12" s="13">
        <f>SUBTOTAL(103,Júl[7])</f>
        <v>0</v>
      </c>
      <c r="J12" s="13">
        <f>SUBTOTAL(103,Júl[8])</f>
        <v>0</v>
      </c>
      <c r="K12" s="13">
        <f>SUBTOTAL(103,Júl[9])</f>
        <v>0</v>
      </c>
      <c r="L12" s="13">
        <f>SUBTOTAL(103,Júl[10])</f>
        <v>0</v>
      </c>
      <c r="M12" s="13">
        <f>SUBTOTAL(103,Júl[11])</f>
        <v>0</v>
      </c>
      <c r="N12" s="13">
        <f>SUBTOTAL(103,Júl[12])</f>
        <v>0</v>
      </c>
      <c r="O12" s="13">
        <f>SUBTOTAL(103,Júl[13])</f>
        <v>0</v>
      </c>
      <c r="P12" s="13">
        <f>SUBTOTAL(103,Júl[14])</f>
        <v>0</v>
      </c>
      <c r="Q12" s="13">
        <f>SUBTOTAL(103,Júl[15])</f>
        <v>0</v>
      </c>
      <c r="R12" s="13">
        <f>SUBTOTAL(103,Júl[16])</f>
        <v>0</v>
      </c>
      <c r="S12" s="13">
        <f>SUBTOTAL(103,Júl[17])</f>
        <v>0</v>
      </c>
      <c r="T12" s="13">
        <f>SUBTOTAL(103,Júl[18])</f>
        <v>0</v>
      </c>
      <c r="U12" s="13">
        <f>SUBTOTAL(103,Júl[19])</f>
        <v>0</v>
      </c>
      <c r="V12" s="13">
        <f>SUBTOTAL(103,Júl[20])</f>
        <v>0</v>
      </c>
      <c r="W12" s="13">
        <f>SUBTOTAL(103,Júl[21])</f>
        <v>0</v>
      </c>
      <c r="X12" s="13">
        <f>SUBTOTAL(103,Júl[22])</f>
        <v>0</v>
      </c>
      <c r="Y12" s="13">
        <f>SUBTOTAL(103,Júl[23])</f>
        <v>0</v>
      </c>
      <c r="Z12" s="13">
        <f>SUBTOTAL(103,Júl[24])</f>
        <v>0</v>
      </c>
      <c r="AA12" s="13">
        <f>SUBTOTAL(103,Júl[25])</f>
        <v>0</v>
      </c>
      <c r="AB12" s="13">
        <f>SUBTOTAL(103,Júl[26])</f>
        <v>0</v>
      </c>
      <c r="AC12" s="13">
        <f>SUBTOTAL(103,Júl[27])</f>
        <v>0</v>
      </c>
      <c r="AD12" s="13">
        <f>SUBTOTAL(103,Júl[28])</f>
        <v>0</v>
      </c>
      <c r="AE12" s="13">
        <f>SUBTOTAL(103,Júl[29])</f>
        <v>0</v>
      </c>
      <c r="AF12" s="13">
        <f>SUBTOTAL(103,Júl[30])</f>
        <v>0</v>
      </c>
      <c r="AG12" s="13">
        <f>SUBTOTAL(103,Júl[31])</f>
        <v>0</v>
      </c>
      <c r="AH12" s="13">
        <f>SUBTOTAL(109,Júl[Celkový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29" priority="2" stopIfTrue="1">
      <formula>C7=KódVlastné2</formula>
    </cfRule>
    <cfRule type="expression" dxfId="28" priority="3" stopIfTrue="1">
      <formula>C7=KódVlastné1</formula>
    </cfRule>
    <cfRule type="expression" dxfId="27" priority="4" stopIfTrue="1">
      <formula>C7=KódPráceneschospnosť</formula>
    </cfRule>
    <cfRule type="expression" dxfId="26" priority="5" stopIfTrue="1">
      <formula>C7=KódOsobnéDôvody</formula>
    </cfRule>
    <cfRule type="expression" dxfId="25" priority="6" stopIfTrue="1">
      <formula>C7=KódDovolenka</formula>
    </cfRule>
  </conditionalFormatting>
  <conditionalFormatting sqref="AH7:AH11">
    <cfRule type="dataBar" priority="7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600-000000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600-000001000000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600-000002000000}"/>
    <dataValidation allowBlank="1" showInputMessage="1" showErrorMessage="1" prompt="Vľavo zadajte označenie pre popis vlastného kódu" sqref="P2:R2 T2:V2" xr:uid="{AD48A542-955A-4531-91F2-79A7273D20F2}"/>
    <dataValidation allowBlank="1" showInputMessage="1" showErrorMessage="1" prompt="Vpravo zadajte písmeno a prispôsobte označenie, čím pridáte ďalšiu položku kódu" sqref="O2 S2" xr:uid="{977E33AB-D035-4DAA-BCB1-C3403929B02E}"/>
    <dataValidation allowBlank="1" showInputMessage="1" showErrorMessage="1" prompt="Písmeno P označuje absenciu z dôvodu choroby" sqref="L2" xr:uid="{794DFB8D-E4E3-4C37-BBEB-B67CE24CF844}"/>
    <dataValidation allowBlank="1" showInputMessage="1" showErrorMessage="1" prompt="Písmeno O označuje absenciu z osobných dôvodov" sqref="G2" xr:uid="{1BC05CBC-98CB-410F-8CCB-2BF0F18BA7C3}"/>
    <dataValidation allowBlank="1" showInputMessage="1" showErrorMessage="1" prompt="Písmeno D označuje absenciu z dôvodu dovolenky" sqref="C2" xr:uid="{4597E7F8-1DCE-4F6D-AA88-B0644A66CD84}"/>
    <dataValidation allowBlank="1" showInputMessage="1" showErrorMessage="1" prompt="V tejto bunke sa nachádza automaticky aktualizovaný nadpis. Ak chcete upraviť názov, aktualizujte bunku B1 v hárku Január" sqref="B1" xr:uid="{00000000-0002-0000-0600-000008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600-000009000000}"/>
    <dataValidation allowBlank="1" showInputMessage="1" showErrorMessage="1" prompt="Sledovanie absencií v júli v tomto hárku" sqref="A1" xr:uid="{00000000-0002-0000-0600-00000A000000}"/>
    <dataValidation allowBlank="1" showInputMessage="1" showErrorMessage="1" prompt="V tomto stĺpci sa automaticky vypočíta celkový počet dní, kedy bol zamestnanec počas tohto mesiaca neprítomný" sqref="AH6" xr:uid="{00000000-0002-0000-0600-00000B000000}"/>
    <dataValidation allowBlank="1" showInputMessage="1" showErrorMessage="1" prompt="Automaticky aktualizovaný rok podľa roka zadaného v hárku Január" sqref="AH4" xr:uid="{00000000-0002-0000-0600-00000C000000}"/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6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58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TEXT(WEEKDAY(DATE(KalendárnyRok,8,1),1),"aaa")</f>
        <v>št</v>
      </c>
      <c r="D5" s="2" t="str">
        <f>TEXT(WEEKDAY(DATE(KalendárnyRok,8,2),1),"aaa")</f>
        <v>pi</v>
      </c>
      <c r="E5" s="2" t="str">
        <f>TEXT(WEEKDAY(DATE(KalendárnyRok,8,3),1),"aaa")</f>
        <v>so</v>
      </c>
      <c r="F5" s="2" t="str">
        <f>TEXT(WEEKDAY(DATE(KalendárnyRok,8,4),1),"aaa")</f>
        <v>ne</v>
      </c>
      <c r="G5" s="2" t="str">
        <f>TEXT(WEEKDAY(DATE(KalendárnyRok,8,5),1),"aaa")</f>
        <v>po</v>
      </c>
      <c r="H5" s="2" t="str">
        <f>TEXT(WEEKDAY(DATE(KalendárnyRok,8,6),1),"aaa")</f>
        <v>ut</v>
      </c>
      <c r="I5" s="2" t="str">
        <f>TEXT(WEEKDAY(DATE(KalendárnyRok,8,7),1),"aaa")</f>
        <v>st</v>
      </c>
      <c r="J5" s="2" t="str">
        <f>TEXT(WEEKDAY(DATE(KalendárnyRok,8,8),1),"aaa")</f>
        <v>št</v>
      </c>
      <c r="K5" s="2" t="str">
        <f>TEXT(WEEKDAY(DATE(KalendárnyRok,8,9),1),"aaa")</f>
        <v>pi</v>
      </c>
      <c r="L5" s="2" t="str">
        <f>TEXT(WEEKDAY(DATE(KalendárnyRok,8,10),1),"aaa")</f>
        <v>so</v>
      </c>
      <c r="M5" s="2" t="str">
        <f>TEXT(WEEKDAY(DATE(KalendárnyRok,8,11),1),"aaa")</f>
        <v>ne</v>
      </c>
      <c r="N5" s="2" t="str">
        <f>TEXT(WEEKDAY(DATE(KalendárnyRok,8,12),1),"aaa")</f>
        <v>po</v>
      </c>
      <c r="O5" s="2" t="str">
        <f>TEXT(WEEKDAY(DATE(KalendárnyRok,8,13),1),"aaa")</f>
        <v>ut</v>
      </c>
      <c r="P5" s="2" t="str">
        <f>TEXT(WEEKDAY(DATE(KalendárnyRok,8,14),1),"aaa")</f>
        <v>st</v>
      </c>
      <c r="Q5" s="2" t="str">
        <f>TEXT(WEEKDAY(DATE(KalendárnyRok,8,15),1),"aaa")</f>
        <v>št</v>
      </c>
      <c r="R5" s="2" t="str">
        <f>TEXT(WEEKDAY(DATE(KalendárnyRok,8,16),1),"aaa")</f>
        <v>pi</v>
      </c>
      <c r="S5" s="2" t="str">
        <f>TEXT(WEEKDAY(DATE(KalendárnyRok,8,17),1),"aaa")</f>
        <v>so</v>
      </c>
      <c r="T5" s="2" t="str">
        <f>TEXT(WEEKDAY(DATE(KalendárnyRok,8,18),1),"aaa")</f>
        <v>ne</v>
      </c>
      <c r="U5" s="2" t="str">
        <f>TEXT(WEEKDAY(DATE(KalendárnyRok,8,19),1),"aaa")</f>
        <v>po</v>
      </c>
      <c r="V5" s="2" t="str">
        <f>TEXT(WEEKDAY(DATE(KalendárnyRok,8,20),1),"aaa")</f>
        <v>ut</v>
      </c>
      <c r="W5" s="2" t="str">
        <f>TEXT(WEEKDAY(DATE(KalendárnyRok,8,21),1),"aaa")</f>
        <v>st</v>
      </c>
      <c r="X5" s="2" t="str">
        <f>TEXT(WEEKDAY(DATE(KalendárnyRok,8,22),1),"aaa")</f>
        <v>št</v>
      </c>
      <c r="Y5" s="2" t="str">
        <f>TEXT(WEEKDAY(DATE(KalendárnyRok,8,23),1),"aaa")</f>
        <v>pi</v>
      </c>
      <c r="Z5" s="2" t="str">
        <f>TEXT(WEEKDAY(DATE(KalendárnyRok,8,24),1),"aaa")</f>
        <v>so</v>
      </c>
      <c r="AA5" s="2" t="str">
        <f>TEXT(WEEKDAY(DATE(KalendárnyRok,8,25),1),"aaa")</f>
        <v>ne</v>
      </c>
      <c r="AB5" s="2" t="str">
        <f>TEXT(WEEKDAY(DATE(KalendárnyRok,8,26),1),"aaa")</f>
        <v>po</v>
      </c>
      <c r="AC5" s="2" t="str">
        <f>TEXT(WEEKDAY(DATE(KalendárnyRok,8,27),1),"aaa")</f>
        <v>ut</v>
      </c>
      <c r="AD5" s="2" t="str">
        <f>TEXT(WEEKDAY(DATE(KalendárnyRok,8,28),1),"aaa")</f>
        <v>st</v>
      </c>
      <c r="AE5" s="2" t="str">
        <f>TEXT(WEEKDAY(DATE(KalendárnyRok,8,29),1),"aaa")</f>
        <v>št</v>
      </c>
      <c r="AF5" s="2" t="str">
        <f>TEXT(WEEKDAY(DATE(KalendárnyRok,8,30),1),"aaa")</f>
        <v>pi</v>
      </c>
      <c r="AG5" s="2" t="str">
        <f>TEXT(WEEKDAY(DATE(KalendárnyRok,8,31),1),"aaa")</f>
        <v>so</v>
      </c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COUNTA(August[[#This Row],[1]:[31]])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COUNTA(August[[#This Row],[1]:[31]])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COUNTA(August[[#This Row],[1]:[31]])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COUNTA(August[[#This Row],[1]:[31]])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COUNTA(August[[#This Row],[1]:[31]])</f>
        <v>0</v>
      </c>
    </row>
    <row r="12" spans="2:34" ht="30" customHeight="1" x14ac:dyDescent="0.25">
      <c r="B12" s="21" t="str">
        <f>NázovMesiaca&amp;" Spolu"</f>
        <v>August Spolu</v>
      </c>
      <c r="C12" s="13">
        <f>SUBTOTAL(103,August[1])</f>
        <v>0</v>
      </c>
      <c r="D12" s="13">
        <f>SUBTOTAL(103,August[2])</f>
        <v>0</v>
      </c>
      <c r="E12" s="13">
        <f>SUBTOTAL(103,August[3])</f>
        <v>0</v>
      </c>
      <c r="F12" s="13">
        <f>SUBTOTAL(103,August[4])</f>
        <v>0</v>
      </c>
      <c r="G12" s="13">
        <f>SUBTOTAL(103,August[5])</f>
        <v>0</v>
      </c>
      <c r="H12" s="13">
        <f>SUBTOTAL(103,August[6])</f>
        <v>0</v>
      </c>
      <c r="I12" s="13">
        <f>SUBTOTAL(103,August[7])</f>
        <v>0</v>
      </c>
      <c r="J12" s="13">
        <f>SUBTOTAL(103,August[8])</f>
        <v>0</v>
      </c>
      <c r="K12" s="13">
        <f>SUBTOTAL(103,August[9])</f>
        <v>0</v>
      </c>
      <c r="L12" s="13">
        <f>SUBTOTAL(103,August[10])</f>
        <v>0</v>
      </c>
      <c r="M12" s="13">
        <f>SUBTOTAL(103,August[11])</f>
        <v>0</v>
      </c>
      <c r="N12" s="13">
        <f>SUBTOTAL(103,August[12])</f>
        <v>0</v>
      </c>
      <c r="O12" s="13">
        <f>SUBTOTAL(103,August[13])</f>
        <v>0</v>
      </c>
      <c r="P12" s="13">
        <f>SUBTOTAL(103,August[14])</f>
        <v>0</v>
      </c>
      <c r="Q12" s="13">
        <f>SUBTOTAL(103,August[15])</f>
        <v>0</v>
      </c>
      <c r="R12" s="13">
        <f>SUBTOTAL(103,August[16])</f>
        <v>0</v>
      </c>
      <c r="S12" s="13">
        <f>SUBTOTAL(103,August[17])</f>
        <v>0</v>
      </c>
      <c r="T12" s="13">
        <f>SUBTOTAL(103,August[18])</f>
        <v>0</v>
      </c>
      <c r="U12" s="13">
        <f>SUBTOTAL(103,August[19])</f>
        <v>0</v>
      </c>
      <c r="V12" s="13">
        <f>SUBTOTAL(103,August[20])</f>
        <v>0</v>
      </c>
      <c r="W12" s="13">
        <f>SUBTOTAL(103,August[21])</f>
        <v>0</v>
      </c>
      <c r="X12" s="13">
        <f>SUBTOTAL(103,August[22])</f>
        <v>0</v>
      </c>
      <c r="Y12" s="13">
        <f>SUBTOTAL(103,August[23])</f>
        <v>0</v>
      </c>
      <c r="Z12" s="13">
        <f>SUBTOTAL(103,August[24])</f>
        <v>0</v>
      </c>
      <c r="AA12" s="13">
        <f>SUBTOTAL(103,August[25])</f>
        <v>0</v>
      </c>
      <c r="AB12" s="13">
        <f>SUBTOTAL(103,August[26])</f>
        <v>0</v>
      </c>
      <c r="AC12" s="13">
        <f>SUBTOTAL(103,August[27])</f>
        <v>0</v>
      </c>
      <c r="AD12" s="13">
        <f>SUBTOTAL(103,August[28])</f>
        <v>0</v>
      </c>
      <c r="AE12" s="13">
        <f>SUBTOTAL(103,August[29])</f>
        <v>0</v>
      </c>
      <c r="AF12" s="13">
        <f>SUBTOTAL(103,August[30])</f>
        <v>0</v>
      </c>
      <c r="AG12" s="13">
        <f>SUBTOTAL(103,August[31])</f>
        <v>0</v>
      </c>
      <c r="AH12" s="13">
        <f>SUBTOTAL(109,August[Celkový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24" priority="2" stopIfTrue="1">
      <formula>C7=KódVlastné2</formula>
    </cfRule>
    <cfRule type="expression" dxfId="23" priority="3" stopIfTrue="1">
      <formula>C7=KódVlastné1</formula>
    </cfRule>
    <cfRule type="expression" dxfId="22" priority="4" stopIfTrue="1">
      <formula>C7=KódPráceneschospnosť</formula>
    </cfRule>
    <cfRule type="expression" dxfId="21" priority="5" stopIfTrue="1">
      <formula>C7=KódOsobnéDôvody</formula>
    </cfRule>
    <cfRule type="expression" dxfId="20" priority="6" stopIfTrue="1">
      <formula>C7=KódDovolenka</formula>
    </cfRule>
  </conditionalFormatting>
  <conditionalFormatting sqref="AH7:AH11">
    <cfRule type="dataBar" priority="7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700-000000000000}"/>
    <dataValidation allowBlank="1" showInputMessage="1" showErrorMessage="1" prompt="Automaticky aktualizovaný rok podľa roka zadaného v hárku Január" sqref="AH4" xr:uid="{00000000-0002-0000-0700-000001000000}"/>
    <dataValidation allowBlank="1" showInputMessage="1" showErrorMessage="1" prompt="V tomto stĺpci sa automaticky vypočíta celkový počet dní, kedy bol zamestnanec počas tohto mesiaca neprítomný" sqref="AH6" xr:uid="{00000000-0002-0000-0700-000002000000}"/>
    <dataValidation allowBlank="1" showInputMessage="1" showErrorMessage="1" prompt="Sledovanie absencií v auguste v tomto hárku" sqref="A1" xr:uid="{00000000-0002-0000-0700-000003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700-000004000000}"/>
    <dataValidation allowBlank="1" showInputMessage="1" showErrorMessage="1" prompt="V tejto bunke sa nachádza automaticky aktualizovaný nadpis. Ak chcete upraviť názov, aktualizujte bunku B1 v hárku Január" sqref="B1" xr:uid="{00000000-0002-0000-0700-000005000000}"/>
    <dataValidation allowBlank="1" showInputMessage="1" showErrorMessage="1" prompt="Písmeno D označuje absenciu z dôvodu dovolenky" sqref="C2" xr:uid="{9053BCEC-5225-4490-B6C4-545E63363320}"/>
    <dataValidation allowBlank="1" showInputMessage="1" showErrorMessage="1" prompt="Písmeno O označuje absenciu z osobných dôvodov" sqref="G2" xr:uid="{0FD19B73-F4F2-4401-B33E-52BC4CC6496E}"/>
    <dataValidation allowBlank="1" showInputMessage="1" showErrorMessage="1" prompt="Písmeno P označuje absenciu z dôvodu choroby" sqref="L2" xr:uid="{B3D7ECD1-40FA-4148-BCA8-E7A684F7FE05}"/>
    <dataValidation allowBlank="1" showInputMessage="1" showErrorMessage="1" prompt="Vpravo zadajte písmeno a prispôsobte označenie, čím pridáte ďalšiu položku kódu" sqref="O2 S2" xr:uid="{25EB9D1B-CD2A-4E7E-8DDD-BB71ED055290}"/>
    <dataValidation allowBlank="1" showInputMessage="1" showErrorMessage="1" prompt="Vľavo zadajte označenie pre popis vlastného kódu" sqref="P2:R2 T2:V2" xr:uid="{CCA38D7D-8DBF-4236-B7E0-DD138710A23B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700-00000B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700-00000C000000}"/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7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'Mená zamestnancov'!$B$4:$B$8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4.7109375" style="11" customWidth="1"/>
    <col min="34" max="34" width="19.42578125" style="11" customWidth="1"/>
    <col min="35" max="35" width="2.7109375" customWidth="1"/>
  </cols>
  <sheetData>
    <row r="1" spans="2:34" ht="50.1" customHeight="1" x14ac:dyDescent="0.25">
      <c r="B1" s="14" t="str">
        <f>Nadpis_Absencia_zamestnanca</f>
        <v>Sledovanie Absencií Zamestnancov</v>
      </c>
    </row>
    <row r="2" spans="2:34" ht="15" customHeight="1" x14ac:dyDescent="0.25">
      <c r="B2" s="19" t="s">
        <v>0</v>
      </c>
      <c r="C2" s="4" t="s">
        <v>8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26"/>
      <c r="L2" s="6" t="s">
        <v>16</v>
      </c>
      <c r="M2" s="27" t="s">
        <v>23</v>
      </c>
      <c r="N2" s="27"/>
      <c r="O2" s="7"/>
      <c r="P2" s="24" t="s">
        <v>27</v>
      </c>
      <c r="Q2" s="24"/>
      <c r="R2" s="24"/>
      <c r="S2" s="8"/>
      <c r="T2" s="24" t="s">
        <v>32</v>
      </c>
      <c r="U2" s="24"/>
      <c r="V2" s="24"/>
    </row>
    <row r="3" spans="2:34" ht="15" customHeight="1" x14ac:dyDescent="0.25">
      <c r="B3" s="14"/>
    </row>
    <row r="4" spans="2:34" ht="30" customHeight="1" x14ac:dyDescent="0.25">
      <c r="B4" s="12" t="s">
        <v>59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KalendárnyRok</f>
        <v>2019</v>
      </c>
    </row>
    <row r="5" spans="2:34" ht="15" customHeight="1" x14ac:dyDescent="0.25">
      <c r="B5" s="12"/>
      <c r="C5" s="2" t="str">
        <f>TEXT(WEEKDAY(DATE(KalendárnyRok,9,1),1),"aaa")</f>
        <v>ne</v>
      </c>
      <c r="D5" s="2" t="str">
        <f>TEXT(WEEKDAY(DATE(KalendárnyRok,9,2),1),"aaa")</f>
        <v>po</v>
      </c>
      <c r="E5" s="2" t="str">
        <f>TEXT(WEEKDAY(DATE(KalendárnyRok,9,3),1),"aaa")</f>
        <v>ut</v>
      </c>
      <c r="F5" s="2" t="str">
        <f>TEXT(WEEKDAY(DATE(KalendárnyRok,9,4),1),"aaa")</f>
        <v>st</v>
      </c>
      <c r="G5" s="2" t="str">
        <f>TEXT(WEEKDAY(DATE(KalendárnyRok,9,5),1),"aaa")</f>
        <v>št</v>
      </c>
      <c r="H5" s="2" t="str">
        <f>TEXT(WEEKDAY(DATE(KalendárnyRok,9,6),1),"aaa")</f>
        <v>pi</v>
      </c>
      <c r="I5" s="2" t="str">
        <f>TEXT(WEEKDAY(DATE(KalendárnyRok,9,7),1),"aaa")</f>
        <v>so</v>
      </c>
      <c r="J5" s="2" t="str">
        <f>TEXT(WEEKDAY(DATE(KalendárnyRok,9,8),1),"aaa")</f>
        <v>ne</v>
      </c>
      <c r="K5" s="2" t="str">
        <f>TEXT(WEEKDAY(DATE(KalendárnyRok,9,9),1),"aaa")</f>
        <v>po</v>
      </c>
      <c r="L5" s="2" t="str">
        <f>TEXT(WEEKDAY(DATE(KalendárnyRok,9,10),1),"aaa")</f>
        <v>ut</v>
      </c>
      <c r="M5" s="2" t="str">
        <f>TEXT(WEEKDAY(DATE(KalendárnyRok,9,11),1),"aaa")</f>
        <v>st</v>
      </c>
      <c r="N5" s="2" t="str">
        <f>TEXT(WEEKDAY(DATE(KalendárnyRok,9,12),1),"aaa")</f>
        <v>št</v>
      </c>
      <c r="O5" s="2" t="str">
        <f>TEXT(WEEKDAY(DATE(KalendárnyRok,9,13),1),"aaa")</f>
        <v>pi</v>
      </c>
      <c r="P5" s="2" t="str">
        <f>TEXT(WEEKDAY(DATE(KalendárnyRok,9,14),1),"aaa")</f>
        <v>so</v>
      </c>
      <c r="Q5" s="2" t="str">
        <f>TEXT(WEEKDAY(DATE(KalendárnyRok,9,15),1),"aaa")</f>
        <v>ne</v>
      </c>
      <c r="R5" s="2" t="str">
        <f>TEXT(WEEKDAY(DATE(KalendárnyRok,9,16),1),"aaa")</f>
        <v>po</v>
      </c>
      <c r="S5" s="2" t="str">
        <f>TEXT(WEEKDAY(DATE(KalendárnyRok,9,17),1),"aaa")</f>
        <v>ut</v>
      </c>
      <c r="T5" s="2" t="str">
        <f>TEXT(WEEKDAY(DATE(KalendárnyRok,9,18),1),"aaa")</f>
        <v>st</v>
      </c>
      <c r="U5" s="2" t="str">
        <f>TEXT(WEEKDAY(DATE(KalendárnyRok,9,19),1),"aaa")</f>
        <v>št</v>
      </c>
      <c r="V5" s="2" t="str">
        <f>TEXT(WEEKDAY(DATE(KalendárnyRok,9,20),1),"aaa")</f>
        <v>pi</v>
      </c>
      <c r="W5" s="2" t="str">
        <f>TEXT(WEEKDAY(DATE(KalendárnyRok,9,21),1),"aaa")</f>
        <v>so</v>
      </c>
      <c r="X5" s="2" t="str">
        <f>TEXT(WEEKDAY(DATE(KalendárnyRok,9,22),1),"aaa")</f>
        <v>ne</v>
      </c>
      <c r="Y5" s="2" t="str">
        <f>TEXT(WEEKDAY(DATE(KalendárnyRok,9,23),1),"aaa")</f>
        <v>po</v>
      </c>
      <c r="Z5" s="2" t="str">
        <f>TEXT(WEEKDAY(DATE(KalendárnyRok,9,24),1),"aaa")</f>
        <v>ut</v>
      </c>
      <c r="AA5" s="2" t="str">
        <f>TEXT(WEEKDAY(DATE(KalendárnyRok,9,25),1),"aaa")</f>
        <v>st</v>
      </c>
      <c r="AB5" s="2" t="str">
        <f>TEXT(WEEKDAY(DATE(KalendárnyRok,9,26),1),"aaa")</f>
        <v>št</v>
      </c>
      <c r="AC5" s="2" t="str">
        <f>TEXT(WEEKDAY(DATE(KalendárnyRok,9,27),1),"aaa")</f>
        <v>pi</v>
      </c>
      <c r="AD5" s="2" t="str">
        <f>TEXT(WEEKDAY(DATE(KalendárnyRok,9,28),1),"aaa")</f>
        <v>so</v>
      </c>
      <c r="AE5" s="2" t="str">
        <f>TEXT(WEEKDAY(DATE(KalendárnyRok,9,29),1),"aaa")</f>
        <v>ne</v>
      </c>
      <c r="AF5" s="2" t="str">
        <f>TEXT(WEEKDAY(DATE(KalendárnyRok,9,30),1),"aaa")</f>
        <v>po</v>
      </c>
      <c r="AG5" s="2"/>
      <c r="AH5" s="12"/>
    </row>
    <row r="6" spans="2:34" ht="15" customHeight="1" x14ac:dyDescent="0.25">
      <c r="B6" s="15" t="s">
        <v>2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6" t="s">
        <v>49</v>
      </c>
    </row>
    <row r="7" spans="2:34" ht="30" customHeight="1" x14ac:dyDescent="0.25">
      <c r="B7" s="17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COUNTA(September[[#This Row],[1]:[30]])</f>
        <v>0</v>
      </c>
    </row>
    <row r="8" spans="2:34" ht="30" customHeight="1" x14ac:dyDescent="0.25">
      <c r="B8" s="17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COUNTA(September[[#This Row],[1]:[30]])</f>
        <v>0</v>
      </c>
    </row>
    <row r="9" spans="2:34" ht="30" customHeight="1" x14ac:dyDescent="0.25">
      <c r="B9" s="1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COUNTA(September[[#This Row],[1]:[30]])</f>
        <v>0</v>
      </c>
    </row>
    <row r="10" spans="2:34" ht="30" customHeight="1" x14ac:dyDescent="0.25">
      <c r="B10" s="1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COUNTA(September[[#This Row],[1]:[30]])</f>
        <v>0</v>
      </c>
    </row>
    <row r="11" spans="2:34" ht="30" customHeight="1" x14ac:dyDescent="0.25">
      <c r="B11" s="17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COUNTA(September[[#This Row],[1]:[30]])</f>
        <v>0</v>
      </c>
    </row>
    <row r="12" spans="2:34" ht="30" customHeight="1" x14ac:dyDescent="0.25">
      <c r="B12" s="21" t="str">
        <f>NázovMesiaca&amp;" Spolu"</f>
        <v>September Spolu</v>
      </c>
      <c r="C12" s="13">
        <f>SUBTOTAL(103,September[1])</f>
        <v>0</v>
      </c>
      <c r="D12" s="13">
        <f>SUBTOTAL(103,September[2])</f>
        <v>0</v>
      </c>
      <c r="E12" s="13">
        <f>SUBTOTAL(103,September[3])</f>
        <v>0</v>
      </c>
      <c r="F12" s="13">
        <f>SUBTOTAL(103,September[4])</f>
        <v>0</v>
      </c>
      <c r="G12" s="13">
        <f>SUBTOTAL(103,September[5])</f>
        <v>0</v>
      </c>
      <c r="H12" s="13">
        <f>SUBTOTAL(103,September[6])</f>
        <v>0</v>
      </c>
      <c r="I12" s="13">
        <f>SUBTOTAL(103,September[7])</f>
        <v>0</v>
      </c>
      <c r="J12" s="13">
        <f>SUBTOTAL(103,September[8])</f>
        <v>0</v>
      </c>
      <c r="K12" s="13">
        <f>SUBTOTAL(103,September[9])</f>
        <v>0</v>
      </c>
      <c r="L12" s="13">
        <f>SUBTOTAL(103,September[10])</f>
        <v>0</v>
      </c>
      <c r="M12" s="13">
        <f>SUBTOTAL(103,September[11])</f>
        <v>0</v>
      </c>
      <c r="N12" s="13">
        <f>SUBTOTAL(103,September[12])</f>
        <v>0</v>
      </c>
      <c r="O12" s="13">
        <f>SUBTOTAL(103,September[13])</f>
        <v>0</v>
      </c>
      <c r="P12" s="13">
        <f>SUBTOTAL(103,September[14])</f>
        <v>0</v>
      </c>
      <c r="Q12" s="13">
        <f>SUBTOTAL(103,September[15])</f>
        <v>0</v>
      </c>
      <c r="R12" s="13">
        <f>SUBTOTAL(103,September[16])</f>
        <v>0</v>
      </c>
      <c r="S12" s="13">
        <f>SUBTOTAL(103,September[17])</f>
        <v>0</v>
      </c>
      <c r="T12" s="13">
        <f>SUBTOTAL(103,September[18])</f>
        <v>0</v>
      </c>
      <c r="U12" s="13">
        <f>SUBTOTAL(103,September[19])</f>
        <v>0</v>
      </c>
      <c r="V12" s="13">
        <f>SUBTOTAL(103,September[20])</f>
        <v>0</v>
      </c>
      <c r="W12" s="13">
        <f>SUBTOTAL(103,September[21])</f>
        <v>0</v>
      </c>
      <c r="X12" s="13">
        <f>SUBTOTAL(103,September[22])</f>
        <v>0</v>
      </c>
      <c r="Y12" s="13">
        <f>SUBTOTAL(103,September[23])</f>
        <v>0</v>
      </c>
      <c r="Z12" s="13">
        <f>SUBTOTAL(103,September[24])</f>
        <v>0</v>
      </c>
      <c r="AA12" s="13">
        <f>SUBTOTAL(103,September[25])</f>
        <v>0</v>
      </c>
      <c r="AB12" s="13">
        <f>SUBTOTAL(103,September[26])</f>
        <v>0</v>
      </c>
      <c r="AC12" s="13">
        <f>SUBTOTAL(103,September[27])</f>
        <v>0</v>
      </c>
      <c r="AD12" s="13">
        <f>SUBTOTAL(103,September[28])</f>
        <v>0</v>
      </c>
      <c r="AE12" s="13">
        <f>SUBTOTAL(103,September[29])</f>
        <v>0</v>
      </c>
      <c r="AF12" s="13">
        <f>SUBTOTAL(103,September[30])</f>
        <v>0</v>
      </c>
      <c r="AG12" s="13">
        <f>SUBTOTAL(103,September[[ ]])</f>
        <v>0</v>
      </c>
      <c r="AH12" s="13">
        <f>SUBTOTAL(109,September[Celkový počet dní])</f>
        <v>0</v>
      </c>
    </row>
  </sheetData>
  <mergeCells count="3">
    <mergeCell ref="C4:AG4"/>
    <mergeCell ref="D2:F2"/>
    <mergeCell ref="H2:K2"/>
  </mergeCells>
  <conditionalFormatting sqref="C7:AG11">
    <cfRule type="expression" priority="1" stopIfTrue="1">
      <formula>C7=""</formula>
    </cfRule>
  </conditionalFormatting>
  <conditionalFormatting sqref="C7:AG11">
    <cfRule type="expression" dxfId="19" priority="2" stopIfTrue="1">
      <formula>C7=KódVlastné2</formula>
    </cfRule>
    <cfRule type="expression" dxfId="18" priority="3" stopIfTrue="1">
      <formula>C7=KódVlastné1</formula>
    </cfRule>
    <cfRule type="expression" dxfId="17" priority="4" stopIfTrue="1">
      <formula>C7=KódPráceneschospnosť</formula>
    </cfRule>
    <cfRule type="expression" dxfId="16" priority="5" stopIfTrue="1">
      <formula>C7=KódOsobnéDôvody</formula>
    </cfRule>
    <cfRule type="expression" dxfId="15" priority="6" stopIfTrue="1">
      <formula>C7=KódDovolenka</formula>
    </cfRule>
  </conditionalFormatting>
  <conditionalFormatting sqref="AH7:AH11">
    <cfRule type="dataBar" priority="7">
      <dataBar>
        <cfvo type="min"/>
        <cfvo type="formula" val="DATEDIF(DATE(KalendárnyRok,2,1),DATE(KalendárnyRok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Dni v mesiaci sa v tomto riadku generujú automaticky. Do každého stĺpca pre jednotlivé dni v mesiaci zadajte absenciu zamestnanca a typ absencie. Prázdne miesto znamená žiadnu absenciu" sqref="C6" xr:uid="{00000000-0002-0000-0800-000000000000}"/>
    <dataValidation allowBlank="1" showInputMessage="1" showErrorMessage="1" prompt="V tejto bunke je názov mesiaca pre tento plán absencií. Celkové absencie pre tento mesiac sú v poslednej bunke tabuľky. V tabuľke v stĺpci B vyberte mená zamestnancov" sqref="B4" xr:uid="{00000000-0002-0000-0800-000001000000}"/>
    <dataValidation allowBlank="1" showInputMessage="1" showErrorMessage="1" prompt="Tento riadok definuje kódy použité v tabuľke: bunka C2 je Dovolenka, G2 je Osobné dôvody a K2 je Práceneschopnosť. Bunky N2 a R2 je možné prispôsobiť" sqref="B2" xr:uid="{00000000-0002-0000-0800-000002000000}"/>
    <dataValidation allowBlank="1" showInputMessage="1" showErrorMessage="1" prompt="Vľavo zadajte označenie pre popis vlastného kódu" sqref="P2:R2 T2:V2" xr:uid="{71436697-925E-4A9F-84C2-99236A508AC1}"/>
    <dataValidation allowBlank="1" showInputMessage="1" showErrorMessage="1" prompt="Vpravo zadajte písmeno a prispôsobte označenie, čím pridáte ďalšiu položku kódu" sqref="O2 S2" xr:uid="{061BD55F-45F6-44B8-A34C-3BCD162844F9}"/>
    <dataValidation allowBlank="1" showInputMessage="1" showErrorMessage="1" prompt="Písmeno P označuje absenciu z dôvodu choroby" sqref="L2" xr:uid="{A9D6EF08-36FD-416F-B108-ED0DBFF0DBDF}"/>
    <dataValidation allowBlank="1" showInputMessage="1" showErrorMessage="1" prompt="Písmeno O označuje absenciu z osobných dôvodov" sqref="G2" xr:uid="{BE66DCDD-3403-45D3-AAD8-D1E33BC94B5C}"/>
    <dataValidation allowBlank="1" showInputMessage="1" showErrorMessage="1" prompt="Písmeno D označuje absenciu z dôvodu dovolenky" sqref="C2" xr:uid="{ED473952-4CE5-4D1D-B7FD-D1C9348C0B77}"/>
    <dataValidation allowBlank="1" showInputMessage="1" showErrorMessage="1" prompt="V tejto bunke sa nachádza automaticky aktualizovaný nadpis. Ak chcete upraviť názov, aktualizujte bunku B1 v hárku Január" sqref="B1" xr:uid="{00000000-0002-0000-0800-000008000000}"/>
    <dataValidation errorStyle="warning" allowBlank="1" showInputMessage="1" showErrorMessage="1" error="V zozname vyberte meno. Vyberte možnosť ZRUŠIŤ, potom stlačte kombináciu klávesov ALT + ŠÍPKA NADOL a potom stlačením klávesu ENTER vyberte meno" prompt="Do hárka Mená zamestnancov zadajte mená zamestnancov a potom v zozname v tomto stĺpci vyberte jedno meno. Stlačte kombináciu klávesov ALT + ŠÍPKA NADOL a potom stlačením klávesu ENTER vyberte meno" sqref="B6" xr:uid="{00000000-0002-0000-0800-000009000000}"/>
    <dataValidation allowBlank="1" showInputMessage="1" showErrorMessage="1" prompt="Sledovanie absencií v septembri v tomto hárku" sqref="A1" xr:uid="{00000000-0002-0000-0800-00000A000000}"/>
    <dataValidation allowBlank="1" showInputMessage="1" showErrorMessage="1" prompt="V tomto stĺpci sa automaticky vypočíta celkový počet dní, kedy bol zamestnanec počas tohto mesiaca neprítomný" sqref="AH6" xr:uid="{00000000-0002-0000-0800-00000B000000}"/>
    <dataValidation allowBlank="1" showInputMessage="1" showErrorMessage="1" prompt="Automaticky aktualizovaný rok podľa roka zadaného v hárku Január" sqref="AH4" xr:uid="{00000000-0002-0000-0800-00000C000000}"/>
    <dataValidation allowBlank="1" showInputMessage="1" showErrorMessage="1" prompt="Dni v týždni v tomto riadku sa pre tento mesiac aktualizujú automaticky podľa roka v bunke AH4. Každý deň v mesiaci je stĺpec, ktorý slúži na zaznamenanie absencie zamestnanca a typu absencie" sqref="C5" xr:uid="{00000000-0002-0000-0800-00000D000000}"/>
  </dataValidations>
  <printOptions horizontalCentered="1"/>
  <pageMargins left="0.25" right="0.25" top="0.75" bottom="0.75" header="0.3" footer="0.3"/>
  <pageSetup paperSize="9" scale="71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DATEDIF(DATE(KalendárnyRok,2,1),DATE(KalendárnyRok,3,1),"d")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'Mená zamestnancov'!$B$4:$B$8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50</vt:i4>
      </vt:variant>
    </vt:vector>
  </HeadingPairs>
  <TitlesOfParts>
    <vt:vector size="63" baseType="lpstr">
      <vt:lpstr>Január</vt:lpstr>
      <vt:lpstr>Február</vt:lpstr>
      <vt:lpstr>Marec</vt:lpstr>
      <vt:lpstr>Apríl</vt:lpstr>
      <vt:lpstr>Máj</vt:lpstr>
      <vt:lpstr>Jún</vt:lpstr>
      <vt:lpstr>Júl</vt:lpstr>
      <vt:lpstr>August</vt:lpstr>
      <vt:lpstr>September</vt:lpstr>
      <vt:lpstr>Október</vt:lpstr>
      <vt:lpstr>November</vt:lpstr>
      <vt:lpstr>December</vt:lpstr>
      <vt:lpstr>Mená zamestnancov</vt:lpstr>
      <vt:lpstr>KalendárnyRok</vt:lpstr>
      <vt:lpstr>KódDovolenka</vt:lpstr>
      <vt:lpstr>KódOsobnéDôvody</vt:lpstr>
      <vt:lpstr>KódPráceneschospnosť</vt:lpstr>
      <vt:lpstr>KódVlastné1</vt:lpstr>
      <vt:lpstr>KódVlastné2</vt:lpstr>
      <vt:lpstr>Nadpis_Absencia_zamestnanca</vt:lpstr>
      <vt:lpstr>Nadpis1</vt:lpstr>
      <vt:lpstr>Nadpis10</vt:lpstr>
      <vt:lpstr>Nadpis11</vt:lpstr>
      <vt:lpstr>Nadpis12</vt:lpstr>
      <vt:lpstr>Nadpis2</vt:lpstr>
      <vt:lpstr>Nadpis3</vt:lpstr>
      <vt:lpstr>Nadpis4</vt:lpstr>
      <vt:lpstr>Nadpis5</vt:lpstr>
      <vt:lpstr>Nadpis6</vt:lpstr>
      <vt:lpstr>Nadpis7</vt:lpstr>
      <vt:lpstr>Nadpis8</vt:lpstr>
      <vt:lpstr>Nadpis9</vt:lpstr>
      <vt:lpstr>NadpisStĺpca13</vt:lpstr>
      <vt:lpstr>Názov_kódu</vt:lpstr>
      <vt:lpstr>Apríl!NázovMesiaca</vt:lpstr>
      <vt:lpstr>August!NázovMesiaca</vt:lpstr>
      <vt:lpstr>December!NázovMesiaca</vt:lpstr>
      <vt:lpstr>Február!NázovMesiaca</vt:lpstr>
      <vt:lpstr>Január!NázovMesiaca</vt:lpstr>
      <vt:lpstr>Júl!NázovMesiaca</vt:lpstr>
      <vt:lpstr>Jún!NázovMesiaca</vt:lpstr>
      <vt:lpstr>Máj!NázovMesiaca</vt:lpstr>
      <vt:lpstr>Marec!NázovMesiaca</vt:lpstr>
      <vt:lpstr>November!NázovMesiaca</vt:lpstr>
      <vt:lpstr>Október!NázovMesiaca</vt:lpstr>
      <vt:lpstr>September!NázovMesiaca</vt:lpstr>
      <vt:lpstr>Apríl!Názvy_tlače</vt:lpstr>
      <vt:lpstr>August!Názvy_tlače</vt:lpstr>
      <vt:lpstr>December!Názvy_tlače</vt:lpstr>
      <vt:lpstr>Február!Názvy_tlače</vt:lpstr>
      <vt:lpstr>Január!Názvy_tlače</vt:lpstr>
      <vt:lpstr>Júl!Názvy_tlače</vt:lpstr>
      <vt:lpstr>Jún!Názvy_tlače</vt:lpstr>
      <vt:lpstr>Máj!Názvy_tlače</vt:lpstr>
      <vt:lpstr>Marec!Názvy_tlače</vt:lpstr>
      <vt:lpstr>November!Názvy_tlače</vt:lpstr>
      <vt:lpstr>Október!Názvy_tlače</vt:lpstr>
      <vt:lpstr>September!Názvy_tlače</vt:lpstr>
      <vt:lpstr>OznačenieKóduDovolenka</vt:lpstr>
      <vt:lpstr>OznačenieKóduOsobnéDôvody</vt:lpstr>
      <vt:lpstr>OznačenieKóduPráceneschospnosť</vt:lpstr>
      <vt:lpstr>OznačenieKóduVlastné1</vt:lpstr>
      <vt:lpstr>OznačenieKóduVlastné2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2019-07-26T06:37:37Z</dcterms:modified>
</cp:coreProperties>
</file>