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/>
  <mc:AlternateContent xmlns:mc="http://schemas.openxmlformats.org/markup-compatibility/2006">
    <mc:Choice Requires="x15">
      <x15ac:absPath xmlns:x15ac="http://schemas.microsoft.com/office/spreadsheetml/2010/11/ac" url="C:\Users\sherryl\Desktop\Task\10\ru-RU\target\"/>
    </mc:Choice>
  </mc:AlternateContent>
  <bookViews>
    <workbookView xWindow="-120" yWindow="-120" windowWidth="24240" windowHeight="17640" xr2:uid="{00000000-000D-0000-FFFF-FFFF00000000}"/>
  </bookViews>
  <sheets>
    <sheet name="Начало" sheetId="5" r:id="rId1"/>
    <sheet name="Семейный календарь" sheetId="4" r:id="rId2"/>
  </sheets>
  <definedNames>
    <definedName name="_xlnm.Print_Area" localSheetId="1">'Семейный календарь'!$B$1:$AK$50</definedName>
    <definedName name="АвгВс1">DATE(КалендарныйГод,8,1)-WEEKDAY(DATE(КалендарныйГод,8,1))+1</definedName>
    <definedName name="АпрВс1">DATE(КалендарныйГод,4,1)-WEEKDAY(DATE(КалендарныйГод,4,1))+1</definedName>
    <definedName name="ВажныеДаты">'Семейный календарь'!$D$6:$G$20</definedName>
    <definedName name="ДекВс1">DATE(КалендарныйГод,12,1)-WEEKDAY(DATE(КалендарныйГод,12,1))+1</definedName>
    <definedName name="ИюлВс1">DATE(КалендарныйГод,7,1)-WEEKDAY(DATE(КалендарныйГод,7,1))+1</definedName>
    <definedName name="ИюнВс1">DATE(КалендарныйГод,6,1)-WEEKDAY(DATE(КалендарныйГод,6,1))+1</definedName>
    <definedName name="КалендарныйГод">'Семейный календарь'!$AE$3</definedName>
    <definedName name="МайВс1">DATE(КалендарныйГод,5,1)-WEEKDAY(DATE(КалендарныйГод,5,1))+1</definedName>
    <definedName name="МарВс1">DATE(КалендарныйГод,3,1)-WEEKDAY(DATE(КалендарныйГод,3,1))+1</definedName>
    <definedName name="НояВс1">DATE(КалендарныйГод,11,1)-WEEKDAY(DATE(КалендарныйГод,11,1))+1</definedName>
    <definedName name="ОктВс1">DATE(КалендарныйГод,10,1)-WEEKDAY(DATE(КалендарныйГод,10,1))+1</definedName>
    <definedName name="СенВс1">DATE(КалендарныйГод,9,1)-WEEKDAY(DATE(КалендарныйГод,9,1))+1</definedName>
    <definedName name="ФевВс1">DATE(КалендарныйГод,2,1)-WEEKDAY(DATE(КалендарныйГод,2,1))+1</definedName>
    <definedName name="ЯнвВс1">DATE(КалендарныйГод,1,1)-WEEKDAY(DATE(КалендарныйГод,1,1))+1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3" i="4" l="1"/>
  <c r="D7" i="4" l="1"/>
  <c r="D6" i="4"/>
  <c r="AJ49" i="4" l="1"/>
  <c r="AI49" i="4"/>
  <c r="AH49" i="4"/>
  <c r="AG49" i="4"/>
  <c r="AF49" i="4"/>
  <c r="AE49" i="4"/>
  <c r="AD49" i="4"/>
  <c r="AJ48" i="4"/>
  <c r="AI48" i="4"/>
  <c r="AH48" i="4"/>
  <c r="AG48" i="4"/>
  <c r="AF48" i="4"/>
  <c r="AE48" i="4"/>
  <c r="AD48" i="4"/>
  <c r="AJ47" i="4"/>
  <c r="AI47" i="4"/>
  <c r="AH47" i="4"/>
  <c r="AG47" i="4"/>
  <c r="AF47" i="4"/>
  <c r="AE47" i="4"/>
  <c r="AD47" i="4"/>
  <c r="AJ46" i="4"/>
  <c r="AI46" i="4"/>
  <c r="AH46" i="4"/>
  <c r="AG46" i="4"/>
  <c r="AF46" i="4"/>
  <c r="AE46" i="4"/>
  <c r="AD46" i="4"/>
  <c r="AJ45" i="4"/>
  <c r="AI45" i="4"/>
  <c r="AH45" i="4"/>
  <c r="AG45" i="4"/>
  <c r="AF45" i="4"/>
  <c r="AE45" i="4"/>
  <c r="AD45" i="4"/>
  <c r="AJ44" i="4"/>
  <c r="AI44" i="4"/>
  <c r="AH44" i="4"/>
  <c r="AG44" i="4"/>
  <c r="AF44" i="4"/>
  <c r="AE44" i="4"/>
  <c r="AD44" i="4"/>
  <c r="AA49" i="4"/>
  <c r="Z49" i="4"/>
  <c r="Y49" i="4"/>
  <c r="X49" i="4"/>
  <c r="W49" i="4"/>
  <c r="V49" i="4"/>
  <c r="U49" i="4"/>
  <c r="AA48" i="4"/>
  <c r="Z48" i="4"/>
  <c r="Y48" i="4"/>
  <c r="X48" i="4"/>
  <c r="W48" i="4"/>
  <c r="V48" i="4"/>
  <c r="U48" i="4"/>
  <c r="AA47" i="4"/>
  <c r="Z47" i="4"/>
  <c r="Y47" i="4"/>
  <c r="X47" i="4"/>
  <c r="W47" i="4"/>
  <c r="V47" i="4"/>
  <c r="U47" i="4"/>
  <c r="AA46" i="4"/>
  <c r="Z46" i="4"/>
  <c r="Y46" i="4"/>
  <c r="X46" i="4"/>
  <c r="W46" i="4"/>
  <c r="V46" i="4"/>
  <c r="U46" i="4"/>
  <c r="AA45" i="4"/>
  <c r="Z45" i="4"/>
  <c r="Y45" i="4"/>
  <c r="X45" i="4"/>
  <c r="W45" i="4"/>
  <c r="V45" i="4"/>
  <c r="U45" i="4"/>
  <c r="AA44" i="4"/>
  <c r="Z44" i="4"/>
  <c r="Y44" i="4"/>
  <c r="X44" i="4"/>
  <c r="W44" i="4"/>
  <c r="V44" i="4"/>
  <c r="U44" i="4"/>
  <c r="R49" i="4"/>
  <c r="Q49" i="4"/>
  <c r="P49" i="4"/>
  <c r="O49" i="4"/>
  <c r="N49" i="4"/>
  <c r="M49" i="4"/>
  <c r="L49" i="4"/>
  <c r="R48" i="4"/>
  <c r="Q48" i="4"/>
  <c r="P48" i="4"/>
  <c r="O48" i="4"/>
  <c r="N48" i="4"/>
  <c r="M48" i="4"/>
  <c r="L48" i="4"/>
  <c r="R47" i="4"/>
  <c r="Q47" i="4"/>
  <c r="P47" i="4"/>
  <c r="O47" i="4"/>
  <c r="N47" i="4"/>
  <c r="M47" i="4"/>
  <c r="L47" i="4"/>
  <c r="R46" i="4"/>
  <c r="Q46" i="4"/>
  <c r="P46" i="4"/>
  <c r="O46" i="4"/>
  <c r="N46" i="4"/>
  <c r="M46" i="4"/>
  <c r="L46" i="4"/>
  <c r="R45" i="4"/>
  <c r="Q45" i="4"/>
  <c r="P45" i="4"/>
  <c r="O45" i="4"/>
  <c r="N45" i="4"/>
  <c r="M45" i="4"/>
  <c r="L45" i="4"/>
  <c r="R44" i="4"/>
  <c r="Q44" i="4"/>
  <c r="P44" i="4"/>
  <c r="O44" i="4"/>
  <c r="N44" i="4"/>
  <c r="M44" i="4"/>
  <c r="L44" i="4"/>
  <c r="I49" i="4"/>
  <c r="H49" i="4"/>
  <c r="G49" i="4"/>
  <c r="F49" i="4"/>
  <c r="E49" i="4"/>
  <c r="D49" i="4"/>
  <c r="C49" i="4"/>
  <c r="I48" i="4"/>
  <c r="H48" i="4"/>
  <c r="G48" i="4"/>
  <c r="F48" i="4"/>
  <c r="E48" i="4"/>
  <c r="D48" i="4"/>
  <c r="C48" i="4"/>
  <c r="I47" i="4"/>
  <c r="H47" i="4"/>
  <c r="G47" i="4"/>
  <c r="F47" i="4"/>
  <c r="E47" i="4"/>
  <c r="D47" i="4"/>
  <c r="C47" i="4"/>
  <c r="I46" i="4"/>
  <c r="H46" i="4"/>
  <c r="G46" i="4"/>
  <c r="F46" i="4"/>
  <c r="E46" i="4"/>
  <c r="D46" i="4"/>
  <c r="C46" i="4"/>
  <c r="I45" i="4"/>
  <c r="H45" i="4"/>
  <c r="G45" i="4"/>
  <c r="F45" i="4"/>
  <c r="E45" i="4"/>
  <c r="D45" i="4"/>
  <c r="C45" i="4"/>
  <c r="I44" i="4"/>
  <c r="H44" i="4"/>
  <c r="G44" i="4"/>
  <c r="F44" i="4"/>
  <c r="E44" i="4"/>
  <c r="D44" i="4"/>
  <c r="C44" i="4"/>
  <c r="AJ40" i="4"/>
  <c r="AI40" i="4"/>
  <c r="AH40" i="4"/>
  <c r="AG40" i="4"/>
  <c r="AF40" i="4"/>
  <c r="AE40" i="4"/>
  <c r="AD40" i="4"/>
  <c r="AJ39" i="4"/>
  <c r="AI39" i="4"/>
  <c r="AH39" i="4"/>
  <c r="AG39" i="4"/>
  <c r="AF39" i="4"/>
  <c r="AE39" i="4"/>
  <c r="AD39" i="4"/>
  <c r="AJ38" i="4"/>
  <c r="AI38" i="4"/>
  <c r="AH38" i="4"/>
  <c r="AG38" i="4"/>
  <c r="AF38" i="4"/>
  <c r="AE38" i="4"/>
  <c r="AD38" i="4"/>
  <c r="AJ37" i="4"/>
  <c r="AI37" i="4"/>
  <c r="AH37" i="4"/>
  <c r="AG37" i="4"/>
  <c r="AF37" i="4"/>
  <c r="AE37" i="4"/>
  <c r="AD37" i="4"/>
  <c r="AJ36" i="4"/>
  <c r="AI36" i="4"/>
  <c r="AH36" i="4"/>
  <c r="AG36" i="4"/>
  <c r="AF36" i="4"/>
  <c r="AE36" i="4"/>
  <c r="AD36" i="4"/>
  <c r="AJ35" i="4"/>
  <c r="AI35" i="4"/>
  <c r="AH35" i="4"/>
  <c r="AG35" i="4"/>
  <c r="AF35" i="4"/>
  <c r="AE35" i="4"/>
  <c r="AD35" i="4"/>
  <c r="AA40" i="4"/>
  <c r="Z40" i="4"/>
  <c r="Y40" i="4"/>
  <c r="X40" i="4"/>
  <c r="W40" i="4"/>
  <c r="V40" i="4"/>
  <c r="U40" i="4"/>
  <c r="AA39" i="4"/>
  <c r="Z39" i="4"/>
  <c r="Y39" i="4"/>
  <c r="X39" i="4"/>
  <c r="W39" i="4"/>
  <c r="V39" i="4"/>
  <c r="U39" i="4"/>
  <c r="AA38" i="4"/>
  <c r="Z38" i="4"/>
  <c r="Y38" i="4"/>
  <c r="X38" i="4"/>
  <c r="W38" i="4"/>
  <c r="V38" i="4"/>
  <c r="U38" i="4"/>
  <c r="AA37" i="4"/>
  <c r="Z37" i="4"/>
  <c r="Y37" i="4"/>
  <c r="X37" i="4"/>
  <c r="W37" i="4"/>
  <c r="V37" i="4"/>
  <c r="U37" i="4"/>
  <c r="AA36" i="4"/>
  <c r="Z36" i="4"/>
  <c r="Y36" i="4"/>
  <c r="X36" i="4"/>
  <c r="W36" i="4"/>
  <c r="V36" i="4"/>
  <c r="U36" i="4"/>
  <c r="AA35" i="4"/>
  <c r="Z35" i="4"/>
  <c r="Y35" i="4"/>
  <c r="X35" i="4"/>
  <c r="W35" i="4"/>
  <c r="V35" i="4"/>
  <c r="U35" i="4"/>
  <c r="R40" i="4"/>
  <c r="Q40" i="4"/>
  <c r="P40" i="4"/>
  <c r="O40" i="4"/>
  <c r="N40" i="4"/>
  <c r="M40" i="4"/>
  <c r="L40" i="4"/>
  <c r="R39" i="4"/>
  <c r="Q39" i="4"/>
  <c r="P39" i="4"/>
  <c r="O39" i="4"/>
  <c r="N39" i="4"/>
  <c r="M39" i="4"/>
  <c r="L39" i="4"/>
  <c r="R38" i="4"/>
  <c r="Q38" i="4"/>
  <c r="P38" i="4"/>
  <c r="O38" i="4"/>
  <c r="N38" i="4"/>
  <c r="M38" i="4"/>
  <c r="L38" i="4"/>
  <c r="R37" i="4"/>
  <c r="Q37" i="4"/>
  <c r="P37" i="4"/>
  <c r="O37" i="4"/>
  <c r="N37" i="4"/>
  <c r="M37" i="4"/>
  <c r="L37" i="4"/>
  <c r="R36" i="4"/>
  <c r="Q36" i="4"/>
  <c r="P36" i="4"/>
  <c r="O36" i="4"/>
  <c r="N36" i="4"/>
  <c r="M36" i="4"/>
  <c r="L36" i="4"/>
  <c r="R35" i="4"/>
  <c r="Q35" i="4"/>
  <c r="P35" i="4"/>
  <c r="O35" i="4"/>
  <c r="N35" i="4"/>
  <c r="M35" i="4"/>
  <c r="L35" i="4"/>
  <c r="I40" i="4"/>
  <c r="H40" i="4"/>
  <c r="G40" i="4"/>
  <c r="F40" i="4"/>
  <c r="E40" i="4"/>
  <c r="D40" i="4"/>
  <c r="C40" i="4"/>
  <c r="I39" i="4"/>
  <c r="H39" i="4"/>
  <c r="G39" i="4"/>
  <c r="F39" i="4"/>
  <c r="E39" i="4"/>
  <c r="D39" i="4"/>
  <c r="C39" i="4"/>
  <c r="I38" i="4"/>
  <c r="H38" i="4"/>
  <c r="G38" i="4"/>
  <c r="F38" i="4"/>
  <c r="E38" i="4"/>
  <c r="D38" i="4"/>
  <c r="C38" i="4"/>
  <c r="I37" i="4"/>
  <c r="H37" i="4"/>
  <c r="G37" i="4"/>
  <c r="F37" i="4"/>
  <c r="E37" i="4"/>
  <c r="D37" i="4"/>
  <c r="C37" i="4"/>
  <c r="I36" i="4"/>
  <c r="H36" i="4"/>
  <c r="G36" i="4"/>
  <c r="F36" i="4"/>
  <c r="E36" i="4"/>
  <c r="D36" i="4"/>
  <c r="C36" i="4"/>
  <c r="I35" i="4"/>
  <c r="H35" i="4"/>
  <c r="G35" i="4"/>
  <c r="F35" i="4"/>
  <c r="E35" i="4"/>
  <c r="D35" i="4"/>
  <c r="C35" i="4"/>
  <c r="AJ31" i="4"/>
  <c r="AI31" i="4"/>
  <c r="AH31" i="4"/>
  <c r="AG31" i="4"/>
  <c r="AF31" i="4"/>
  <c r="AE31" i="4"/>
  <c r="AD31" i="4"/>
  <c r="AJ30" i="4"/>
  <c r="AI30" i="4"/>
  <c r="AH30" i="4"/>
  <c r="AG30" i="4"/>
  <c r="AF30" i="4"/>
  <c r="AE30" i="4"/>
  <c r="AD30" i="4"/>
  <c r="AJ29" i="4"/>
  <c r="AI29" i="4"/>
  <c r="AH29" i="4"/>
  <c r="AG29" i="4"/>
  <c r="AF29" i="4"/>
  <c r="AE29" i="4"/>
  <c r="AD29" i="4"/>
  <c r="AJ28" i="4"/>
  <c r="AI28" i="4"/>
  <c r="AH28" i="4"/>
  <c r="AG28" i="4"/>
  <c r="AF28" i="4"/>
  <c r="AE28" i="4"/>
  <c r="AD28" i="4"/>
  <c r="AJ27" i="4"/>
  <c r="AI27" i="4"/>
  <c r="AH27" i="4"/>
  <c r="AG27" i="4"/>
  <c r="AF27" i="4"/>
  <c r="AE27" i="4"/>
  <c r="AD27" i="4"/>
  <c r="AJ26" i="4"/>
  <c r="AI26" i="4"/>
  <c r="AH26" i="4"/>
  <c r="AG26" i="4"/>
  <c r="AF26" i="4"/>
  <c r="AE26" i="4"/>
  <c r="AD26" i="4"/>
  <c r="AA31" i="4"/>
  <c r="Z31" i="4"/>
  <c r="Y31" i="4"/>
  <c r="X31" i="4"/>
  <c r="W31" i="4"/>
  <c r="V31" i="4"/>
  <c r="U31" i="4"/>
  <c r="AA30" i="4"/>
  <c r="Z30" i="4"/>
  <c r="Y30" i="4"/>
  <c r="X30" i="4"/>
  <c r="W30" i="4"/>
  <c r="V30" i="4"/>
  <c r="U30" i="4"/>
  <c r="AA29" i="4"/>
  <c r="Z29" i="4"/>
  <c r="Y29" i="4"/>
  <c r="X29" i="4"/>
  <c r="W29" i="4"/>
  <c r="V29" i="4"/>
  <c r="U29" i="4"/>
  <c r="AA28" i="4"/>
  <c r="Z28" i="4"/>
  <c r="Y28" i="4"/>
  <c r="X28" i="4"/>
  <c r="W28" i="4"/>
  <c r="V28" i="4"/>
  <c r="U28" i="4"/>
  <c r="AA27" i="4"/>
  <c r="Z27" i="4"/>
  <c r="Y27" i="4"/>
  <c r="X27" i="4"/>
  <c r="W27" i="4"/>
  <c r="V27" i="4"/>
  <c r="U27" i="4"/>
  <c r="AA26" i="4"/>
  <c r="Z26" i="4"/>
  <c r="Y26" i="4"/>
  <c r="X26" i="4"/>
  <c r="W26" i="4"/>
  <c r="V26" i="4"/>
  <c r="U26" i="4"/>
  <c r="R31" i="4"/>
  <c r="Q31" i="4"/>
  <c r="P31" i="4"/>
  <c r="O31" i="4"/>
  <c r="N31" i="4"/>
  <c r="M31" i="4"/>
  <c r="L31" i="4"/>
  <c r="R30" i="4"/>
  <c r="Q30" i="4"/>
  <c r="P30" i="4"/>
  <c r="O30" i="4"/>
  <c r="N30" i="4"/>
  <c r="M30" i="4"/>
  <c r="L30" i="4"/>
  <c r="R29" i="4"/>
  <c r="Q29" i="4"/>
  <c r="P29" i="4"/>
  <c r="O29" i="4"/>
  <c r="N29" i="4"/>
  <c r="M29" i="4"/>
  <c r="L29" i="4"/>
  <c r="R28" i="4"/>
  <c r="Q28" i="4"/>
  <c r="P28" i="4"/>
  <c r="O28" i="4"/>
  <c r="N28" i="4"/>
  <c r="M28" i="4"/>
  <c r="L28" i="4"/>
  <c r="R27" i="4"/>
  <c r="Q27" i="4"/>
  <c r="P27" i="4"/>
  <c r="O27" i="4"/>
  <c r="N27" i="4"/>
  <c r="M27" i="4"/>
  <c r="L27" i="4"/>
  <c r="R26" i="4"/>
  <c r="Q26" i="4"/>
  <c r="P26" i="4"/>
  <c r="O26" i="4"/>
  <c r="N26" i="4"/>
  <c r="M26" i="4"/>
  <c r="L26" i="4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AD42" i="4"/>
  <c r="U42" i="4"/>
  <c r="L42" i="4"/>
  <c r="C42" i="4"/>
  <c r="AD33" i="4"/>
  <c r="U33" i="4"/>
  <c r="L33" i="4"/>
  <c r="C33" i="4"/>
  <c r="AD24" i="4"/>
  <c r="U24" i="4"/>
  <c r="L24" i="4"/>
  <c r="C24" i="4"/>
</calcChain>
</file>

<file path=xl/sharedStrings.xml><?xml version="1.0" encoding="utf-8"?>
<sst xmlns="http://schemas.openxmlformats.org/spreadsheetml/2006/main" count="112" uniqueCount="35">
  <si>
    <t>ОБ ЭТОМ ШАБЛОНЕ</t>
  </si>
  <si>
    <t>Настройте название календаря и выберите год.</t>
  </si>
  <si>
    <t>Календари каждого месяца обновляются автоматически.</t>
  </si>
  <si>
    <t>Примечание: </t>
  </si>
  <si>
    <t>В столбце A листа "Семейный календарь" содержатся дополнительные инструкции. Их текст намерено скрыт. Чтобы удалить этот текст, выделите столбец A и нажмите клавишу DELETE. Чтобы отобразить текст, выделите столбец A и измените цвет шрифта.</t>
  </si>
  <si>
    <t>Чтобы получить дополнительные сведения о таблице, щелкните в ней ячейку, затем нажмите клавиши SHIFT+F10, выберите пункт "Таблица", а затем — "Замещающий текст".</t>
  </si>
  <si>
    <t>Создайте на этом листе семейный календарь на любой год. Полезные инструкции о том, как использовать этот лист, содержатся в ячейках этого столбца. Дальнейшие инструкции представлены в ячейке A3.</t>
  </si>
  <si>
    <t>Надпись "Важные даты" находится в ячейке D5, а надпись "Заметки" — в ячейке U5. Введите важные даты в ячейках D6–D20, события или мероприятия в ячейках H6–H20 и заметки в ячейках U6–U20. Дальнейшие инструкции представлены в ячейке A23.</t>
  </si>
  <si>
    <t>Годовой календарь находится в ячейках C24–AJ49, календарь на январь — в ячейках C25–I31, календарь на февраль — в ячейках L25–R31, календарь на март — в ячейках U25–AA31, а календарь на апрель — в ячейках AD25–AJ31.</t>
  </si>
  <si>
    <t xml:space="preserve">В этой строке указываются названия месяцев. Подпись "Январь" находится в ячейке C24, подпись "Февраль" — в ячейке L24, подпись "Март" — в ячейке U24, а подпись "Апрель" — в ячейке AD24. </t>
  </si>
  <si>
    <t>В этой строке указываются названия дней недели. Названия дней недели для января находятся в ячейках C25–I25, дни недели для февраля — в ячейках L25–R25, дни недели для марта — в ячейках U25–AA25, а дни недели для апреля — в ячейках AD25–AJ25.</t>
  </si>
  <si>
    <t>Даты автоматически обновляются в этой строке. Даты января расположены в ячейках справа (C26–I31), даты февраля — в ячейках L26–R31, даты марта — в ячейках U26–AA31, а даты апреля — в ячейках AD26–AJ31. Дальнейшие инструкции указаны в ячейке A32.</t>
  </si>
  <si>
    <t>Календарь на май находится в ячейках C34–I40, календарь на июнь — в ячейках L34–R40, календарь на июль — в ячейках U34–AA40, а календарь на август — в ячейках AD34–AJ40.</t>
  </si>
  <si>
    <t>В этой строке указываются названия месяцев. Подпись "Май" находится в ячейке C33, подпись "Июнь" — в ячейке L33, подпись "Июль" — в ячейке U33, а подпись "Август" — в ячейке AD33.</t>
  </si>
  <si>
    <t>В этой строке указываются названия дней недели. Названия дней недели для мая находятся в ячейках C34–I34, дни недели для июня — в ячейках L34–R34, дни недели для июля — в ячейках U34–AA34, а дни недели для августа — в ячейках AD34–AJ34.</t>
  </si>
  <si>
    <t>Даты автоматически обновляются в этой строке. Даты мая расположены в ячейках справа (C35–I40), даты июня — в ячейках L35–R40, даты июля — в ячейках U35–AA35, а даты августа в ячейках AD35–AJ40. Дальнейшие инструкции указаны в ячейке A41.</t>
  </si>
  <si>
    <t>Календарь на сентябрь находится в ячейках C43–I49, календарь на октябрь — в ячейках L43–R49, календарь на ноябрь — в ячейках U43–AA49, а календарь на декабрь — в ячейках AD43–AJ49.</t>
  </si>
  <si>
    <t>В этой строке указываются названия месяцев. Подпись "Сентябрь" находится в ячейке C42, подпись "Октябрь" — в ячейке L42, подпись "Ноябрь" — в ячейке U42, а подпись "Декабрь" — в ячейке AD42.</t>
  </si>
  <si>
    <t>В этой строке указываются названия дней недели. Названия дней недели для сентября находятся в ячейках C43–I43, дни недели для октября — в ячейках L43–R43, дни недели для ноября — в ячейках U43–AA43, а дни недели для декабря — в ячейках AD43–AJ43.</t>
  </si>
  <si>
    <t>Даты автоматически обновляются в этой строке. Даты сентября расположены в ячейках справа (C44–I49), даты октября — в ячейках L44–R49, даты ноября — в ячейках U44–AA49, а даты декабря — в ячейках AD44–AJ49.</t>
  </si>
  <si>
    <t>Пн</t>
  </si>
  <si>
    <t>Календарь семьи Кузнецовых</t>
  </si>
  <si>
    <t>Важные даты</t>
  </si>
  <si>
    <t>Вт</t>
  </si>
  <si>
    <t>Ср</t>
  </si>
  <si>
    <t>Чт</t>
  </si>
  <si>
    <t>Пт</t>
  </si>
  <si>
    <t>Новый год</t>
  </si>
  <si>
    <t>День рождения Артема</t>
  </si>
  <si>
    <t>Сб</t>
  </si>
  <si>
    <t>Вс</t>
  </si>
  <si>
    <t>Заметки</t>
  </si>
  <si>
    <t>Совет. Используйте счетчик, чтобы выбрать другой календарный год в этой ячейке.</t>
  </si>
  <si>
    <t>Отслеживайте важные даты и вводите заметки в этом Семейный календарь.</t>
  </si>
  <si>
    <t>Настройте название календаря в ячейке D3 и введите год в ячейке AE3. В ячейке AL3 содержится совет. Дальнейшие инструкции представлены в ячейке A5.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</si>
</sst>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_-* #,##0.00\ &quot;lei&quot;_-;\-* #,##0.00\ &quot;lei&quot;_-;_-* &quot;-&quot;??\ &quot;lei&quot;_-;_-@_-"/>
    <numFmt numFmtId="165" formatCode="_-* #,##0\ &quot;lei&quot;_-;\-* #,##0\ &quot;lei&quot;_-;_-* &quot;-&quot;\ &quot;lei&quot;_-;_-@_-"/>
    <numFmt numFmtId="166" formatCode="d"/>
    <numFmt numFmtId="167" formatCode="mmmm"/>
  </numFmts>
  <fonts count="42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mbria"/>
      <family val="4"/>
      <scheme val="major"/>
    </font>
    <font>
      <sz val="11"/>
      <color theme="1"/>
      <name val="Cambria"/>
      <family val="4"/>
      <scheme val="major"/>
    </font>
    <font>
      <sz val="11"/>
      <color rgb="FFFFFF00"/>
      <name val="Cambria"/>
      <family val="4"/>
      <scheme val="major"/>
    </font>
    <font>
      <sz val="10"/>
      <color rgb="FFFFFF00"/>
      <name val="Cambria"/>
      <family val="4"/>
      <scheme val="major"/>
    </font>
    <font>
      <sz val="10"/>
      <color theme="4"/>
      <name val="Cambria"/>
      <family val="4"/>
      <scheme val="major"/>
    </font>
    <font>
      <b/>
      <sz val="12"/>
      <color theme="1"/>
      <name val="Cambria"/>
      <family val="2"/>
      <scheme val="major"/>
    </font>
    <font>
      <sz val="9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sz val="11"/>
      <color theme="4"/>
      <name val="Cambria"/>
      <family val="4"/>
      <scheme val="major"/>
    </font>
    <font>
      <b/>
      <sz val="11.5"/>
      <color theme="1"/>
      <name val="Cambria"/>
      <family val="2"/>
      <scheme val="major"/>
    </font>
    <font>
      <b/>
      <sz val="11.5"/>
      <color theme="0" tint="-0.249977111117893"/>
      <name val="Calibri"/>
      <family val="2"/>
      <scheme val="minor"/>
    </font>
    <font>
      <b/>
      <sz val="12"/>
      <color theme="0"/>
      <name val="Cambria"/>
      <family val="1"/>
      <scheme val="major"/>
    </font>
    <font>
      <b/>
      <sz val="28"/>
      <color theme="0"/>
      <name val="Cambria"/>
      <family val="1"/>
      <scheme val="major"/>
    </font>
    <font>
      <sz val="10"/>
      <color theme="0"/>
      <name val="Calibri"/>
      <family val="2"/>
      <scheme val="minor"/>
    </font>
    <font>
      <sz val="11"/>
      <color theme="0"/>
      <name val="Cambria"/>
      <family val="4"/>
      <scheme val="major"/>
    </font>
    <font>
      <sz val="12"/>
      <color theme="0"/>
      <name val="Cambria"/>
      <family val="1"/>
      <scheme val="major"/>
    </font>
    <font>
      <sz val="12"/>
      <color theme="0"/>
      <name val="Cambria"/>
      <family val="4"/>
      <scheme val="maj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.5"/>
      <color theme="1" tint="0.34998626667073579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3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0" tint="-0.14996795556505021"/>
      </right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1" fillId="0" borderId="0"/>
    <xf numFmtId="0" fontId="23" fillId="0" borderId="4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5" borderId="0" applyNumberFormat="0" applyBorder="0" applyAlignment="0" applyProtection="0"/>
    <xf numFmtId="0" fontId="34" fillId="6" borderId="0" applyNumberFormat="0" applyBorder="0" applyAlignment="0" applyProtection="0"/>
    <xf numFmtId="0" fontId="35" fillId="7" borderId="7" applyNumberFormat="0" applyAlignment="0" applyProtection="0"/>
    <xf numFmtId="0" fontId="36" fillId="8" borderId="8" applyNumberFormat="0" applyAlignment="0" applyProtection="0"/>
    <xf numFmtId="0" fontId="37" fillId="8" borderId="7" applyNumberFormat="0" applyAlignment="0" applyProtection="0"/>
    <xf numFmtId="0" fontId="38" fillId="0" borderId="9" applyNumberFormat="0" applyFill="0" applyAlignment="0" applyProtection="0"/>
    <xf numFmtId="0" fontId="39" fillId="9" borderId="10" applyNumberFormat="0" applyAlignment="0" applyProtection="0"/>
    <xf numFmtId="0" fontId="40" fillId="0" borderId="0" applyNumberFormat="0" applyFill="0" applyBorder="0" applyAlignment="0" applyProtection="0"/>
    <xf numFmtId="0" fontId="28" fillId="10" borderId="11" applyNumberFormat="0" applyFont="0" applyAlignment="0" applyProtection="0"/>
    <xf numFmtId="0" fontId="41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55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0" fontId="3" fillId="2" borderId="0" xfId="0" applyFont="1" applyFill="1" applyAlignment="1">
      <alignment horizontal="left" indent="1"/>
    </xf>
    <xf numFmtId="0" fontId="10" fillId="2" borderId="0" xfId="0" applyFont="1" applyFill="1"/>
    <xf numFmtId="0" fontId="11" fillId="2" borderId="0" xfId="0" applyFont="1" applyFill="1"/>
    <xf numFmtId="0" fontId="7" fillId="2" borderId="0" xfId="0" applyFont="1" applyFill="1"/>
    <xf numFmtId="0" fontId="4" fillId="0" borderId="0" xfId="0" applyFont="1" applyFill="1"/>
    <xf numFmtId="0" fontId="7" fillId="0" borderId="0" xfId="0" applyFont="1" applyFill="1"/>
    <xf numFmtId="0" fontId="6" fillId="0" borderId="0" xfId="0" applyFont="1" applyFill="1"/>
    <xf numFmtId="0" fontId="5" fillId="0" borderId="0" xfId="0" applyFont="1" applyFill="1"/>
    <xf numFmtId="0" fontId="0" fillId="0" borderId="0" xfId="0" applyFill="1"/>
    <xf numFmtId="0" fontId="14" fillId="2" borderId="0" xfId="0" applyFont="1" applyFill="1"/>
    <xf numFmtId="0" fontId="7" fillId="2" borderId="0" xfId="0" applyFont="1" applyFill="1" applyAlignment="1"/>
    <xf numFmtId="0" fontId="16" fillId="2" borderId="0" xfId="0" applyFont="1" applyFill="1"/>
    <xf numFmtId="0" fontId="17" fillId="2" borderId="0" xfId="0" applyFont="1" applyFill="1"/>
    <xf numFmtId="0" fontId="18" fillId="2" borderId="0" xfId="0" applyFont="1" applyFill="1" applyAlignment="1">
      <alignment horizontal="left" indent="1"/>
    </xf>
    <xf numFmtId="0" fontId="19" fillId="2" borderId="0" xfId="0" applyFont="1" applyFill="1" applyAlignment="1">
      <alignment horizontal="left" indent="1"/>
    </xf>
    <xf numFmtId="0" fontId="19" fillId="2" borderId="0" xfId="0" applyFont="1" applyFill="1"/>
    <xf numFmtId="0" fontId="20" fillId="2" borderId="0" xfId="0" applyFont="1" applyFill="1"/>
    <xf numFmtId="0" fontId="16" fillId="0" borderId="0" xfId="0" applyFont="1"/>
    <xf numFmtId="0" fontId="22" fillId="0" borderId="0" xfId="0" applyFont="1" applyFill="1" applyBorder="1" applyAlignment="1">
      <alignment horizontal="center"/>
    </xf>
    <xf numFmtId="0" fontId="24" fillId="3" borderId="4" xfId="2" applyFont="1" applyFill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7" fillId="2" borderId="0" xfId="0" applyFont="1" applyFill="1" applyAlignment="1">
      <alignment wrapText="1"/>
    </xf>
    <xf numFmtId="0" fontId="16" fillId="2" borderId="0" xfId="0" applyFont="1" applyFill="1" applyAlignment="1">
      <alignment wrapText="1"/>
    </xf>
    <xf numFmtId="0" fontId="27" fillId="0" borderId="0" xfId="0" applyFont="1" applyAlignment="1">
      <alignment wrapText="1"/>
    </xf>
    <xf numFmtId="0" fontId="8" fillId="0" borderId="3" xfId="0" applyNumberFormat="1" applyFont="1" applyFill="1" applyBorder="1" applyAlignment="1"/>
    <xf numFmtId="0" fontId="8" fillId="0" borderId="0" xfId="0" applyNumberFormat="1" applyFont="1" applyFill="1" applyBorder="1" applyAlignment="1"/>
    <xf numFmtId="0" fontId="13" fillId="0" borderId="3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0" fontId="0" fillId="0" borderId="0" xfId="0" applyNumberFormat="1" applyFont="1" applyFill="1" applyBorder="1"/>
    <xf numFmtId="0" fontId="0" fillId="0" borderId="3" xfId="0" applyNumberFormat="1" applyFont="1" applyBorder="1"/>
    <xf numFmtId="0" fontId="0" fillId="0" borderId="0" xfId="0" applyNumberFormat="1" applyFont="1"/>
    <xf numFmtId="0" fontId="0" fillId="0" borderId="0" xfId="0" applyNumberFormat="1"/>
    <xf numFmtId="0" fontId="0" fillId="0" borderId="3" xfId="0" applyNumberFormat="1" applyBorder="1"/>
    <xf numFmtId="0" fontId="9" fillId="0" borderId="0" xfId="0" applyNumberFormat="1" applyFont="1"/>
    <xf numFmtId="166" fontId="0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167" fontId="12" fillId="0" borderId="0" xfId="0" applyNumberFormat="1" applyFont="1" applyFill="1" applyBorder="1" applyAlignment="1">
      <alignment horizontal="left"/>
    </xf>
    <xf numFmtId="0" fontId="7" fillId="0" borderId="0" xfId="0" applyFont="1" applyFill="1"/>
    <xf numFmtId="0" fontId="7" fillId="2" borderId="0" xfId="0" applyFont="1" applyFill="1"/>
    <xf numFmtId="0" fontId="7" fillId="2" borderId="0" xfId="0" applyFont="1" applyFill="1" applyAlignment="1"/>
    <xf numFmtId="14" fontId="7" fillId="2" borderId="0" xfId="0" applyNumberFormat="1" applyFont="1" applyFill="1" applyAlignment="1">
      <alignment horizontal="right" indent="1"/>
    </xf>
    <xf numFmtId="0" fontId="10" fillId="2" borderId="2" xfId="0" applyFont="1" applyFill="1" applyBorder="1"/>
    <xf numFmtId="0" fontId="16" fillId="0" borderId="0" xfId="0" applyFont="1" applyAlignment="1">
      <alignment horizontal="center" wrapText="1"/>
    </xf>
    <xf numFmtId="0" fontId="15" fillId="2" borderId="0" xfId="0" applyFont="1" applyFill="1" applyAlignment="1">
      <alignment horizontal="left" wrapText="1"/>
    </xf>
    <xf numFmtId="0" fontId="15" fillId="2" borderId="0" xfId="0" applyFont="1" applyFill="1" applyAlignment="1">
      <alignment horizontal="right" wrapText="1"/>
    </xf>
    <xf numFmtId="0" fontId="10" fillId="2" borderId="1" xfId="0" applyFont="1" applyFill="1" applyBorder="1"/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3" builtinId="3" customBuiltin="1"/>
    <cellStyle name="Comma [0]" xfId="4" builtinId="6" customBuiltin="1"/>
    <cellStyle name="Currency" xfId="5" builtinId="4" customBuiltin="1"/>
    <cellStyle name="Currency [0]" xfId="6" builtinId="7" customBuiltin="1"/>
    <cellStyle name="Explanatory Text" xfId="22" builtinId="53" customBuiltin="1"/>
    <cellStyle name="Good" xfId="12" builtinId="26" customBuiltin="1"/>
    <cellStyle name="Heading 1" xfId="9" builtinId="16" customBuiltin="1"/>
    <cellStyle name="Heading 2" xfId="2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7" builtinId="5" customBuiltin="1"/>
    <cellStyle name="Title" xfId="8" builtinId="15" customBuiltin="1"/>
    <cellStyle name="Total" xfId="23" builtinId="25" customBuiltin="1"/>
    <cellStyle name="Warning Text" xfId="20" builtinId="11" customBuiltin="1"/>
    <cellStyle name="Обычный 2" xfId="1" xr:uid="{00000000-0005-0000-0000-000001000000}"/>
  </cellStyles>
  <dxfs count="10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AE$3" max="2999" min="1900" page="10" val="2019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85725</xdr:rowOff>
    </xdr:from>
    <xdr:to>
      <xdr:col>36</xdr:col>
      <xdr:colOff>183262</xdr:colOff>
      <xdr:row>22</xdr:row>
      <xdr:rowOff>7239</xdr:rowOff>
    </xdr:to>
    <xdr:sp macro="" textlink="">
      <xdr:nvSpPr>
        <xdr:cNvPr id="2" name="Школьная доска" descr="Деревянная рамка школьной доски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57176" y="85725"/>
          <a:ext cx="7431786" cy="4188714"/>
        </a:xfrm>
        <a:prstGeom prst="frame">
          <a:avLst>
            <a:gd name="adj1" fmla="val 4776"/>
          </a:avLst>
        </a:prstGeom>
        <a:blipFill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artisticCrisscrossEtching/>
                    </a14:imgEffect>
                  </a14:imgLayer>
                </a14:imgProps>
              </a:ext>
            </a:extLst>
          </a:blip>
          <a:tile tx="0" ty="0" sx="100000" sy="100000" flip="none" algn="tl"/>
        </a:blipFill>
        <a:ln>
          <a:noFill/>
        </a:ln>
        <a:effectLst>
          <a:innerShdw blurRad="114300">
            <a:prstClr val="black"/>
          </a:inn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37</xdr:col>
      <xdr:colOff>9527</xdr:colOff>
      <xdr:row>2</xdr:row>
      <xdr:rowOff>104776</xdr:rowOff>
    </xdr:from>
    <xdr:to>
      <xdr:col>40</xdr:col>
      <xdr:colOff>409575</xdr:colOff>
      <xdr:row>3</xdr:row>
      <xdr:rowOff>0</xdr:rowOff>
    </xdr:to>
    <xdr:sp macro="" textlink="">
      <xdr:nvSpPr>
        <xdr:cNvPr id="4" name="Инструкции" descr="Совет. Используйте счетчик, чтобы выбрать другой календарный год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7715252" y="552451"/>
          <a:ext cx="2228848" cy="333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l" rtl="0"/>
          <a:r>
            <a:rPr lang="ru" sz="1000" b="0" i="1">
              <a:solidFill>
                <a:schemeClr val="tx1">
                  <a:lumMod val="75000"/>
                  <a:lumOff val="25000"/>
                </a:schemeClr>
              </a:solidFill>
              <a:latin typeface="Calibri" panose="020F0502020204030204" pitchFamily="34" charset="0"/>
            </a:rPr>
            <a:t>Используйте счетчик, чтобы выбрать другой календарный год</a:t>
          </a:r>
        </a:p>
      </xdr:txBody>
    </xdr:sp>
    <xdr:clientData fPrintsWithSheet="0"/>
  </xdr:twoCellAnchor>
  <xdr:twoCellAnchor editAs="oneCell">
    <xdr:from>
      <xdr:col>18</xdr:col>
      <xdr:colOff>114300</xdr:colOff>
      <xdr:row>4</xdr:row>
      <xdr:rowOff>85725</xdr:rowOff>
    </xdr:from>
    <xdr:to>
      <xdr:col>18</xdr:col>
      <xdr:colOff>114300</xdr:colOff>
      <xdr:row>20</xdr:row>
      <xdr:rowOff>24765</xdr:rowOff>
    </xdr:to>
    <xdr:cxnSp macro="">
      <xdr:nvCxnSpPr>
        <xdr:cNvPr id="6" name="Разделительная линия школьной доски" descr="Разделительная линия школьной доски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4343400" y="1076325"/>
          <a:ext cx="0" cy="2834640"/>
        </a:xfrm>
        <a:prstGeom prst="line">
          <a:avLst/>
        </a:prstGeom>
        <a:ln w="3175">
          <a:solidFill>
            <a:schemeClr val="accent1">
              <a:lumMod val="50000"/>
            </a:schemeClr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2</xdr:row>
          <xdr:rowOff>85725</xdr:rowOff>
        </xdr:from>
        <xdr:to>
          <xdr:col>35</xdr:col>
          <xdr:colOff>152400</xdr:colOff>
          <xdr:row>2</xdr:row>
          <xdr:rowOff>390525</xdr:rowOff>
        </xdr:to>
        <xdr:sp macro="" textlink="">
          <xdr:nvSpPr>
            <xdr:cNvPr id="1025" name="Счетчик" descr="Используйте кнопки счетчика, чтобы изменить календарный год, или введите год в ячейке AE3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E084D8F-5E57-4031-AB3B-95BABC13017E}" name="Январь" displayName="Январь" ref="C25:I31" totalsRowShown="0" headerRowDxfId="107" dataDxfId="106">
  <autoFilter ref="C25:I31" xr:uid="{1ADE8804-B0AD-4D11-994B-A0B41F6BA22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E197DA7-A53D-40E2-83EB-11047B8FB9A1}" name="Пн" dataDxfId="105"/>
    <tableColumn id="2" xr3:uid="{D28A6F25-5E4C-4F17-88ED-16968913DBE9}" name="Вт" dataDxfId="104"/>
    <tableColumn id="3" xr3:uid="{BB2355F6-BB28-486C-8D20-834DCACD4F3F}" name="Ср" dataDxfId="103"/>
    <tableColumn id="4" xr3:uid="{50E92CC5-40CA-4805-9BB5-CE0DB8786693}" name="Чт" dataDxfId="102"/>
    <tableColumn id="5" xr3:uid="{E4BB72AD-4D9E-41F4-90A0-D41C1000188D}" name="Пт" dataDxfId="101"/>
    <tableColumn id="6" xr3:uid="{2B371CF3-31DE-453E-9B23-86C0A18DD970}" name="Сб" dataDxfId="100"/>
    <tableColumn id="7" xr3:uid="{66ED2259-FB70-4D39-BDC5-24C72D11CFAF}" name="Вс" dataDxfId="99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Календарь на январь и день недели вычисляются автоматически для года, введенного в ячейке AE3 этой таблицы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09AB6E0-CD0E-4829-AEC6-6555470351F2}" name="Май" displayName="Май" ref="C34:I40" totalsRowShown="0" headerRowDxfId="26" dataDxfId="25">
  <autoFilter ref="C34:I40" xr:uid="{DD84EE09-28A1-495B-AAF7-8A0DC4C4308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EB5F498-A896-471E-B854-83E1F5569372}" name="Пн" dataDxfId="24"/>
    <tableColumn id="2" xr3:uid="{BA329B39-24F6-49D6-B18B-B0D068298D8D}" name="Вт" dataDxfId="23"/>
    <tableColumn id="3" xr3:uid="{C799F152-9858-4AF4-A0FF-8FCA81C8D628}" name="Ср" dataDxfId="22"/>
    <tableColumn id="4" xr3:uid="{E983E442-3CDE-46FF-8F09-DAE022ADCC87}" name="Чт" dataDxfId="21"/>
    <tableColumn id="5" xr3:uid="{8149405D-CCBC-4B4B-85BE-1A4FF328E013}" name="Пт" dataDxfId="20"/>
    <tableColumn id="6" xr3:uid="{9C43832F-4334-4B42-B414-EFF19262FEE6}" name="Сб" dataDxfId="19"/>
    <tableColumn id="7" xr3:uid="{9AF096CA-BE9E-4E1D-838B-C9706D1EF82D}" name="Вс" dataDxfId="18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Календарь на май и день недели вычисляются автоматически для года, введенного в ячейке AE3 этой таблицы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5C1C30F-F899-4F2F-ACC1-9E735A2D638E}" name="Июнь" displayName="Июнь" ref="L34:R40" totalsRowShown="0" headerRowDxfId="17" dataDxfId="16">
  <autoFilter ref="L34:R40" xr:uid="{06E6625D-5B44-4419-B810-7FC21D452BD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503938C-7986-49FF-9501-DDC17B342FAA}" name="Пн" dataDxfId="15"/>
    <tableColumn id="2" xr3:uid="{D09E41EB-4C62-4845-BE36-E7C6C3889C0C}" name="Вт" dataDxfId="14"/>
    <tableColumn id="3" xr3:uid="{7E15A4CB-F43F-4EBE-BA7C-AF20ECC6CFCF}" name="Ср" dataDxfId="13"/>
    <tableColumn id="4" xr3:uid="{FB6E5EE0-423F-4A55-9060-8B0B30DC7B4C}" name="Чт" dataDxfId="12"/>
    <tableColumn id="5" xr3:uid="{C7F55345-04C4-4F39-ADF6-BE38EF870C9A}" name="Пт" dataDxfId="11"/>
    <tableColumn id="6" xr3:uid="{89E766D5-3601-41EB-A409-D3C988BFEBDC}" name="Сб" dataDxfId="10"/>
    <tableColumn id="7" xr3:uid="{B37A6A8B-9721-42FA-8CA0-0914B15D5A98}" name="Вс" dataDxfId="9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Календарь на июнь и день недели вычисляются автоматически для года, введенного в ячейке AE3 этой таблицы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EEF8228F-878A-4314-8FAB-11CFA7BBDCCE}" name="Июль" displayName="Июль" ref="U34:AA40" totalsRowShown="0" headerRowDxfId="8" dataDxfId="7">
  <autoFilter ref="U34:AA40" xr:uid="{9393EAC2-153E-44A1-8C75-70195AD060C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B04AB094-7893-4603-B8E4-15FF6D7C848C}" name="Пн" dataDxfId="6"/>
    <tableColumn id="2" xr3:uid="{84C699AB-6496-441A-B237-2EB283CEFEAE}" name="Вт" dataDxfId="5"/>
    <tableColumn id="3" xr3:uid="{F183BF59-9DC2-4398-81DB-F0438980A67D}" name="Ср" dataDxfId="4"/>
    <tableColumn id="4" xr3:uid="{57B4D1AE-A132-42AB-B0DA-DFFC07D5E12F}" name="Чт" dataDxfId="3"/>
    <tableColumn id="5" xr3:uid="{99F0B57B-81B2-4F58-814B-9AF63612A63B}" name="Пт" dataDxfId="2"/>
    <tableColumn id="6" xr3:uid="{85194B0F-B914-42E3-9849-D706E0596F18}" name="Сб" dataDxfId="1"/>
    <tableColumn id="7" xr3:uid="{D5875EA9-3BE5-41A0-8B63-BDE1DE894F6A}" name="Вс" dataDxfId="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Календарь на июль и день недели вычисляются автоматически для года, введенного в ячейке AE3 этой таблицы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B1B8811-C173-43D0-81E6-C30611F9E48C}" name="Февраль" displayName="Февраль" ref="L25:R31" totalsRowShown="0" headerRowDxfId="98" dataDxfId="97">
  <autoFilter ref="L25:R31" xr:uid="{09FFEE6B-010F-48D3-B7C4-7E92ACC16B4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1ED18BE3-3587-499C-9504-874D29C247A0}" name="Пн" dataDxfId="96"/>
    <tableColumn id="2" xr3:uid="{A205A52F-8E37-498A-A5CC-6FD0732AF131}" name="Вт" dataDxfId="95"/>
    <tableColumn id="3" xr3:uid="{4F8A4A4F-781E-4A2F-9EF3-0FF67EE2444C}" name="Ср" dataDxfId="94"/>
    <tableColumn id="4" xr3:uid="{CDAFA5B3-2779-483C-99FC-75278781B8FD}" name="Чт" dataDxfId="93"/>
    <tableColumn id="5" xr3:uid="{C5B99975-7BB5-4A5D-8222-AC94AE515D3A}" name="Пт" dataDxfId="92"/>
    <tableColumn id="6" xr3:uid="{5AF46251-0E40-4F5B-94D6-BDC11EC73FDB}" name="Сб" dataDxfId="91"/>
    <tableColumn id="7" xr3:uid="{658ADFA5-E083-46E9-B4B2-6F07BA9C7140}" name="Вс" dataDxfId="9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Календарь на февраль и день недели вычисляются автоматически для года, введенного в ячейке AE3 этой таблицы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DD92657-C237-4754-BCC7-2602796838F9}" name="Март" displayName="Март" ref="U25:AA31" totalsRowShown="0" headerRowDxfId="89" dataDxfId="88">
  <autoFilter ref="U25:AA31" xr:uid="{B456D373-3115-41EB-A162-40F83720CC9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14069E1A-70FC-4342-918B-8E6B20A93356}" name="Пн" dataDxfId="87"/>
    <tableColumn id="2" xr3:uid="{1976C28A-BF43-4F82-B3A1-179B4B4AF804}" name="Вт" dataDxfId="86"/>
    <tableColumn id="3" xr3:uid="{DFDBD758-6531-462B-9AE8-3686E98FFCA9}" name="Ср" dataDxfId="85"/>
    <tableColumn id="4" xr3:uid="{3AA99097-3DF7-4398-A496-FF080F2CE97E}" name="Чт" dataDxfId="84"/>
    <tableColumn id="5" xr3:uid="{0E76D483-C95C-4DD9-9CAE-A97C8544598B}" name="Пт" dataDxfId="83"/>
    <tableColumn id="6" xr3:uid="{7D921C56-69EB-4ABA-9B90-EA9F831DCC34}" name="Сб" dataDxfId="82"/>
    <tableColumn id="7" xr3:uid="{03450A21-A6C8-4854-B72B-E981E5FC9DC9}" name="Вс" dataDxfId="81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Календарь на март и день недели вычисляются автоматически для года, введенного в ячейке AE3 этой таблицы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E087589-C009-49EB-AFDC-257881EDD147}" name="Апрель" displayName="Апрель" ref="AD25:AJ31" totalsRowShown="0" headerRowDxfId="80" dataDxfId="79">
  <autoFilter ref="AD25:AJ31" xr:uid="{8BFC6485-6E26-4A91-8066-650E029D3FF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D8EEF355-B82A-4D6F-B450-C6D068838F44}" name="Пн" dataDxfId="78"/>
    <tableColumn id="2" xr3:uid="{0221955E-CD3B-479A-BF28-D0EB57D80A7C}" name="Вт" dataDxfId="77"/>
    <tableColumn id="3" xr3:uid="{273B5508-3FFE-4EFC-8827-E1E9731A6D7E}" name="Ср" dataDxfId="76"/>
    <tableColumn id="4" xr3:uid="{7F787E39-16E5-49DD-AA24-872C926B911A}" name="Чт" dataDxfId="75"/>
    <tableColumn id="5" xr3:uid="{8AAAF603-B5C0-498D-9D55-5F9E7E387865}" name="Пт" dataDxfId="74"/>
    <tableColumn id="6" xr3:uid="{79472EDD-BC97-4C5A-A27E-F1390E092491}" name="Сб" dataDxfId="73"/>
    <tableColumn id="7" xr3:uid="{85A34A75-8BEB-40C8-9A1F-62A4F246DB22}" name="Вс" dataDxfId="72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Календарь на апрель и день недели вычисляются автоматически для года, введенного в ячейке AE3 этой таблицы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EBF5564-BB5A-4618-B4DB-982512EAFB11}" name="Август" displayName="Август" ref="AD34:AJ40" totalsRowShown="0" headerRowDxfId="71" dataDxfId="70">
  <autoFilter ref="AD34:AJ40" xr:uid="{5719ADA1-9BC9-4D98-B98F-4D6D2024564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267B3F8E-C14A-47E8-8002-E8A7D40C3E27}" name="Пн" dataDxfId="69"/>
    <tableColumn id="2" xr3:uid="{01DDCFDC-70E0-489A-AAAE-CD22902F985B}" name="Вт" dataDxfId="68"/>
    <tableColumn id="3" xr3:uid="{6CBD51C1-76AC-4F6D-BE33-4C9402A220A5}" name="Ср" dataDxfId="67"/>
    <tableColumn id="4" xr3:uid="{EC58AF9D-EB3F-4E1D-8E68-2B1EF525DBAB}" name="Чт" dataDxfId="66"/>
    <tableColumn id="5" xr3:uid="{C367D5EF-1033-48E8-A2C7-4068935677BF}" name="Пт" dataDxfId="65"/>
    <tableColumn id="6" xr3:uid="{219986D6-6C09-4E7C-B268-689E81800E13}" name="Сб" dataDxfId="64"/>
    <tableColumn id="7" xr3:uid="{B02FE3BD-CE1D-4250-99CE-0DB5D42E3E4D}" name="Вс" dataDxfId="63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Календарь на август и день недели вычисляются автоматически для года, введенного в ячейке AE3 этой таблицы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2FF5790-842E-4103-BC29-B54ACD26D025}" name="Декабрь" displayName="Декабрь" ref="AD43:AJ49" totalsRowShown="0" headerRowDxfId="62" dataDxfId="61">
  <autoFilter ref="AD43:AJ49" xr:uid="{CEC5793F-6ABD-47F5-97E3-AA946FC68DC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F7CB8969-BEA3-4624-979E-E1374078F18D}" name="Пн" dataDxfId="60"/>
    <tableColumn id="2" xr3:uid="{DCB993F9-E5E9-4213-9C84-46F6E62105D7}" name="Вт" dataDxfId="59"/>
    <tableColumn id="3" xr3:uid="{ED7C5EA4-3B5B-404A-99A0-AD0C523D02E8}" name="Ср" dataDxfId="58"/>
    <tableColumn id="4" xr3:uid="{35FA642E-79F1-4B64-ACDB-3AB30A01BB43}" name="Чт" dataDxfId="57"/>
    <tableColumn id="5" xr3:uid="{9119F847-2CFB-4518-954A-408F67803C6D}" name="Пт" dataDxfId="56"/>
    <tableColumn id="6" xr3:uid="{CFC3B963-A43F-4B9E-A411-25CF38B5B8FB}" name="Сб" dataDxfId="55"/>
    <tableColumn id="7" xr3:uid="{6773B7AD-6C98-4B11-ACCC-958503B6DC12}" name="Вс" dataDxfId="54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Календарь на декабрь и день недели вычисляются автоматически для года, введенного в ячейке AE3 этой таблицы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ECAB4FC-D90C-41D6-90D6-EFB979E90C77}" name="Ноябрь" displayName="Ноябрь" ref="U43:AA49" totalsRowShown="0" headerRowDxfId="53" dataDxfId="52">
  <autoFilter ref="U43:AA49" xr:uid="{D2B6EA8E-438C-46C4-92D4-1A158BB89EA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D83919A4-2344-4CC2-99FA-245A55B3424B}" name="Пн" dataDxfId="51"/>
    <tableColumn id="2" xr3:uid="{AA21C15B-CFEE-4282-AC89-A2518C48FE57}" name="Вт" dataDxfId="50"/>
    <tableColumn id="3" xr3:uid="{50DEF649-6E83-425F-B0F7-9FB8FE7EBB63}" name="Ср" dataDxfId="49"/>
    <tableColumn id="4" xr3:uid="{2FE2FBD4-4B90-4F5C-A8AE-A8CEA2DD5861}" name="Чт" dataDxfId="48"/>
    <tableColumn id="5" xr3:uid="{B65AFF60-D315-4718-AF6E-4F26244C19DF}" name="Пт" dataDxfId="47"/>
    <tableColumn id="6" xr3:uid="{E8D0DE96-B2CD-47F6-94B9-529A472368BA}" name="Сб" dataDxfId="46"/>
    <tableColumn id="7" xr3:uid="{61C86030-ECA7-41C7-A52D-7CF24741A743}" name="Вс" dataDxfId="45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Календарь на ноябрь и день недели вычисляются автоматически для года, введенного в ячейке AE3 этой таблицы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9240A08-42CE-49FA-A2A4-AF37C3C91937}" name="Октябрь" displayName="Октябрь" ref="L43:R49" totalsRowShown="0" headerRowDxfId="44" dataDxfId="43">
  <autoFilter ref="L43:R49" xr:uid="{190FC243-D4ED-4031-BD65-2508A4CC43A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7959FE53-B080-4347-851C-F1E6DF868D1E}" name="Пн" dataDxfId="42"/>
    <tableColumn id="2" xr3:uid="{58818C2A-A8BB-4BEE-A471-DDCB2289F220}" name="Вт" dataDxfId="41"/>
    <tableColumn id="3" xr3:uid="{38A99EE2-D9B0-471F-B412-28E7BA093F28}" name="Ср" dataDxfId="40"/>
    <tableColumn id="4" xr3:uid="{E8BBD341-C110-4365-902F-BF128A3818B7}" name="Чт" dataDxfId="39"/>
    <tableColumn id="5" xr3:uid="{AECC25E7-B42C-47DE-AC99-4E3039CC4F71}" name="Пт" dataDxfId="38"/>
    <tableColumn id="6" xr3:uid="{2A622645-E1EE-49EF-9B76-A5C8939E6835}" name="Сб" dataDxfId="37"/>
    <tableColumn id="7" xr3:uid="{DEF76847-D46C-406F-9AAB-FEC40A323551}" name="Вс" dataDxfId="36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Календарь на октябрь и день недели вычисляются автоматически для года, введенного в ячейке AE3 этой таблицы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E2D64E12-997B-4486-8A95-99D21B562D39}" name="Сентябрь" displayName="Сентябрь" ref="C43:I49" totalsRowShown="0" headerRowDxfId="35" dataDxfId="34">
  <autoFilter ref="C43:I49" xr:uid="{3F5C9226-4DD1-491C-AC86-DA42A4632E5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B5BBC02D-CAFF-4F4E-8247-8C60842E4E75}" name="Пн" dataDxfId="33"/>
    <tableColumn id="2" xr3:uid="{5C3756F3-44FD-4E9C-98D1-C798168ABA12}" name="Вт" dataDxfId="32"/>
    <tableColumn id="3" xr3:uid="{D23E7CE4-63A9-46CF-A6CA-8AB7B4338DE2}" name="Ср" dataDxfId="31"/>
    <tableColumn id="4" xr3:uid="{C18943D6-8975-4A03-9EFA-1A748AC4727A}" name="Чт" dataDxfId="30"/>
    <tableColumn id="5" xr3:uid="{8FB9889B-D0CF-4FE9-8A62-5B7B1FE7C4A9}" name="Пт" dataDxfId="29"/>
    <tableColumn id="6" xr3:uid="{B1B5B5E1-3349-4348-8E65-46C36ADC9DFB}" name="Сб" dataDxfId="28"/>
    <tableColumn id="7" xr3:uid="{94CDB875-64F6-4E7A-A810-55D75100150A}" name="Вс" dataDxfId="27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Календарь на сентябрь и день недели вычисляются автоматически для года, введенного в ячейке AE3 этой таблицы"/>
    </ext>
  </extLst>
</table>
</file>

<file path=xl/theme/theme1.xml><?xml version="1.0" encoding="utf-8"?>
<a:theme xmlns:a="http://schemas.openxmlformats.org/drawingml/2006/main" name="9_calendar">
  <a:themeElements>
    <a:clrScheme name="Family Calendar 2">
      <a:dk1>
        <a:sysClr val="windowText" lastClr="000000"/>
      </a:dk1>
      <a:lt1>
        <a:sysClr val="window" lastClr="FFFFFF"/>
      </a:lt1>
      <a:dk2>
        <a:srgbClr val="3E3D2D"/>
      </a:dk2>
      <a:lt2>
        <a:srgbClr val="FFFFFF"/>
      </a:lt2>
      <a:accent1>
        <a:srgbClr val="FFF078"/>
      </a:accent1>
      <a:accent2>
        <a:srgbClr val="99FF66"/>
      </a:accent2>
      <a:accent3>
        <a:srgbClr val="FF99FF"/>
      </a:accent3>
      <a:accent4>
        <a:srgbClr val="92E0F7"/>
      </a:accent4>
      <a:accent5>
        <a:srgbClr val="FFCB92"/>
      </a:accent5>
      <a:accent6>
        <a:srgbClr val="CC99FF"/>
      </a:accent6>
      <a:hlink>
        <a:srgbClr val="BBA600"/>
      </a:hlink>
      <a:folHlink>
        <a:srgbClr val="A45600"/>
      </a:folHlink>
    </a:clrScheme>
    <a:fontScheme name="Custom 7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.xml"/><Relationship Id="rId13" Type="http://schemas.openxmlformats.org/officeDocument/2006/relationships/table" Target="../tables/table9.xml"/><Relationship Id="rId3" Type="http://schemas.openxmlformats.org/officeDocument/2006/relationships/vmlDrawing" Target="../drawings/vmlDrawing1.vml"/><Relationship Id="rId7" Type="http://schemas.openxmlformats.org/officeDocument/2006/relationships/table" Target="../tables/table3.xml"/><Relationship Id="rId12" Type="http://schemas.openxmlformats.org/officeDocument/2006/relationships/table" Target="../tables/table8.xml"/><Relationship Id="rId2" Type="http://schemas.openxmlformats.org/officeDocument/2006/relationships/drawing" Target="../drawings/drawing1.xml"/><Relationship Id="rId16" Type="http://schemas.openxmlformats.org/officeDocument/2006/relationships/table" Target="../tables/table1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2.xml"/><Relationship Id="rId11" Type="http://schemas.openxmlformats.org/officeDocument/2006/relationships/table" Target="../tables/table7.xml"/><Relationship Id="rId5" Type="http://schemas.openxmlformats.org/officeDocument/2006/relationships/table" Target="../tables/table1.xml"/><Relationship Id="rId15" Type="http://schemas.openxmlformats.org/officeDocument/2006/relationships/table" Target="../tables/table11.xml"/><Relationship Id="rId10" Type="http://schemas.openxmlformats.org/officeDocument/2006/relationships/table" Target="../tables/table6.xml"/><Relationship Id="rId4" Type="http://schemas.openxmlformats.org/officeDocument/2006/relationships/ctrlProp" Target="../ctrlProps/ctrlProp1.xml"/><Relationship Id="rId9" Type="http://schemas.openxmlformats.org/officeDocument/2006/relationships/table" Target="../tables/table5.xml"/><Relationship Id="rId14" Type="http://schemas.openxmlformats.org/officeDocument/2006/relationships/table" Target="../tables/table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E230F-273C-45E9-9C80-355F4F860AE9}">
  <sheetPr>
    <tabColor theme="1" tint="0.34998626667073579"/>
  </sheetPr>
  <dimension ref="B1:B9"/>
  <sheetViews>
    <sheetView showGridLines="0" tabSelected="1" workbookViewId="0"/>
  </sheetViews>
  <sheetFormatPr defaultRowHeight="12.75" x14ac:dyDescent="0.2"/>
  <cols>
    <col min="1" max="1" width="2.7109375" customWidth="1"/>
    <col min="2" max="2" width="85.140625" customWidth="1"/>
    <col min="3" max="3" width="2.7109375" customWidth="1"/>
  </cols>
  <sheetData>
    <row r="1" spans="2:2" ht="18" thickBot="1" x14ac:dyDescent="0.35">
      <c r="B1" s="22" t="s">
        <v>0</v>
      </c>
    </row>
    <row r="2" spans="2:2" ht="30" customHeight="1" thickTop="1" x14ac:dyDescent="0.2">
      <c r="B2" s="44" t="s">
        <v>33</v>
      </c>
    </row>
    <row r="3" spans="2:2" s="23" customFormat="1" ht="30" customHeight="1" x14ac:dyDescent="0.2">
      <c r="B3" s="24" t="s">
        <v>1</v>
      </c>
    </row>
    <row r="4" spans="2:2" s="23" customFormat="1" ht="30" customHeight="1" x14ac:dyDescent="0.2">
      <c r="B4" s="24" t="s">
        <v>2</v>
      </c>
    </row>
    <row r="5" spans="2:2" s="23" customFormat="1" ht="15" x14ac:dyDescent="0.2">
      <c r="B5" s="25" t="s">
        <v>3</v>
      </c>
    </row>
    <row r="6" spans="2:2" ht="45" x14ac:dyDescent="0.2">
      <c r="B6" s="24" t="s">
        <v>4</v>
      </c>
    </row>
    <row r="7" spans="2:2" ht="30" customHeight="1" x14ac:dyDescent="0.25">
      <c r="B7" s="31" t="s">
        <v>5</v>
      </c>
    </row>
    <row r="9" spans="2:2" ht="15" x14ac:dyDescent="0.2">
      <c r="B9" s="2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/>
  </sheetPr>
  <dimension ref="A1:AN50"/>
  <sheetViews>
    <sheetView showGridLines="0" zoomScaleNormal="100" workbookViewId="0"/>
  </sheetViews>
  <sheetFormatPr defaultRowHeight="12.75" x14ac:dyDescent="0.2"/>
  <cols>
    <col min="1" max="1" width="3.42578125" style="20" customWidth="1"/>
    <col min="2" max="2" width="3.140625" customWidth="1"/>
    <col min="3" max="9" width="3.28515625" customWidth="1"/>
    <col min="10" max="11" width="2.28515625" customWidth="1"/>
    <col min="12" max="18" width="3.28515625" customWidth="1"/>
    <col min="19" max="20" width="2.28515625" customWidth="1"/>
    <col min="21" max="27" width="3.28515625" customWidth="1"/>
    <col min="28" max="29" width="2.28515625" customWidth="1"/>
    <col min="30" max="37" width="3.28515625" customWidth="1"/>
  </cols>
  <sheetData>
    <row r="1" spans="1:40" ht="20.25" customHeight="1" x14ac:dyDescent="0.2">
      <c r="A1" s="26" t="s">
        <v>6</v>
      </c>
    </row>
    <row r="2" spans="1:40" ht="15" customHeight="1" x14ac:dyDescent="0.2">
      <c r="C2" s="14"/>
      <c r="D2" s="14"/>
      <c r="E2" s="15"/>
      <c r="F2" s="15"/>
      <c r="G2" s="15"/>
      <c r="H2" s="15"/>
      <c r="I2" s="15"/>
      <c r="J2" s="15"/>
      <c r="K2" s="15"/>
      <c r="L2" s="15"/>
      <c r="M2" s="15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</row>
    <row r="3" spans="1:40" s="28" customFormat="1" ht="34.5" customHeight="1" x14ac:dyDescent="0.45">
      <c r="A3" s="27" t="s">
        <v>34</v>
      </c>
      <c r="C3" s="29"/>
      <c r="D3" s="52" t="s">
        <v>21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3">
        <f ca="1">YEAR(TODAY())</f>
        <v>2019</v>
      </c>
      <c r="AF3" s="53"/>
      <c r="AG3" s="53"/>
      <c r="AH3" s="53"/>
      <c r="AI3" s="53"/>
      <c r="AJ3" s="30"/>
      <c r="AL3" s="51" t="s">
        <v>32</v>
      </c>
      <c r="AM3" s="51"/>
      <c r="AN3" s="51"/>
    </row>
    <row r="4" spans="1:40" ht="9.75" customHeight="1" x14ac:dyDescent="0.2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</row>
    <row r="5" spans="1:40" ht="15.75" customHeight="1" x14ac:dyDescent="0.25">
      <c r="A5" s="27" t="s">
        <v>7</v>
      </c>
      <c r="C5" s="14"/>
      <c r="D5" s="3" t="s">
        <v>22</v>
      </c>
      <c r="E5" s="16"/>
      <c r="F5" s="17"/>
      <c r="G5" s="17"/>
      <c r="H5" s="18"/>
      <c r="I5" s="18"/>
      <c r="J5" s="18"/>
      <c r="K5" s="18"/>
      <c r="L5" s="18"/>
      <c r="M5" s="3"/>
      <c r="N5" s="19"/>
      <c r="O5" s="18"/>
      <c r="P5" s="19"/>
      <c r="Q5" s="19"/>
      <c r="R5" s="19"/>
      <c r="S5" s="14"/>
      <c r="T5" s="14"/>
      <c r="U5" s="12" t="s">
        <v>31</v>
      </c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4"/>
      <c r="AJ5" s="14"/>
    </row>
    <row r="6" spans="1:40" x14ac:dyDescent="0.2">
      <c r="C6" s="4"/>
      <c r="D6" s="49">
        <f ca="1">DATE(YEAR(TODAY()),1,1)</f>
        <v>43466</v>
      </c>
      <c r="E6" s="49"/>
      <c r="F6" s="49"/>
      <c r="G6" s="49"/>
      <c r="H6" s="48" t="s">
        <v>27</v>
      </c>
      <c r="I6" s="48"/>
      <c r="J6" s="48"/>
      <c r="K6" s="48"/>
      <c r="L6" s="48"/>
      <c r="M6" s="48"/>
      <c r="N6" s="48"/>
      <c r="O6" s="48"/>
      <c r="P6" s="48"/>
      <c r="Q6" s="48"/>
      <c r="R6" s="13"/>
      <c r="S6" s="6"/>
      <c r="T6" s="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4"/>
    </row>
    <row r="7" spans="1:40" ht="14.25" x14ac:dyDescent="0.2">
      <c r="C7" s="5"/>
      <c r="D7" s="49">
        <f ca="1">DATE(YEAR(TODAY()),3,25)</f>
        <v>43549</v>
      </c>
      <c r="E7" s="49"/>
      <c r="F7" s="49"/>
      <c r="G7" s="49"/>
      <c r="H7" s="48" t="s">
        <v>28</v>
      </c>
      <c r="I7" s="48"/>
      <c r="J7" s="48"/>
      <c r="K7" s="48"/>
      <c r="L7" s="48"/>
      <c r="M7" s="48"/>
      <c r="N7" s="48"/>
      <c r="O7" s="48"/>
      <c r="P7" s="48"/>
      <c r="Q7" s="48"/>
      <c r="R7" s="13"/>
      <c r="S7" s="6"/>
      <c r="T7" s="4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4"/>
    </row>
    <row r="8" spans="1:40" ht="14.25" x14ac:dyDescent="0.2">
      <c r="C8" s="5"/>
      <c r="D8" s="49"/>
      <c r="E8" s="49"/>
      <c r="F8" s="49"/>
      <c r="G8" s="49"/>
      <c r="H8" s="48"/>
      <c r="I8" s="48"/>
      <c r="J8" s="48"/>
      <c r="K8" s="48"/>
      <c r="L8" s="48"/>
      <c r="M8" s="48"/>
      <c r="N8" s="48"/>
      <c r="O8" s="48"/>
      <c r="P8" s="48"/>
      <c r="Q8" s="48"/>
      <c r="R8" s="13"/>
      <c r="S8" s="6"/>
      <c r="T8" s="4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4"/>
    </row>
    <row r="9" spans="1:40" ht="14.25" x14ac:dyDescent="0.2">
      <c r="C9" s="5"/>
      <c r="D9" s="49"/>
      <c r="E9" s="49"/>
      <c r="F9" s="49"/>
      <c r="G9" s="49"/>
      <c r="H9" s="48"/>
      <c r="I9" s="48"/>
      <c r="J9" s="48"/>
      <c r="K9" s="48"/>
      <c r="L9" s="48"/>
      <c r="M9" s="48"/>
      <c r="N9" s="48"/>
      <c r="O9" s="48"/>
      <c r="P9" s="48"/>
      <c r="Q9" s="48"/>
      <c r="R9" s="13"/>
      <c r="S9" s="6"/>
      <c r="T9" s="4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4"/>
    </row>
    <row r="10" spans="1:40" ht="14.25" x14ac:dyDescent="0.2">
      <c r="C10" s="5"/>
      <c r="D10" s="49"/>
      <c r="E10" s="49"/>
      <c r="F10" s="49"/>
      <c r="G10" s="49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13"/>
      <c r="S10" s="6"/>
      <c r="T10" s="4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4"/>
    </row>
    <row r="11" spans="1:40" ht="14.25" x14ac:dyDescent="0.2">
      <c r="C11" s="5"/>
      <c r="D11" s="49"/>
      <c r="E11" s="49"/>
      <c r="F11" s="49"/>
      <c r="G11" s="49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13"/>
      <c r="S11" s="6"/>
      <c r="T11" s="4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4"/>
    </row>
    <row r="12" spans="1:40" ht="14.25" x14ac:dyDescent="0.2">
      <c r="C12" s="5"/>
      <c r="D12" s="49"/>
      <c r="E12" s="49"/>
      <c r="F12" s="49"/>
      <c r="G12" s="49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13"/>
      <c r="S12" s="6"/>
      <c r="T12" s="4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4"/>
    </row>
    <row r="13" spans="1:40" ht="14.25" x14ac:dyDescent="0.2">
      <c r="C13" s="5"/>
      <c r="D13" s="49"/>
      <c r="E13" s="49"/>
      <c r="F13" s="49"/>
      <c r="G13" s="49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13"/>
      <c r="S13" s="6"/>
      <c r="T13" s="4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4"/>
    </row>
    <row r="14" spans="1:40" ht="14.25" x14ac:dyDescent="0.2">
      <c r="C14" s="5"/>
      <c r="D14" s="49"/>
      <c r="E14" s="49"/>
      <c r="F14" s="49"/>
      <c r="G14" s="49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13"/>
      <c r="S14" s="6"/>
      <c r="T14" s="4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4"/>
    </row>
    <row r="15" spans="1:40" ht="14.25" x14ac:dyDescent="0.2">
      <c r="C15" s="5"/>
      <c r="D15" s="49"/>
      <c r="E15" s="49"/>
      <c r="F15" s="49"/>
      <c r="G15" s="49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13"/>
      <c r="S15" s="6"/>
      <c r="T15" s="4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4"/>
    </row>
    <row r="16" spans="1:40" ht="14.25" x14ac:dyDescent="0.2">
      <c r="C16" s="5"/>
      <c r="D16" s="49"/>
      <c r="E16" s="49"/>
      <c r="F16" s="49"/>
      <c r="G16" s="49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13"/>
      <c r="S16" s="6"/>
      <c r="T16" s="4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4"/>
    </row>
    <row r="17" spans="1:37" ht="14.25" x14ac:dyDescent="0.2">
      <c r="C17" s="5"/>
      <c r="D17" s="49"/>
      <c r="E17" s="49"/>
      <c r="F17" s="49"/>
      <c r="G17" s="49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13"/>
      <c r="S17" s="6"/>
      <c r="T17" s="4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4"/>
    </row>
    <row r="18" spans="1:37" ht="14.25" x14ac:dyDescent="0.2">
      <c r="C18" s="5"/>
      <c r="D18" s="49"/>
      <c r="E18" s="49"/>
      <c r="F18" s="49"/>
      <c r="G18" s="49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13"/>
      <c r="S18" s="6"/>
      <c r="T18" s="4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4"/>
    </row>
    <row r="19" spans="1:37" ht="14.25" x14ac:dyDescent="0.2">
      <c r="C19" s="5"/>
      <c r="D19" s="49"/>
      <c r="E19" s="49"/>
      <c r="F19" s="49"/>
      <c r="G19" s="49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13"/>
      <c r="S19" s="6"/>
      <c r="T19" s="4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4"/>
    </row>
    <row r="20" spans="1:37" ht="14.25" x14ac:dyDescent="0.2">
      <c r="C20" s="5"/>
      <c r="D20" s="49"/>
      <c r="E20" s="49"/>
      <c r="F20" s="49"/>
      <c r="G20" s="49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13"/>
      <c r="S20" s="6"/>
      <c r="T20" s="4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4"/>
    </row>
    <row r="21" spans="1:37" ht="14.25" x14ac:dyDescent="0.2">
      <c r="C21" s="5"/>
      <c r="D21" s="47"/>
      <c r="E21" s="47"/>
      <c r="F21" s="6"/>
      <c r="G21" s="6"/>
      <c r="H21" s="6"/>
      <c r="I21" s="6"/>
      <c r="J21" s="6"/>
      <c r="K21" s="6"/>
      <c r="L21" s="6"/>
      <c r="M21" s="5"/>
      <c r="N21" s="5"/>
      <c r="O21" s="5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7" ht="14.25" x14ac:dyDescent="0.2">
      <c r="C22" s="7"/>
      <c r="D22" s="46"/>
      <c r="E22" s="46"/>
      <c r="F22" s="8"/>
      <c r="G22" s="8"/>
      <c r="H22" s="8"/>
      <c r="I22" s="9"/>
      <c r="J22" s="9"/>
      <c r="K22" s="9"/>
      <c r="L22" s="9"/>
      <c r="M22" s="10"/>
      <c r="N22" s="10"/>
      <c r="O22" s="10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</row>
    <row r="23" spans="1:37" ht="33.75" customHeight="1" x14ac:dyDescent="0.2">
      <c r="A23" s="26" t="s">
        <v>8</v>
      </c>
    </row>
    <row r="24" spans="1:37" ht="15.75" x14ac:dyDescent="0.25">
      <c r="A24" s="26" t="s">
        <v>9</v>
      </c>
      <c r="C24" s="45">
        <f ca="1">DATE(КалендарныйГод,1,1)</f>
        <v>43466</v>
      </c>
      <c r="D24" s="45"/>
      <c r="E24" s="45"/>
      <c r="F24" s="45"/>
      <c r="G24" s="45"/>
      <c r="H24" s="45"/>
      <c r="I24" s="45"/>
      <c r="J24" s="32"/>
      <c r="K24" s="33"/>
      <c r="L24" s="45">
        <f ca="1">DATE(КалендарныйГод,2,1)</f>
        <v>43497</v>
      </c>
      <c r="M24" s="45"/>
      <c r="N24" s="45"/>
      <c r="O24" s="45"/>
      <c r="P24" s="45"/>
      <c r="Q24" s="45"/>
      <c r="R24" s="45"/>
      <c r="S24" s="32"/>
      <c r="T24" s="40"/>
      <c r="U24" s="45">
        <f ca="1">DATE(КалендарныйГод,3,1)</f>
        <v>43525</v>
      </c>
      <c r="V24" s="45"/>
      <c r="W24" s="45"/>
      <c r="X24" s="45"/>
      <c r="Y24" s="45"/>
      <c r="Z24" s="45"/>
      <c r="AA24" s="45"/>
      <c r="AB24" s="32"/>
      <c r="AC24" s="37"/>
      <c r="AD24" s="45">
        <f ca="1">DATE(КалендарныйГод,4,1)</f>
        <v>43556</v>
      </c>
      <c r="AE24" s="45"/>
      <c r="AF24" s="45"/>
      <c r="AG24" s="45"/>
      <c r="AH24" s="45"/>
      <c r="AI24" s="45"/>
      <c r="AJ24" s="45"/>
    </row>
    <row r="25" spans="1:37" ht="15.75" x14ac:dyDescent="0.25">
      <c r="A25" s="26" t="s">
        <v>10</v>
      </c>
      <c r="C25" s="21" t="s">
        <v>20</v>
      </c>
      <c r="D25" s="21" t="s">
        <v>23</v>
      </c>
      <c r="E25" s="21" t="s">
        <v>24</v>
      </c>
      <c r="F25" s="21" t="s">
        <v>25</v>
      </c>
      <c r="G25" s="21" t="s">
        <v>26</v>
      </c>
      <c r="H25" s="21" t="s">
        <v>29</v>
      </c>
      <c r="I25" s="21" t="s">
        <v>30</v>
      </c>
      <c r="J25" s="34"/>
      <c r="K25" s="35"/>
      <c r="L25" s="21" t="s">
        <v>20</v>
      </c>
      <c r="M25" s="21" t="s">
        <v>23</v>
      </c>
      <c r="N25" s="21" t="s">
        <v>24</v>
      </c>
      <c r="O25" s="21" t="s">
        <v>25</v>
      </c>
      <c r="P25" s="21" t="s">
        <v>26</v>
      </c>
      <c r="Q25" s="21" t="s">
        <v>29</v>
      </c>
      <c r="R25" s="21" t="s">
        <v>30</v>
      </c>
      <c r="S25" s="34"/>
      <c r="T25" s="40"/>
      <c r="U25" s="21" t="s">
        <v>20</v>
      </c>
      <c r="V25" s="21" t="s">
        <v>23</v>
      </c>
      <c r="W25" s="21" t="s">
        <v>24</v>
      </c>
      <c r="X25" s="21" t="s">
        <v>25</v>
      </c>
      <c r="Y25" s="21" t="s">
        <v>26</v>
      </c>
      <c r="Z25" s="21" t="s">
        <v>29</v>
      </c>
      <c r="AA25" s="21" t="s">
        <v>30</v>
      </c>
      <c r="AB25" s="34"/>
      <c r="AC25" s="33"/>
      <c r="AD25" s="21" t="s">
        <v>20</v>
      </c>
      <c r="AE25" s="21" t="s">
        <v>23</v>
      </c>
      <c r="AF25" s="21" t="s">
        <v>24</v>
      </c>
      <c r="AG25" s="21" t="s">
        <v>25</v>
      </c>
      <c r="AH25" s="21" t="s">
        <v>26</v>
      </c>
      <c r="AI25" s="21" t="s">
        <v>29</v>
      </c>
      <c r="AJ25" s="21" t="s">
        <v>30</v>
      </c>
    </row>
    <row r="26" spans="1:37" ht="15" x14ac:dyDescent="0.2">
      <c r="A26" s="26" t="s">
        <v>11</v>
      </c>
      <c r="C26" s="43" t="str">
        <f ca="1">IF(DAY(ЯнвВс1)=1,"",IF(AND(YEAR(ЯнвВс1+1)=КалендарныйГод,MONTH(ЯнвВс1+1)=1),ЯнвВс1+1,""))</f>
        <v/>
      </c>
      <c r="D26" s="43">
        <f ca="1">IF(DAY(ЯнвВс1)=1,"",IF(AND(YEAR(ЯнвВс1+2)=КалендарныйГод,MONTH(ЯнвВс1+2)=1),ЯнвВс1+2,""))</f>
        <v>43466</v>
      </c>
      <c r="E26" s="43">
        <f ca="1">IF(DAY(ЯнвВс1)=1,"",IF(AND(YEAR(ЯнвВс1+3)=КалендарныйГод,MONTH(ЯнвВс1+3)=1),ЯнвВс1+3,""))</f>
        <v>43467</v>
      </c>
      <c r="F26" s="43">
        <f ca="1">IF(DAY(ЯнвВс1)=1,"",IF(AND(YEAR(ЯнвВс1+4)=КалендарныйГод,MONTH(ЯнвВс1+4)=1),ЯнвВс1+4,""))</f>
        <v>43468</v>
      </c>
      <c r="G26" s="43">
        <f ca="1">IF(DAY(ЯнвВс1)=1,"",IF(AND(YEAR(ЯнвВс1+5)=КалендарныйГод,MONTH(ЯнвВс1+5)=1),ЯнвВс1+5,""))</f>
        <v>43469</v>
      </c>
      <c r="H26" s="43">
        <f ca="1">IF(DAY(ЯнвВс1)=1,"",IF(AND(YEAR(ЯнвВс1+6)=КалендарныйГод,MONTH(ЯнвВс1+6)=1),ЯнвВс1+6,""))</f>
        <v>43470</v>
      </c>
      <c r="I26" s="43">
        <f ca="1">IF(DAY(ЯнвВс1)=1,IF(AND(YEAR(ЯнвВс1)=КалендарныйГод,MONTH(ЯнвВс1)=1),ЯнвВс1,""),IF(AND(YEAR(ЯнвВс1+7)=КалендарныйГод,MONTH(ЯнвВс1+7)=1),ЯнвВс1+7,""))</f>
        <v>43471</v>
      </c>
      <c r="J26" s="36"/>
      <c r="K26" s="35"/>
      <c r="L26" s="43" t="str">
        <f ca="1">IF(DAY(ФевВс1)=1,"",IF(AND(YEAR(ФевВс1+1)=КалендарныйГод,MONTH(ФевВс1+1)=2),ФевВс1+1,""))</f>
        <v/>
      </c>
      <c r="M26" s="43" t="str">
        <f ca="1">IF(DAY(ФевВс1)=1,"",IF(AND(YEAR(ФевВс1+2)=КалендарныйГод,MONTH(ФевВс1+2)=2),ФевВс1+2,""))</f>
        <v/>
      </c>
      <c r="N26" s="43" t="str">
        <f ca="1">IF(DAY(ФевВс1)=1,"",IF(AND(YEAR(ФевВс1+3)=КалендарныйГод,MONTH(ФевВс1+3)=2),ФевВс1+3,""))</f>
        <v/>
      </c>
      <c r="O26" s="43" t="str">
        <f ca="1">IF(DAY(ФевВс1)=1,"",IF(AND(YEAR(ФевВс1+4)=КалендарныйГод,MONTH(ФевВс1+4)=2),ФевВс1+4,""))</f>
        <v/>
      </c>
      <c r="P26" s="43">
        <f ca="1">IF(DAY(ФевВс1)=1,"",IF(AND(YEAR(ФевВс1+5)=КалендарныйГод,MONTH(ФевВс1+5)=2),ФевВс1+5,""))</f>
        <v>43497</v>
      </c>
      <c r="Q26" s="43">
        <f ca="1">IF(DAY(ФевВс1)=1,"",IF(AND(YEAR(ФевВс1+6)=КалендарныйГод,MONTH(ФевВс1+6)=2),ФевВс1+6,""))</f>
        <v>43498</v>
      </c>
      <c r="R26" s="43">
        <f ca="1">IF(DAY(ФевВс1)=1,IF(AND(YEAR(ФевВс1)=КалендарныйГод,MONTH(ФевВс1)=2),ФевВс1,""),IF(AND(YEAR(ФевВс1+7)=КалендарныйГод,MONTH(ФевВс1+7)=2),ФевВс1+7,""))</f>
        <v>43499</v>
      </c>
      <c r="S26" s="36"/>
      <c r="T26" s="40"/>
      <c r="U26" s="43" t="str">
        <f ca="1">IF(DAY(МарВс1)=1,"",IF(AND(YEAR(МарВс1+1)=КалендарныйГод,MONTH(МарВс1+1)=3),МарВс1+1,""))</f>
        <v/>
      </c>
      <c r="V26" s="43" t="str">
        <f ca="1">IF(DAY(МарВс1)=1,"",IF(AND(YEAR(МарВс1+2)=КалендарныйГод,MONTH(МарВс1+2)=3),МарВс1+2,""))</f>
        <v/>
      </c>
      <c r="W26" s="43" t="str">
        <f ca="1">IF(DAY(МарВс1)=1,"",IF(AND(YEAR(МарВс1+3)=КалендарныйГод,MONTH(МарВс1+3)=3),МарВс1+3,""))</f>
        <v/>
      </c>
      <c r="X26" s="43" t="str">
        <f ca="1">IF(DAY(МарВс1)=1,"",IF(AND(YEAR(МарВс1+4)=КалендарныйГод,MONTH(МарВс1+4)=3),МарВс1+4,""))</f>
        <v/>
      </c>
      <c r="Y26" s="43">
        <f ca="1">IF(DAY(МарВс1)=1,"",IF(AND(YEAR(МарВс1+5)=КалендарныйГод,MONTH(МарВс1+5)=3),МарВс1+5,""))</f>
        <v>43525</v>
      </c>
      <c r="Z26" s="43">
        <f ca="1">IF(DAY(МарВс1)=1,"",IF(AND(YEAR(МарВс1+6)=КалендарныйГод,MONTH(МарВс1+6)=3),МарВс1+6,""))</f>
        <v>43526</v>
      </c>
      <c r="AA26" s="43">
        <f ca="1">IF(DAY(МарВс1)=1,IF(AND(YEAR(МарВс1)=КалендарныйГод,MONTH(МарВс1)=3),МарВс1,""),IF(AND(YEAR(МарВс1+7)=КалендарныйГод,MONTH(МарВс1+7)=3),МарВс1+7,""))</f>
        <v>43527</v>
      </c>
      <c r="AB26" s="36"/>
      <c r="AC26" s="35"/>
      <c r="AD26" s="43">
        <f ca="1">IF(DAY(АпрВс1)=1,"",IF(AND(YEAR(АпрВс1+1)=КалендарныйГод,MONTH(АпрВс1+1)=4),АпрВс1+1,""))</f>
        <v>43556</v>
      </c>
      <c r="AE26" s="43">
        <f ca="1">IF(DAY(АпрВс1)=1,"",IF(AND(YEAR(АпрВс1+2)=КалендарныйГод,MONTH(АпрВс1+2)=4),АпрВс1+2,""))</f>
        <v>43557</v>
      </c>
      <c r="AF26" s="43">
        <f ca="1">IF(DAY(АпрВс1)=1,"",IF(AND(YEAR(АпрВс1+3)=КалендарныйГод,MONTH(АпрВс1+3)=4),АпрВс1+3,""))</f>
        <v>43558</v>
      </c>
      <c r="AG26" s="43">
        <f ca="1">IF(DAY(АпрВс1)=1,"",IF(AND(YEAR(АпрВс1+4)=КалендарныйГод,MONTH(АпрВс1+4)=4),АпрВс1+4,""))</f>
        <v>43559</v>
      </c>
      <c r="AH26" s="43">
        <f ca="1">IF(DAY(АпрВс1)=1,"",IF(AND(YEAR(АпрВс1+5)=КалендарныйГод,MONTH(АпрВс1+5)=4),АпрВс1+5,""))</f>
        <v>43560</v>
      </c>
      <c r="AI26" s="43">
        <f ca="1">IF(DAY(АпрВс1)=1,"",IF(AND(YEAR(АпрВс1+6)=КалендарныйГод,MONTH(АпрВс1+6)=4),АпрВс1+6,""))</f>
        <v>43561</v>
      </c>
      <c r="AJ26" s="43">
        <f ca="1">IF(DAY(АпрВс1)=1,IF(AND(YEAR(АпрВс1)=КалендарныйГод,MONTH(АпрВс1)=4),АпрВс1,""),IF(AND(YEAR(АпрВс1+7)=КалендарныйГод,MONTH(АпрВс1+7)=4),АпрВс1+7,""))</f>
        <v>43562</v>
      </c>
    </row>
    <row r="27" spans="1:37" x14ac:dyDescent="0.2">
      <c r="C27" s="43">
        <f ca="1">IF(DAY(ЯнвВс1)=1,IF(AND(YEAR(ЯнвВс1+1)=КалендарныйГод,MONTH(ЯнвВс1+1)=1),ЯнвВс1+1,""),IF(AND(YEAR(ЯнвВс1+8)=КалендарныйГод,MONTH(ЯнвВс1+8)=1),ЯнвВс1+8,""))</f>
        <v>43472</v>
      </c>
      <c r="D27" s="43">
        <f ca="1">IF(DAY(ЯнвВс1)=1,IF(AND(YEAR(ЯнвВс1+2)=КалендарныйГод,MONTH(ЯнвВс1+2)=1),ЯнвВс1+2,""),IF(AND(YEAR(ЯнвВс1+9)=КалендарныйГод,MONTH(ЯнвВс1+9)=1),ЯнвВс1+9,""))</f>
        <v>43473</v>
      </c>
      <c r="E27" s="43">
        <f ca="1">IF(DAY(ЯнвВс1)=1,IF(AND(YEAR(ЯнвВс1+3)=КалендарныйГод,MONTH(ЯнвВс1+3)=1),ЯнвВс1+3,""),IF(AND(YEAR(ЯнвВс1+10)=КалендарныйГод,MONTH(ЯнвВс1+10)=1),ЯнвВс1+10,""))</f>
        <v>43474</v>
      </c>
      <c r="F27" s="43">
        <f ca="1">IF(DAY(ЯнвВс1)=1,IF(AND(YEAR(ЯнвВс1+4)=КалендарныйГод,MONTH(ЯнвВс1+4)=1),ЯнвВс1+4,""),IF(AND(YEAR(ЯнвВс1+11)=КалендарныйГод,MONTH(ЯнвВс1+11)=1),ЯнвВс1+11,""))</f>
        <v>43475</v>
      </c>
      <c r="G27" s="43">
        <f ca="1">IF(DAY(ЯнвВс1)=1,IF(AND(YEAR(ЯнвВс1+5)=КалендарныйГод,MONTH(ЯнвВс1+5)=1),ЯнвВс1+5,""),IF(AND(YEAR(ЯнвВс1+12)=КалендарныйГод,MONTH(ЯнвВс1+12)=1),ЯнвВс1+12,""))</f>
        <v>43476</v>
      </c>
      <c r="H27" s="43">
        <f ca="1">IF(DAY(ЯнвВс1)=1,IF(AND(YEAR(ЯнвВс1+6)=КалендарныйГод,MONTH(ЯнвВс1+6)=1),ЯнвВс1+6,""),IF(AND(YEAR(ЯнвВс1+13)=КалендарныйГод,MONTH(ЯнвВс1+13)=1),ЯнвВс1+13,""))</f>
        <v>43477</v>
      </c>
      <c r="I27" s="43">
        <f ca="1">IF(DAY(ЯнвВс1)=1,IF(AND(YEAR(ЯнвВс1+7)=КалендарныйГод,MONTH(ЯнвВс1+7)=1),ЯнвВс1+7,""),IF(AND(YEAR(ЯнвВс1+14)=КалендарныйГод,MONTH(ЯнвВс1+14)=1),ЯнвВс1+14,""))</f>
        <v>43478</v>
      </c>
      <c r="J27" s="36"/>
      <c r="K27" s="35"/>
      <c r="L27" s="43">
        <f ca="1">IF(DAY(ФевВс1)=1,IF(AND(YEAR(ФевВс1+1)=КалендарныйГод,MONTH(ФевВс1+1)=2),ФевВс1+1,""),IF(AND(YEAR(ФевВс1+8)=КалендарныйГод,MONTH(ФевВс1+8)=2),ФевВс1+8,""))</f>
        <v>43500</v>
      </c>
      <c r="M27" s="43">
        <f ca="1">IF(DAY(ФевВс1)=1,IF(AND(YEAR(ФевВс1+2)=КалендарныйГод,MONTH(ФевВс1+2)=2),ФевВс1+2,""),IF(AND(YEAR(ФевВс1+9)=КалендарныйГод,MONTH(ФевВс1+9)=2),ФевВс1+9,""))</f>
        <v>43501</v>
      </c>
      <c r="N27" s="43">
        <f ca="1">IF(DAY(ФевВс1)=1,IF(AND(YEAR(ФевВс1+3)=КалендарныйГод,MONTH(ФевВс1+3)=2),ФевВс1+3,""),IF(AND(YEAR(ФевВс1+10)=КалендарныйГод,MONTH(ФевВс1+10)=2),ФевВс1+10,""))</f>
        <v>43502</v>
      </c>
      <c r="O27" s="43">
        <f ca="1">IF(DAY(ФевВс1)=1,IF(AND(YEAR(ФевВс1+4)=КалендарныйГод,MONTH(ФевВс1+4)=2),ФевВс1+4,""),IF(AND(YEAR(ФевВс1+11)=КалендарныйГод,MONTH(ФевВс1+11)=2),ФевВс1+11,""))</f>
        <v>43503</v>
      </c>
      <c r="P27" s="43">
        <f ca="1">IF(DAY(ФевВс1)=1,IF(AND(YEAR(ФевВс1+5)=КалендарныйГод,MONTH(ФевВс1+5)=2),ФевВс1+5,""),IF(AND(YEAR(ФевВс1+12)=КалендарныйГод,MONTH(ФевВс1+12)=2),ФевВс1+12,""))</f>
        <v>43504</v>
      </c>
      <c r="Q27" s="43">
        <f ca="1">IF(DAY(ФевВс1)=1,IF(AND(YEAR(ФевВс1+6)=КалендарныйГод,MONTH(ФевВс1+6)=2),ФевВс1+6,""),IF(AND(YEAR(ФевВс1+13)=КалендарныйГод,MONTH(ФевВс1+13)=2),ФевВс1+13,""))</f>
        <v>43505</v>
      </c>
      <c r="R27" s="43">
        <f ca="1">IF(DAY(ФевВс1)=1,IF(AND(YEAR(ФевВс1+7)=КалендарныйГод,MONTH(ФевВс1+7)=2),ФевВс1+7,""),IF(AND(YEAR(ФевВс1+14)=КалендарныйГод,MONTH(ФевВс1+14)=2),ФевВс1+14,""))</f>
        <v>43506</v>
      </c>
      <c r="S27" s="36"/>
      <c r="T27" s="40"/>
      <c r="U27" s="43">
        <f ca="1">IF(DAY(МарВс1)=1,IF(AND(YEAR(МарВс1+1)=КалендарныйГод,MONTH(МарВс1+1)=3),МарВс1+1,""),IF(AND(YEAR(МарВс1+8)=КалендарныйГод,MONTH(МарВс1+8)=3),МарВс1+8,""))</f>
        <v>43528</v>
      </c>
      <c r="V27" s="43">
        <f ca="1">IF(DAY(МарВс1)=1,IF(AND(YEAR(МарВс1+2)=КалендарныйГод,MONTH(МарВс1+2)=3),МарВс1+2,""),IF(AND(YEAR(МарВс1+9)=КалендарныйГод,MONTH(МарВс1+9)=3),МарВс1+9,""))</f>
        <v>43529</v>
      </c>
      <c r="W27" s="43">
        <f ca="1">IF(DAY(МарВс1)=1,IF(AND(YEAR(МарВс1+3)=КалендарныйГод,MONTH(МарВс1+3)=3),МарВс1+3,""),IF(AND(YEAR(МарВс1+10)=КалендарныйГод,MONTH(МарВс1+10)=3),МарВс1+10,""))</f>
        <v>43530</v>
      </c>
      <c r="X27" s="43">
        <f ca="1">IF(DAY(МарВс1)=1,IF(AND(YEAR(МарВс1+4)=КалендарныйГод,MONTH(МарВс1+4)=3),МарВс1+4,""),IF(AND(YEAR(МарВс1+11)=КалендарныйГод,MONTH(МарВс1+11)=3),МарВс1+11,""))</f>
        <v>43531</v>
      </c>
      <c r="Y27" s="43">
        <f ca="1">IF(DAY(МарВс1)=1,IF(AND(YEAR(МарВс1+5)=КалендарныйГод,MONTH(МарВс1+5)=3),МарВс1+5,""),IF(AND(YEAR(МарВс1+12)=КалендарныйГод,MONTH(МарВс1+12)=3),МарВс1+12,""))</f>
        <v>43532</v>
      </c>
      <c r="Z27" s="43">
        <f ca="1">IF(DAY(МарВс1)=1,IF(AND(YEAR(МарВс1+6)=КалендарныйГод,MONTH(МарВс1+6)=3),МарВс1+6,""),IF(AND(YEAR(МарВс1+13)=КалендарныйГод,MONTH(МарВс1+13)=3),МарВс1+13,""))</f>
        <v>43533</v>
      </c>
      <c r="AA27" s="43">
        <f ca="1">IF(DAY(МарВс1)=1,IF(AND(YEAR(МарВс1+7)=КалендарныйГод,MONTH(МарВс1+7)=3),МарВс1+7,""),IF(AND(YEAR(МарВс1+14)=КалендарныйГод,MONTH(МарВс1+14)=3),МарВс1+14,""))</f>
        <v>43534</v>
      </c>
      <c r="AB27" s="36"/>
      <c r="AC27" s="35"/>
      <c r="AD27" s="43">
        <f ca="1">IF(DAY(АпрВс1)=1,IF(AND(YEAR(АпрВс1+1)=КалендарныйГод,MONTH(АпрВс1+1)=4),АпрВс1+1,""),IF(AND(YEAR(АпрВс1+8)=КалендарныйГод,MONTH(АпрВс1+8)=4),АпрВс1+8,""))</f>
        <v>43563</v>
      </c>
      <c r="AE27" s="43">
        <f ca="1">IF(DAY(АпрВс1)=1,IF(AND(YEAR(АпрВс1+2)=КалендарныйГод,MONTH(АпрВс1+2)=4),АпрВс1+2,""),IF(AND(YEAR(АпрВс1+9)=КалендарныйГод,MONTH(АпрВс1+9)=4),АпрВс1+9,""))</f>
        <v>43564</v>
      </c>
      <c r="AF27" s="43">
        <f ca="1">IF(DAY(АпрВс1)=1,IF(AND(YEAR(АпрВс1+3)=КалендарныйГод,MONTH(АпрВс1+3)=4),АпрВс1+3,""),IF(AND(YEAR(АпрВс1+10)=КалендарныйГод,MONTH(АпрВс1+10)=4),АпрВс1+10,""))</f>
        <v>43565</v>
      </c>
      <c r="AG27" s="43">
        <f ca="1">IF(DAY(АпрВс1)=1,IF(AND(YEAR(АпрВс1+4)=КалендарныйГод,MONTH(АпрВс1+4)=4),АпрВс1+4,""),IF(AND(YEAR(АпрВс1+11)=КалендарныйГод,MONTH(АпрВс1+11)=4),АпрВс1+11,""))</f>
        <v>43566</v>
      </c>
      <c r="AH27" s="43">
        <f ca="1">IF(DAY(АпрВс1)=1,IF(AND(YEAR(АпрВс1+5)=КалендарныйГод,MONTH(АпрВс1+5)=4),АпрВс1+5,""),IF(AND(YEAR(АпрВс1+12)=КалендарныйГод,MONTH(АпрВс1+12)=4),АпрВс1+12,""))</f>
        <v>43567</v>
      </c>
      <c r="AI27" s="43">
        <f ca="1">IF(DAY(АпрВс1)=1,IF(AND(YEAR(АпрВс1+6)=КалендарныйГод,MONTH(АпрВс1+6)=4),АпрВс1+6,""),IF(AND(YEAR(АпрВс1+13)=КалендарныйГод,MONTH(АпрВс1+13)=4),АпрВс1+13,""))</f>
        <v>43568</v>
      </c>
      <c r="AJ27" s="43">
        <f ca="1">IF(DAY(АпрВс1)=1,IF(AND(YEAR(АпрВс1+7)=КалендарныйГод,MONTH(АпрВс1+7)=4),АпрВс1+7,""),IF(AND(YEAR(АпрВс1+14)=КалендарныйГод,MONTH(АпрВс1+14)=4),АпрВс1+14,""))</f>
        <v>43569</v>
      </c>
    </row>
    <row r="28" spans="1:37" x14ac:dyDescent="0.2">
      <c r="C28" s="43">
        <f ca="1">IF(DAY(ЯнвВс1)=1,IF(AND(YEAR(ЯнвВс1+8)=КалендарныйГод,MONTH(ЯнвВс1+8)=1),ЯнвВс1+8,""),IF(AND(YEAR(ЯнвВс1+15)=КалендарныйГод,MONTH(ЯнвВс1+15)=1),ЯнвВс1+15,""))</f>
        <v>43479</v>
      </c>
      <c r="D28" s="43">
        <f ca="1">IF(DAY(ЯнвВс1)=1,IF(AND(YEAR(ЯнвВс1+9)=КалендарныйГод,MONTH(ЯнвВс1+9)=1),ЯнвВс1+9,""),IF(AND(YEAR(ЯнвВс1+16)=КалендарныйГод,MONTH(ЯнвВс1+16)=1),ЯнвВс1+16,""))</f>
        <v>43480</v>
      </c>
      <c r="E28" s="43">
        <f ca="1">IF(DAY(ЯнвВс1)=1,IF(AND(YEAR(ЯнвВс1+10)=КалендарныйГод,MONTH(ЯнвВс1+10)=1),ЯнвВс1+10,""),IF(AND(YEAR(ЯнвВс1+17)=КалендарныйГод,MONTH(ЯнвВс1+17)=1),ЯнвВс1+17,""))</f>
        <v>43481</v>
      </c>
      <c r="F28" s="43">
        <f ca="1">IF(DAY(ЯнвВс1)=1,IF(AND(YEAR(ЯнвВс1+11)=КалендарныйГод,MONTH(ЯнвВс1+11)=1),ЯнвВс1+11,""),IF(AND(YEAR(ЯнвВс1+18)=КалендарныйГод,MONTH(ЯнвВс1+18)=1),ЯнвВс1+18,""))</f>
        <v>43482</v>
      </c>
      <c r="G28" s="43">
        <f ca="1">IF(DAY(ЯнвВс1)=1,IF(AND(YEAR(ЯнвВс1+12)=КалендарныйГод,MONTH(ЯнвВс1+12)=1),ЯнвВс1+12,""),IF(AND(YEAR(ЯнвВс1+19)=КалендарныйГод,MONTH(ЯнвВс1+19)=1),ЯнвВс1+19,""))</f>
        <v>43483</v>
      </c>
      <c r="H28" s="43">
        <f ca="1">IF(DAY(ЯнвВс1)=1,IF(AND(YEAR(ЯнвВс1+13)=КалендарныйГод,MONTH(ЯнвВс1+13)=1),ЯнвВс1+13,""),IF(AND(YEAR(ЯнвВс1+20)=КалендарныйГод,MONTH(ЯнвВс1+20)=1),ЯнвВс1+20,""))</f>
        <v>43484</v>
      </c>
      <c r="I28" s="43">
        <f ca="1">IF(DAY(ЯнвВс1)=1,IF(AND(YEAR(ЯнвВс1+14)=КалендарныйГод,MONTH(ЯнвВс1+14)=1),ЯнвВс1+14,""),IF(AND(YEAR(ЯнвВс1+21)=КалендарныйГод,MONTH(ЯнвВс1+21)=1),ЯнвВс1+21,""))</f>
        <v>43485</v>
      </c>
      <c r="J28" s="36"/>
      <c r="K28" s="35"/>
      <c r="L28" s="43">
        <f ca="1">IF(DAY(ФевВс1)=1,IF(AND(YEAR(ФевВс1+8)=КалендарныйГод,MONTH(ФевВс1+8)=2),ФевВс1+8,""),IF(AND(YEAR(ФевВс1+15)=КалендарныйГод,MONTH(ФевВс1+15)=2),ФевВс1+15,""))</f>
        <v>43507</v>
      </c>
      <c r="M28" s="43">
        <f ca="1">IF(DAY(ФевВс1)=1,IF(AND(YEAR(ФевВс1+9)=КалендарныйГод,MONTH(ФевВс1+9)=2),ФевВс1+9,""),IF(AND(YEAR(ФевВс1+16)=КалендарныйГод,MONTH(ФевВс1+16)=2),ФевВс1+16,""))</f>
        <v>43508</v>
      </c>
      <c r="N28" s="43">
        <f ca="1">IF(DAY(ФевВс1)=1,IF(AND(YEAR(ФевВс1+10)=КалендарныйГод,MONTH(ФевВс1+10)=2),ФевВс1+10,""),IF(AND(YEAR(ФевВс1+17)=КалендарныйГод,MONTH(ФевВс1+17)=2),ФевВс1+17,""))</f>
        <v>43509</v>
      </c>
      <c r="O28" s="43">
        <f ca="1">IF(DAY(ФевВс1)=1,IF(AND(YEAR(ФевВс1+11)=КалендарныйГод,MONTH(ФевВс1+11)=2),ФевВс1+11,""),IF(AND(YEAR(ФевВс1+18)=КалендарныйГод,MONTH(ФевВс1+18)=2),ФевВс1+18,""))</f>
        <v>43510</v>
      </c>
      <c r="P28" s="43">
        <f ca="1">IF(DAY(ФевВс1)=1,IF(AND(YEAR(ФевВс1+12)=КалендарныйГод,MONTH(ФевВс1+12)=2),ФевВс1+12,""),IF(AND(YEAR(ФевВс1+19)=КалендарныйГод,MONTH(ФевВс1+19)=2),ФевВс1+19,""))</f>
        <v>43511</v>
      </c>
      <c r="Q28" s="43">
        <f ca="1">IF(DAY(ФевВс1)=1,IF(AND(YEAR(ФевВс1+13)=КалендарныйГод,MONTH(ФевВс1+13)=2),ФевВс1+13,""),IF(AND(YEAR(ФевВс1+20)=КалендарныйГод,MONTH(ФевВс1+20)=2),ФевВс1+20,""))</f>
        <v>43512</v>
      </c>
      <c r="R28" s="43">
        <f ca="1">IF(DAY(ФевВс1)=1,IF(AND(YEAR(ФевВс1+14)=КалендарныйГод,MONTH(ФевВс1+14)=2),ФевВс1+14,""),IF(AND(YEAR(ФевВс1+21)=КалендарныйГод,MONTH(ФевВс1+21)=2),ФевВс1+21,""))</f>
        <v>43513</v>
      </c>
      <c r="S28" s="36"/>
      <c r="T28" s="40"/>
      <c r="U28" s="43">
        <f ca="1">IF(DAY(МарВс1)=1,IF(AND(YEAR(МарВс1+8)=КалендарныйГод,MONTH(МарВс1+8)=3),МарВс1+8,""),IF(AND(YEAR(МарВс1+15)=КалендарныйГод,MONTH(МарВс1+15)=3),МарВс1+15,""))</f>
        <v>43535</v>
      </c>
      <c r="V28" s="43">
        <f ca="1">IF(DAY(МарВс1)=1,IF(AND(YEAR(МарВс1+9)=КалендарныйГод,MONTH(МарВс1+9)=3),МарВс1+9,""),IF(AND(YEAR(МарВс1+16)=КалендарныйГод,MONTH(МарВс1+16)=3),МарВс1+16,""))</f>
        <v>43536</v>
      </c>
      <c r="W28" s="43">
        <f ca="1">IF(DAY(МарВс1)=1,IF(AND(YEAR(МарВс1+10)=КалендарныйГод,MONTH(МарВс1+10)=3),МарВс1+10,""),IF(AND(YEAR(МарВс1+17)=КалендарныйГод,MONTH(МарВс1+17)=3),МарВс1+17,""))</f>
        <v>43537</v>
      </c>
      <c r="X28" s="43">
        <f ca="1">IF(DAY(МарВс1)=1,IF(AND(YEAR(МарВс1+11)=КалендарныйГод,MONTH(МарВс1+11)=3),МарВс1+11,""),IF(AND(YEAR(МарВс1+18)=КалендарныйГод,MONTH(МарВс1+18)=3),МарВс1+18,""))</f>
        <v>43538</v>
      </c>
      <c r="Y28" s="43">
        <f ca="1">IF(DAY(МарВс1)=1,IF(AND(YEAR(МарВс1+12)=КалендарныйГод,MONTH(МарВс1+12)=3),МарВс1+12,""),IF(AND(YEAR(МарВс1+19)=КалендарныйГод,MONTH(МарВс1+19)=3),МарВс1+19,""))</f>
        <v>43539</v>
      </c>
      <c r="Z28" s="43">
        <f ca="1">IF(DAY(МарВс1)=1,IF(AND(YEAR(МарВс1+13)=КалендарныйГод,MONTH(МарВс1+13)=3),МарВс1+13,""),IF(AND(YEAR(МарВс1+20)=КалендарныйГод,MONTH(МарВс1+20)=3),МарВс1+20,""))</f>
        <v>43540</v>
      </c>
      <c r="AA28" s="43">
        <f ca="1">IF(DAY(МарВс1)=1,IF(AND(YEAR(МарВс1+14)=КалендарныйГод,MONTH(МарВс1+14)=3),МарВс1+14,""),IF(AND(YEAR(МарВс1+21)=КалендарныйГод,MONTH(МарВс1+21)=3),МарВс1+21,""))</f>
        <v>43541</v>
      </c>
      <c r="AB28" s="36"/>
      <c r="AC28" s="35"/>
      <c r="AD28" s="43">
        <f ca="1">IF(DAY(АпрВс1)=1,IF(AND(YEAR(АпрВс1+8)=КалендарныйГод,MONTH(АпрВс1+8)=4),АпрВс1+8,""),IF(AND(YEAR(АпрВс1+15)=КалендарныйГод,MONTH(АпрВс1+15)=4),АпрВс1+15,""))</f>
        <v>43570</v>
      </c>
      <c r="AE28" s="43">
        <f ca="1">IF(DAY(АпрВс1)=1,IF(AND(YEAR(АпрВс1+9)=КалендарныйГод,MONTH(АпрВс1+9)=4),АпрВс1+9,""),IF(AND(YEAR(АпрВс1+16)=КалендарныйГод,MONTH(АпрВс1+16)=4),АпрВс1+16,""))</f>
        <v>43571</v>
      </c>
      <c r="AF28" s="43">
        <f ca="1">IF(DAY(АпрВс1)=1,IF(AND(YEAR(АпрВс1+10)=КалендарныйГод,MONTH(АпрВс1+10)=4),АпрВс1+10,""),IF(AND(YEAR(АпрВс1+17)=КалендарныйГод,MONTH(АпрВс1+17)=4),АпрВс1+17,""))</f>
        <v>43572</v>
      </c>
      <c r="AG28" s="43">
        <f ca="1">IF(DAY(АпрВс1)=1,IF(AND(YEAR(АпрВс1+11)=КалендарныйГод,MONTH(АпрВс1+11)=4),АпрВс1+11,""),IF(AND(YEAR(АпрВс1+18)=КалендарныйГод,MONTH(АпрВс1+18)=4),АпрВс1+18,""))</f>
        <v>43573</v>
      </c>
      <c r="AH28" s="43">
        <f ca="1">IF(DAY(АпрВс1)=1,IF(AND(YEAR(АпрВс1+12)=КалендарныйГод,MONTH(АпрВс1+12)=4),АпрВс1+12,""),IF(AND(YEAR(АпрВс1+19)=КалендарныйГод,MONTH(АпрВс1+19)=4),АпрВс1+19,""))</f>
        <v>43574</v>
      </c>
      <c r="AI28" s="43">
        <f ca="1">IF(DAY(АпрВс1)=1,IF(AND(YEAR(АпрВс1+13)=КалендарныйГод,MONTH(АпрВс1+13)=4),АпрВс1+13,""),IF(AND(YEAR(АпрВс1+20)=КалендарныйГод,MONTH(АпрВс1+20)=4),АпрВс1+20,""))</f>
        <v>43575</v>
      </c>
      <c r="AJ28" s="43">
        <f ca="1">IF(DAY(АпрВс1)=1,IF(AND(YEAR(АпрВс1+14)=КалендарныйГод,MONTH(АпрВс1+14)=4),АпрВс1+14,""),IF(AND(YEAR(АпрВс1+21)=КалендарныйГод,MONTH(АпрВс1+21)=4),АпрВс1+21,""))</f>
        <v>43576</v>
      </c>
    </row>
    <row r="29" spans="1:37" x14ac:dyDescent="0.2">
      <c r="C29" s="43">
        <f ca="1">IF(DAY(ЯнвВс1)=1,IF(AND(YEAR(ЯнвВс1+15)=КалендарныйГод,MONTH(ЯнвВс1+15)=1),ЯнвВс1+15,""),IF(AND(YEAR(ЯнвВс1+22)=КалендарныйГод,MONTH(ЯнвВс1+22)=1),ЯнвВс1+22,""))</f>
        <v>43486</v>
      </c>
      <c r="D29" s="43">
        <f ca="1">IF(DAY(ЯнвВс1)=1,IF(AND(YEAR(ЯнвВс1+16)=КалендарныйГод,MONTH(ЯнвВс1+16)=1),ЯнвВс1+16,""),IF(AND(YEAR(ЯнвВс1+23)=КалендарныйГод,MONTH(ЯнвВс1+23)=1),ЯнвВс1+23,""))</f>
        <v>43487</v>
      </c>
      <c r="E29" s="43">
        <f ca="1">IF(DAY(ЯнвВс1)=1,IF(AND(YEAR(ЯнвВс1+17)=КалендарныйГод,MONTH(ЯнвВс1+17)=1),ЯнвВс1+17,""),IF(AND(YEAR(ЯнвВс1+24)=КалендарныйГод,MONTH(ЯнвВс1+24)=1),ЯнвВс1+24,""))</f>
        <v>43488</v>
      </c>
      <c r="F29" s="43">
        <f ca="1">IF(DAY(ЯнвВс1)=1,IF(AND(YEAR(ЯнвВс1+18)=КалендарныйГод,MONTH(ЯнвВс1+18)=1),ЯнвВс1+18,""),IF(AND(YEAR(ЯнвВс1+25)=КалендарныйГод,MONTH(ЯнвВс1+25)=1),ЯнвВс1+25,""))</f>
        <v>43489</v>
      </c>
      <c r="G29" s="43">
        <f ca="1">IF(DAY(ЯнвВс1)=1,IF(AND(YEAR(ЯнвВс1+19)=КалендарныйГод,MONTH(ЯнвВс1+19)=1),ЯнвВс1+19,""),IF(AND(YEAR(ЯнвВс1+26)=КалендарныйГод,MONTH(ЯнвВс1+26)=1),ЯнвВс1+26,""))</f>
        <v>43490</v>
      </c>
      <c r="H29" s="43">
        <f ca="1">IF(DAY(ЯнвВс1)=1,IF(AND(YEAR(ЯнвВс1+20)=КалендарныйГод,MONTH(ЯнвВс1+20)=1),ЯнвВс1+20,""),IF(AND(YEAR(ЯнвВс1+27)=КалендарныйГод,MONTH(ЯнвВс1+27)=1),ЯнвВс1+27,""))</f>
        <v>43491</v>
      </c>
      <c r="I29" s="43">
        <f ca="1">IF(DAY(ЯнвВс1)=1,IF(AND(YEAR(ЯнвВс1+21)=КалендарныйГод,MONTH(ЯнвВс1+21)=1),ЯнвВс1+21,""),IF(AND(YEAR(ЯнвВс1+28)=КалендарныйГод,MONTH(ЯнвВс1+28)=1),ЯнвВс1+28,""))</f>
        <v>43492</v>
      </c>
      <c r="J29" s="36"/>
      <c r="K29" s="35"/>
      <c r="L29" s="43">
        <f ca="1">IF(DAY(ФевВс1)=1,IF(AND(YEAR(ФевВс1+15)=КалендарныйГод,MONTH(ФевВс1+15)=2),ФевВс1+15,""),IF(AND(YEAR(ФевВс1+22)=КалендарныйГод,MONTH(ФевВс1+22)=2),ФевВс1+22,""))</f>
        <v>43514</v>
      </c>
      <c r="M29" s="43">
        <f ca="1">IF(DAY(ФевВс1)=1,IF(AND(YEAR(ФевВс1+16)=КалендарныйГод,MONTH(ФевВс1+16)=2),ФевВс1+16,""),IF(AND(YEAR(ФевВс1+23)=КалендарныйГод,MONTH(ФевВс1+23)=2),ФевВс1+23,""))</f>
        <v>43515</v>
      </c>
      <c r="N29" s="43">
        <f ca="1">IF(DAY(ФевВс1)=1,IF(AND(YEAR(ФевВс1+17)=КалендарныйГод,MONTH(ФевВс1+17)=2),ФевВс1+17,""),IF(AND(YEAR(ФевВс1+24)=КалендарныйГод,MONTH(ФевВс1+24)=2),ФевВс1+24,""))</f>
        <v>43516</v>
      </c>
      <c r="O29" s="43">
        <f ca="1">IF(DAY(ФевВс1)=1,IF(AND(YEAR(ФевВс1+18)=КалендарныйГод,MONTH(ФевВс1+18)=2),ФевВс1+18,""),IF(AND(YEAR(ФевВс1+25)=КалендарныйГод,MONTH(ФевВс1+25)=2),ФевВс1+25,""))</f>
        <v>43517</v>
      </c>
      <c r="P29" s="43">
        <f ca="1">IF(DAY(ФевВс1)=1,IF(AND(YEAR(ФевВс1+19)=КалендарныйГод,MONTH(ФевВс1+19)=2),ФевВс1+19,""),IF(AND(YEAR(ФевВс1+26)=КалендарныйГод,MONTH(ФевВс1+26)=2),ФевВс1+26,""))</f>
        <v>43518</v>
      </c>
      <c r="Q29" s="43">
        <f ca="1">IF(DAY(ФевВс1)=1,IF(AND(YEAR(ФевВс1+20)=КалендарныйГод,MONTH(ФевВс1+20)=2),ФевВс1+20,""),IF(AND(YEAR(ФевВс1+27)=КалендарныйГод,MONTH(ФевВс1+27)=2),ФевВс1+27,""))</f>
        <v>43519</v>
      </c>
      <c r="R29" s="43">
        <f ca="1">IF(DAY(ФевВс1)=1,IF(AND(YEAR(ФевВс1+21)=КалендарныйГод,MONTH(ФевВс1+21)=2),ФевВс1+21,""),IF(AND(YEAR(ФевВс1+28)=КалендарныйГод,MONTH(ФевВс1+28)=2),ФевВс1+28,""))</f>
        <v>43520</v>
      </c>
      <c r="S29" s="36"/>
      <c r="T29" s="40"/>
      <c r="U29" s="43">
        <f ca="1">IF(DAY(МарВс1)=1,IF(AND(YEAR(МарВс1+15)=КалендарныйГод,MONTH(МарВс1+15)=3),МарВс1+15,""),IF(AND(YEAR(МарВс1+22)=КалендарныйГод,MONTH(МарВс1+22)=3),МарВс1+22,""))</f>
        <v>43542</v>
      </c>
      <c r="V29" s="43">
        <f ca="1">IF(DAY(МарВс1)=1,IF(AND(YEAR(МарВс1+16)=КалендарныйГод,MONTH(МарВс1+16)=3),МарВс1+16,""),IF(AND(YEAR(МарВс1+23)=КалендарныйГод,MONTH(МарВс1+23)=3),МарВс1+23,""))</f>
        <v>43543</v>
      </c>
      <c r="W29" s="43">
        <f ca="1">IF(DAY(МарВс1)=1,IF(AND(YEAR(МарВс1+17)=КалендарныйГод,MONTH(МарВс1+17)=3),МарВс1+17,""),IF(AND(YEAR(МарВс1+24)=КалендарныйГод,MONTH(МарВс1+24)=3),МарВс1+24,""))</f>
        <v>43544</v>
      </c>
      <c r="X29" s="43">
        <f ca="1">IF(DAY(МарВс1)=1,IF(AND(YEAR(МарВс1+18)=КалендарныйГод,MONTH(МарВс1+18)=3),МарВс1+18,""),IF(AND(YEAR(МарВс1+25)=КалендарныйГод,MONTH(МарВс1+25)=3),МарВс1+25,""))</f>
        <v>43545</v>
      </c>
      <c r="Y29" s="43">
        <f ca="1">IF(DAY(МарВс1)=1,IF(AND(YEAR(МарВс1+19)=КалендарныйГод,MONTH(МарВс1+19)=3),МарВс1+19,""),IF(AND(YEAR(МарВс1+26)=КалендарныйГод,MONTH(МарВс1+26)=3),МарВс1+26,""))</f>
        <v>43546</v>
      </c>
      <c r="Z29" s="43">
        <f ca="1">IF(DAY(МарВс1)=1,IF(AND(YEAR(МарВс1+20)=КалендарныйГод,MONTH(МарВс1+20)=3),МарВс1+20,""),IF(AND(YEAR(МарВс1+27)=КалендарныйГод,MONTH(МарВс1+27)=3),МарВс1+27,""))</f>
        <v>43547</v>
      </c>
      <c r="AA29" s="43">
        <f ca="1">IF(DAY(МарВс1)=1,IF(AND(YEAR(МарВс1+21)=КалендарныйГод,MONTH(МарВс1+21)=3),МарВс1+21,""),IF(AND(YEAR(МарВс1+28)=КалендарныйГод,MONTH(МарВс1+28)=3),МарВс1+28,""))</f>
        <v>43548</v>
      </c>
      <c r="AB29" s="36"/>
      <c r="AC29" s="35"/>
      <c r="AD29" s="43">
        <f ca="1">IF(DAY(АпрВс1)=1,IF(AND(YEAR(АпрВс1+15)=КалендарныйГод,MONTH(АпрВс1+15)=4),АпрВс1+15,""),IF(AND(YEAR(АпрВс1+22)=КалендарныйГод,MONTH(АпрВс1+22)=4),АпрВс1+22,""))</f>
        <v>43577</v>
      </c>
      <c r="AE29" s="43">
        <f ca="1">IF(DAY(АпрВс1)=1,IF(AND(YEAR(АпрВс1+16)=КалендарныйГод,MONTH(АпрВс1+16)=4),АпрВс1+16,""),IF(AND(YEAR(АпрВс1+23)=КалендарныйГод,MONTH(АпрВс1+23)=4),АпрВс1+23,""))</f>
        <v>43578</v>
      </c>
      <c r="AF29" s="43">
        <f ca="1">IF(DAY(АпрВс1)=1,IF(AND(YEAR(АпрВс1+17)=КалендарныйГод,MONTH(АпрВс1+17)=4),АпрВс1+17,""),IF(AND(YEAR(АпрВс1+24)=КалендарныйГод,MONTH(АпрВс1+24)=4),АпрВс1+24,""))</f>
        <v>43579</v>
      </c>
      <c r="AG29" s="43">
        <f ca="1">IF(DAY(АпрВс1)=1,IF(AND(YEAR(АпрВс1+18)=КалендарныйГод,MONTH(АпрВс1+18)=4),АпрВс1+18,""),IF(AND(YEAR(АпрВс1+25)=КалендарныйГод,MONTH(АпрВс1+25)=4),АпрВс1+25,""))</f>
        <v>43580</v>
      </c>
      <c r="AH29" s="43">
        <f ca="1">IF(DAY(АпрВс1)=1,IF(AND(YEAR(АпрВс1+19)=КалендарныйГод,MONTH(АпрВс1+19)=4),АпрВс1+19,""),IF(AND(YEAR(АпрВс1+26)=КалендарныйГод,MONTH(АпрВс1+26)=4),АпрВс1+26,""))</f>
        <v>43581</v>
      </c>
      <c r="AI29" s="43">
        <f ca="1">IF(DAY(АпрВс1)=1,IF(AND(YEAR(АпрВс1+20)=КалендарныйГод,MONTH(АпрВс1+20)=4),АпрВс1+20,""),IF(AND(YEAR(АпрВс1+27)=КалендарныйГод,MONTH(АпрВс1+27)=4),АпрВс1+27,""))</f>
        <v>43582</v>
      </c>
      <c r="AJ29" s="43">
        <f ca="1">IF(DAY(АпрВс1)=1,IF(AND(YEAR(АпрВс1+21)=КалендарныйГод,MONTH(АпрВс1+21)=4),АпрВс1+21,""),IF(AND(YEAR(АпрВс1+28)=КалендарныйГод,MONTH(АпрВс1+28)=4),АпрВс1+28,""))</f>
        <v>43583</v>
      </c>
    </row>
    <row r="30" spans="1:37" x14ac:dyDescent="0.2">
      <c r="C30" s="43">
        <f ca="1">IF(DAY(ЯнвВс1)=1,IF(AND(YEAR(ЯнвВс1+22)=КалендарныйГод,MONTH(ЯнвВс1+22)=1),ЯнвВс1+22,""),IF(AND(YEAR(ЯнвВс1+29)=КалендарныйГод,MONTH(ЯнвВс1+29)=1),ЯнвВс1+29,""))</f>
        <v>43493</v>
      </c>
      <c r="D30" s="43">
        <f ca="1">IF(DAY(ЯнвВс1)=1,IF(AND(YEAR(ЯнвВс1+23)=КалендарныйГод,MONTH(ЯнвВс1+23)=1),ЯнвВс1+23,""),IF(AND(YEAR(ЯнвВс1+30)=КалендарныйГод,MONTH(ЯнвВс1+30)=1),ЯнвВс1+30,""))</f>
        <v>43494</v>
      </c>
      <c r="E30" s="43">
        <f ca="1">IF(DAY(ЯнвВс1)=1,IF(AND(YEAR(ЯнвВс1+24)=КалендарныйГод,MONTH(ЯнвВс1+24)=1),ЯнвВс1+24,""),IF(AND(YEAR(ЯнвВс1+31)=КалендарныйГод,MONTH(ЯнвВс1+31)=1),ЯнвВс1+31,""))</f>
        <v>43495</v>
      </c>
      <c r="F30" s="43">
        <f ca="1">IF(DAY(ЯнвВс1)=1,IF(AND(YEAR(ЯнвВс1+25)=КалендарныйГод,MONTH(ЯнвВс1+25)=1),ЯнвВс1+25,""),IF(AND(YEAR(ЯнвВс1+32)=КалендарныйГод,MONTH(ЯнвВс1+32)=1),ЯнвВс1+32,""))</f>
        <v>43496</v>
      </c>
      <c r="G30" s="43" t="str">
        <f ca="1">IF(DAY(ЯнвВс1)=1,IF(AND(YEAR(ЯнвВс1+26)=КалендарныйГод,MONTH(ЯнвВс1+26)=1),ЯнвВс1+26,""),IF(AND(YEAR(ЯнвВс1+33)=КалендарныйГод,MONTH(ЯнвВс1+33)=1),ЯнвВс1+33,""))</f>
        <v/>
      </c>
      <c r="H30" s="43" t="str">
        <f ca="1">IF(DAY(ЯнвВс1)=1,IF(AND(YEAR(ЯнвВс1+27)=КалендарныйГод,MONTH(ЯнвВс1+27)=1),ЯнвВс1+27,""),IF(AND(YEAR(ЯнвВс1+34)=КалендарныйГод,MONTH(ЯнвВс1+34)=1),ЯнвВс1+34,""))</f>
        <v/>
      </c>
      <c r="I30" s="43" t="str">
        <f ca="1">IF(DAY(ЯнвВс1)=1,IF(AND(YEAR(ЯнвВс1+28)=КалендарныйГод,MONTH(ЯнвВс1+28)=1),ЯнвВс1+28,""),IF(AND(YEAR(ЯнвВс1+35)=КалендарныйГод,MONTH(ЯнвВс1+35)=1),ЯнвВс1+35,""))</f>
        <v/>
      </c>
      <c r="J30" s="36"/>
      <c r="K30" s="35"/>
      <c r="L30" s="43">
        <f ca="1">IF(DAY(ФевВс1)=1,IF(AND(YEAR(ФевВс1+22)=КалендарныйГод,MONTH(ФевВс1+22)=2),ФевВс1+22,""),IF(AND(YEAR(ФевВс1+29)=КалендарныйГод,MONTH(ФевВс1+29)=2),ФевВс1+29,""))</f>
        <v>43521</v>
      </c>
      <c r="M30" s="43">
        <f ca="1">IF(DAY(ФевВс1)=1,IF(AND(YEAR(ФевВс1+23)=КалендарныйГод,MONTH(ФевВс1+23)=2),ФевВс1+23,""),IF(AND(YEAR(ФевВс1+30)=КалендарныйГод,MONTH(ФевВс1+30)=2),ФевВс1+30,""))</f>
        <v>43522</v>
      </c>
      <c r="N30" s="43">
        <f ca="1">IF(DAY(ФевВс1)=1,IF(AND(YEAR(ФевВс1+24)=КалендарныйГод,MONTH(ФевВс1+24)=2),ФевВс1+24,""),IF(AND(YEAR(ФевВс1+31)=КалендарныйГод,MONTH(ФевВс1+31)=2),ФевВс1+31,""))</f>
        <v>43523</v>
      </c>
      <c r="O30" s="43">
        <f ca="1">IF(DAY(ФевВс1)=1,IF(AND(YEAR(ФевВс1+25)=КалендарныйГод,MONTH(ФевВс1+25)=2),ФевВс1+25,""),IF(AND(YEAR(ФевВс1+32)=КалендарныйГод,MONTH(ФевВс1+32)=2),ФевВс1+32,""))</f>
        <v>43524</v>
      </c>
      <c r="P30" s="43" t="str">
        <f ca="1">IF(DAY(ФевВс1)=1,IF(AND(YEAR(ФевВс1+26)=КалендарныйГод,MONTH(ФевВс1+26)=2),ФевВс1+26,""),IF(AND(YEAR(ФевВс1+33)=КалендарныйГод,MONTH(ФевВс1+33)=2),ФевВс1+33,""))</f>
        <v/>
      </c>
      <c r="Q30" s="43" t="str">
        <f ca="1">IF(DAY(ФевВс1)=1,IF(AND(YEAR(ФевВс1+27)=КалендарныйГод,MONTH(ФевВс1+27)=2),ФевВс1+27,""),IF(AND(YEAR(ФевВс1+34)=КалендарныйГод,MONTH(ФевВс1+34)=2),ФевВс1+34,""))</f>
        <v/>
      </c>
      <c r="R30" s="43" t="str">
        <f ca="1">IF(DAY(ФевВс1)=1,IF(AND(YEAR(ФевВс1+28)=КалендарныйГод,MONTH(ФевВс1+28)=2),ФевВс1+28,""),IF(AND(YEAR(ФевВс1+35)=КалендарныйГод,MONTH(ФевВс1+35)=2),ФевВс1+35,""))</f>
        <v/>
      </c>
      <c r="S30" s="36"/>
      <c r="T30" s="40"/>
      <c r="U30" s="43">
        <f ca="1">IF(DAY(МарВс1)=1,IF(AND(YEAR(МарВс1+22)=КалендарныйГод,MONTH(МарВс1+22)=3),МарВс1+22,""),IF(AND(YEAR(МарВс1+29)=КалендарныйГод,MONTH(МарВс1+29)=3),МарВс1+29,""))</f>
        <v>43549</v>
      </c>
      <c r="V30" s="43">
        <f ca="1">IF(DAY(МарВс1)=1,IF(AND(YEAR(МарВс1+23)=КалендарныйГод,MONTH(МарВс1+23)=3),МарВс1+23,""),IF(AND(YEAR(МарВс1+30)=КалендарныйГод,MONTH(МарВс1+30)=3),МарВс1+30,""))</f>
        <v>43550</v>
      </c>
      <c r="W30" s="43">
        <f ca="1">IF(DAY(МарВс1)=1,IF(AND(YEAR(МарВс1+24)=КалендарныйГод,MONTH(МарВс1+24)=3),МарВс1+24,""),IF(AND(YEAR(МарВс1+31)=КалендарныйГод,MONTH(МарВс1+31)=3),МарВс1+31,""))</f>
        <v>43551</v>
      </c>
      <c r="X30" s="43">
        <f ca="1">IF(DAY(МарВс1)=1,IF(AND(YEAR(МарВс1+25)=КалендарныйГод,MONTH(МарВс1+25)=3),МарВс1+25,""),IF(AND(YEAR(МарВс1+32)=КалендарныйГод,MONTH(МарВс1+32)=3),МарВс1+32,""))</f>
        <v>43552</v>
      </c>
      <c r="Y30" s="43">
        <f ca="1">IF(DAY(МарВс1)=1,IF(AND(YEAR(МарВс1+26)=КалендарныйГод,MONTH(МарВс1+26)=3),МарВс1+26,""),IF(AND(YEAR(МарВс1+33)=КалендарныйГод,MONTH(МарВс1+33)=3),МарВс1+33,""))</f>
        <v>43553</v>
      </c>
      <c r="Z30" s="43">
        <f ca="1">IF(DAY(МарВс1)=1,IF(AND(YEAR(МарВс1+27)=КалендарныйГод,MONTH(МарВс1+27)=3),МарВс1+27,""),IF(AND(YEAR(МарВс1+34)=КалендарныйГод,MONTH(МарВс1+34)=3),МарВс1+34,""))</f>
        <v>43554</v>
      </c>
      <c r="AA30" s="43">
        <f ca="1">IF(DAY(МарВс1)=1,IF(AND(YEAR(МарВс1+28)=КалендарныйГод,MONTH(МарВс1+28)=3),МарВс1+28,""),IF(AND(YEAR(МарВс1+35)=КалендарныйГод,MONTH(МарВс1+35)=3),МарВс1+35,""))</f>
        <v>43555</v>
      </c>
      <c r="AB30" s="36"/>
      <c r="AC30" s="35"/>
      <c r="AD30" s="43">
        <f ca="1">IF(DAY(АпрВс1)=1,IF(AND(YEAR(АпрВс1+22)=КалендарныйГод,MONTH(АпрВс1+22)=4),АпрВс1+22,""),IF(AND(YEAR(АпрВс1+29)=КалендарныйГод,MONTH(АпрВс1+29)=4),АпрВс1+29,""))</f>
        <v>43584</v>
      </c>
      <c r="AE30" s="43">
        <f ca="1">IF(DAY(АпрВс1)=1,IF(AND(YEAR(АпрВс1+23)=КалендарныйГод,MONTH(АпрВс1+23)=4),АпрВс1+23,""),IF(AND(YEAR(АпрВс1+30)=КалендарныйГод,MONTH(АпрВс1+30)=4),АпрВс1+30,""))</f>
        <v>43585</v>
      </c>
      <c r="AF30" s="43" t="str">
        <f ca="1">IF(DAY(АпрВс1)=1,IF(AND(YEAR(АпрВс1+24)=КалендарныйГод,MONTH(АпрВс1+24)=4),АпрВс1+24,""),IF(AND(YEAR(АпрВс1+31)=КалендарныйГод,MONTH(АпрВс1+31)=4),АпрВс1+31,""))</f>
        <v/>
      </c>
      <c r="AG30" s="43" t="str">
        <f ca="1">IF(DAY(АпрВс1)=1,IF(AND(YEAR(АпрВс1+25)=КалендарныйГод,MONTH(АпрВс1+25)=4),АпрВс1+25,""),IF(AND(YEAR(АпрВс1+32)=КалендарныйГод,MONTH(АпрВс1+32)=4),АпрВс1+32,""))</f>
        <v/>
      </c>
      <c r="AH30" s="43" t="str">
        <f ca="1">IF(DAY(АпрВс1)=1,IF(AND(YEAR(АпрВс1+26)=КалендарныйГод,MONTH(АпрВс1+26)=4),АпрВс1+26,""),IF(AND(YEAR(АпрВс1+33)=КалендарныйГод,MONTH(АпрВс1+33)=4),АпрВс1+33,""))</f>
        <v/>
      </c>
      <c r="AI30" s="43" t="str">
        <f ca="1">IF(DAY(АпрВс1)=1,IF(AND(YEAR(АпрВс1+27)=КалендарныйГод,MONTH(АпрВс1+27)=4),АпрВс1+27,""),IF(AND(YEAR(АпрВс1+34)=КалендарныйГод,MONTH(АпрВс1+34)=4),АпрВс1+34,""))</f>
        <v/>
      </c>
      <c r="AJ30" s="43" t="str">
        <f ca="1">IF(DAY(АпрВс1)=1,IF(AND(YEAR(АпрВс1+28)=КалендарныйГод,MONTH(АпрВс1+28)=4),АпрВс1+28,""),IF(AND(YEAR(АпрВс1+35)=КалендарныйГод,MONTH(АпрВс1+35)=4),АпрВс1+35,""))</f>
        <v/>
      </c>
    </row>
    <row r="31" spans="1:37" x14ac:dyDescent="0.2">
      <c r="C31" s="43" t="str">
        <f ca="1">IF(DAY(ЯнвВс1)=1,IF(AND(YEAR(ЯнвВс1+29)=КалендарныйГод,MONTH(ЯнвВс1+29)=1),ЯнвВс1+29,""),IF(AND(YEAR(ЯнвВс1+36)=КалендарныйГод,MONTH(ЯнвВс1+36)=1),ЯнвВс1+36,""))</f>
        <v/>
      </c>
      <c r="D31" s="43" t="str">
        <f ca="1">IF(DAY(ЯнвВс1)=1,IF(AND(YEAR(ЯнвВс1+30)=КалендарныйГод,MONTH(ЯнвВс1+30)=1),ЯнвВс1+30,""),IF(AND(YEAR(ЯнвВс1+37)=КалендарныйГод,MONTH(ЯнвВс1+37)=1),ЯнвВс1+37,""))</f>
        <v/>
      </c>
      <c r="E31" s="43" t="str">
        <f ca="1">IF(DAY(ЯнвВс1)=1,IF(AND(YEAR(ЯнвВс1+31)=КалендарныйГод,MONTH(ЯнвВс1+31)=1),ЯнвВс1+31,""),IF(AND(YEAR(ЯнвВс1+38)=КалендарныйГод,MONTH(ЯнвВс1+38)=1),ЯнвВс1+38,""))</f>
        <v/>
      </c>
      <c r="F31" s="43" t="str">
        <f ca="1">IF(DAY(ЯнвВс1)=1,IF(AND(YEAR(ЯнвВс1+32)=КалендарныйГод,MONTH(ЯнвВс1+32)=1),ЯнвВс1+32,""),IF(AND(YEAR(ЯнвВс1+39)=КалендарныйГод,MONTH(ЯнвВс1+39)=1),ЯнвВс1+39,""))</f>
        <v/>
      </c>
      <c r="G31" s="43" t="str">
        <f ca="1">IF(DAY(ЯнвВс1)=1,IF(AND(YEAR(ЯнвВс1+33)=КалендарныйГод,MONTH(ЯнвВс1+33)=1),ЯнвВс1+33,""),IF(AND(YEAR(ЯнвВс1+40)=КалендарныйГод,MONTH(ЯнвВс1+40)=1),ЯнвВс1+40,""))</f>
        <v/>
      </c>
      <c r="H31" s="43" t="str">
        <f ca="1">IF(DAY(ЯнвВс1)=1,IF(AND(YEAR(ЯнвВс1+34)=КалендарныйГод,MONTH(ЯнвВс1+34)=1),ЯнвВс1+34,""),IF(AND(YEAR(ЯнвВс1+41)=КалендарныйГод,MONTH(ЯнвВс1+41)=1),ЯнвВс1+41,""))</f>
        <v/>
      </c>
      <c r="I31" s="43" t="str">
        <f ca="1">IF(DAY(ЯнвВс1)=1,IF(AND(YEAR(ЯнвВс1+35)=КалендарныйГод,MONTH(ЯнвВс1+35)=1),ЯнвВс1+35,""),IF(AND(YEAR(ЯнвВс1+42)=КалендарныйГод,MONTH(ЯнвВс1+42)=1),ЯнвВс1+42,""))</f>
        <v/>
      </c>
      <c r="J31" s="36"/>
      <c r="K31" s="35"/>
      <c r="L31" s="43" t="str">
        <f ca="1">IF(DAY(ФевВс1)=1,IF(AND(YEAR(ФевВс1+29)=КалендарныйГод,MONTH(ФевВс1+29)=2),ФевВс1+29,""),IF(AND(YEAR(ФевВс1+36)=КалендарныйГод,MONTH(ФевВс1+36)=2),ФевВс1+36,""))</f>
        <v/>
      </c>
      <c r="M31" s="43" t="str">
        <f ca="1">IF(DAY(ФевВс1)=1,IF(AND(YEAR(ФевВс1+30)=КалендарныйГод,MONTH(ФевВс1+30)=2),ФевВс1+30,""),IF(AND(YEAR(ФевВс1+37)=КалендарныйГод,MONTH(ФевВс1+37)=2),ФевВс1+37,""))</f>
        <v/>
      </c>
      <c r="N31" s="43" t="str">
        <f ca="1">IF(DAY(ФевВс1)=1,IF(AND(YEAR(ФевВс1+31)=КалендарныйГод,MONTH(ФевВс1+31)=2),ФевВс1+31,""),IF(AND(YEAR(ФевВс1+38)=КалендарныйГод,MONTH(ФевВс1+38)=2),ФевВс1+38,""))</f>
        <v/>
      </c>
      <c r="O31" s="43" t="str">
        <f ca="1">IF(DAY(ФевВс1)=1,IF(AND(YEAR(ФевВс1+32)=КалендарныйГод,MONTH(ФевВс1+32)=2),ФевВс1+32,""),IF(AND(YEAR(ФевВс1+39)=КалендарныйГод,MONTH(ФевВс1+39)=2),ФевВс1+39,""))</f>
        <v/>
      </c>
      <c r="P31" s="43" t="str">
        <f ca="1">IF(DAY(ФевВс1)=1,IF(AND(YEAR(ФевВс1+33)=КалендарныйГод,MONTH(ФевВс1+33)=2),ФевВс1+33,""),IF(AND(YEAR(ФевВс1+40)=КалендарныйГод,MONTH(ФевВс1+40)=2),ФевВс1+40,""))</f>
        <v/>
      </c>
      <c r="Q31" s="43" t="str">
        <f ca="1">IF(DAY(ФевВс1)=1,IF(AND(YEAR(ФевВс1+34)=КалендарныйГод,MONTH(ФевВс1+34)=2),ФевВс1+34,""),IF(AND(YEAR(ФевВс1+41)=КалендарныйГод,MONTH(ФевВс1+41)=2),ФевВс1+41,""))</f>
        <v/>
      </c>
      <c r="R31" s="43" t="str">
        <f ca="1">IF(DAY(ФевВс1)=1,IF(AND(YEAR(ФевВс1+35)=КалендарныйГод,MONTH(ФевВс1+35)=2),ФевВс1+35,""),IF(AND(YEAR(ФевВс1+42)=КалендарныйГод,MONTH(ФевВс1+42)=2),ФевВс1+42,""))</f>
        <v/>
      </c>
      <c r="S31" s="36"/>
      <c r="T31" s="40"/>
      <c r="U31" s="43" t="str">
        <f ca="1">IF(DAY(МарВс1)=1,IF(AND(YEAR(МарВс1+29)=КалендарныйГод,MONTH(МарВс1+29)=3),МарВс1+29,""),IF(AND(YEAR(МарВс1+36)=КалендарныйГод,MONTH(МарВс1+36)=3),МарВс1+36,""))</f>
        <v/>
      </c>
      <c r="V31" s="43" t="str">
        <f ca="1">IF(DAY(МарВс1)=1,IF(AND(YEAR(МарВс1+30)=КалендарныйГод,MONTH(МарВс1+30)=3),МарВс1+30,""),IF(AND(YEAR(МарВс1+37)=КалендарныйГод,MONTH(МарВс1+37)=3),МарВс1+37,""))</f>
        <v/>
      </c>
      <c r="W31" s="43" t="str">
        <f ca="1">IF(DAY(МарВс1)=1,IF(AND(YEAR(МарВс1+31)=КалендарныйГод,MONTH(МарВс1+31)=3),МарВс1+31,""),IF(AND(YEAR(МарВс1+38)=КалендарныйГод,MONTH(МарВс1+38)=3),МарВс1+38,""))</f>
        <v/>
      </c>
      <c r="X31" s="43" t="str">
        <f ca="1">IF(DAY(МарВс1)=1,IF(AND(YEAR(МарВс1+32)=КалендарныйГод,MONTH(МарВс1+32)=3),МарВс1+32,""),IF(AND(YEAR(МарВс1+39)=КалендарныйГод,MONTH(МарВс1+39)=3),МарВс1+39,""))</f>
        <v/>
      </c>
      <c r="Y31" s="43" t="str">
        <f ca="1">IF(DAY(МарВс1)=1,IF(AND(YEAR(МарВс1+33)=КалендарныйГод,MONTH(МарВс1+33)=3),МарВс1+33,""),IF(AND(YEAR(МарВс1+40)=КалендарныйГод,MONTH(МарВс1+40)=3),МарВс1+40,""))</f>
        <v/>
      </c>
      <c r="Z31" s="43" t="str">
        <f ca="1">IF(DAY(МарВс1)=1,IF(AND(YEAR(МарВс1+34)=КалендарныйГод,MONTH(МарВс1+34)=3),МарВс1+34,""),IF(AND(YEAR(МарВс1+41)=КалендарныйГод,MONTH(МарВс1+41)=3),МарВс1+41,""))</f>
        <v/>
      </c>
      <c r="AA31" s="43" t="str">
        <f ca="1">IF(DAY(МарВс1)=1,IF(AND(YEAR(МарВс1+35)=КалендарныйГод,MONTH(МарВс1+35)=3),МарВс1+35,""),IF(AND(YEAR(МарВс1+42)=КалендарныйГод,MONTH(МарВс1+42)=3),МарВс1+42,""))</f>
        <v/>
      </c>
      <c r="AB31" s="36"/>
      <c r="AC31" s="35"/>
      <c r="AD31" s="43" t="str">
        <f ca="1">IF(DAY(АпрВс1)=1,IF(AND(YEAR(АпрВс1+29)=КалендарныйГод,MONTH(АпрВс1+29)=4),АпрВс1+29,""),IF(AND(YEAR(АпрВс1+36)=КалендарныйГод,MONTH(АпрВс1+36)=4),АпрВс1+36,""))</f>
        <v/>
      </c>
      <c r="AE31" s="43" t="str">
        <f ca="1">IF(DAY(АпрВс1)=1,IF(AND(YEAR(АпрВс1+30)=КалендарныйГод,MONTH(АпрВс1+30)=4),АпрВс1+30,""),IF(AND(YEAR(АпрВс1+37)=КалендарныйГод,MONTH(АпрВс1+37)=4),АпрВс1+37,""))</f>
        <v/>
      </c>
      <c r="AF31" s="43" t="str">
        <f ca="1">IF(DAY(АпрВс1)=1,IF(AND(YEAR(АпрВс1+31)=КалендарныйГод,MONTH(АпрВс1+31)=4),АпрВс1+31,""),IF(AND(YEAR(АпрВс1+38)=КалендарныйГод,MONTH(АпрВс1+38)=4),АпрВс1+38,""))</f>
        <v/>
      </c>
      <c r="AG31" s="43" t="str">
        <f ca="1">IF(DAY(АпрВс1)=1,IF(AND(YEAR(АпрВс1+32)=КалендарныйГод,MONTH(АпрВс1+32)=4),АпрВс1+32,""),IF(AND(YEAR(АпрВс1+39)=КалендарныйГод,MONTH(АпрВс1+39)=4),АпрВс1+39,""))</f>
        <v/>
      </c>
      <c r="AH31" s="43" t="str">
        <f ca="1">IF(DAY(АпрВс1)=1,IF(AND(YEAR(АпрВс1+33)=КалендарныйГод,MONTH(АпрВс1+33)=4),АпрВс1+33,""),IF(AND(YEAR(АпрВс1+40)=КалендарныйГод,MONTH(АпрВс1+40)=4),АпрВс1+40,""))</f>
        <v/>
      </c>
      <c r="AI31" s="43" t="str">
        <f ca="1">IF(DAY(АпрВс1)=1,IF(AND(YEAR(АпрВс1+34)=КалендарныйГод,MONTH(АпрВс1+34)=4),АпрВс1+34,""),IF(AND(YEAR(АпрВс1+41)=КалендарныйГод,MONTH(АпрВс1+41)=4),АпрВс1+41,""))</f>
        <v/>
      </c>
      <c r="AJ31" s="43" t="str">
        <f ca="1">IF(DAY(АпрВс1)=1,IF(AND(YEAR(АпрВс1+35)=КалендарныйГод,MONTH(АпрВс1+35)=4),АпрВс1+35,""),IF(AND(YEAR(АпрВс1+42)=КалендарныйГод,MONTH(АпрВс1+42)=4),АпрВс1+42,""))</f>
        <v/>
      </c>
    </row>
    <row r="32" spans="1:37" ht="15" x14ac:dyDescent="0.2">
      <c r="A32" s="26" t="s">
        <v>12</v>
      </c>
      <c r="C32" s="35"/>
      <c r="D32" s="35"/>
      <c r="E32" s="35"/>
      <c r="F32" s="35"/>
      <c r="G32" s="35"/>
      <c r="H32" s="35"/>
      <c r="I32" s="35"/>
      <c r="J32" s="36"/>
      <c r="K32" s="35"/>
      <c r="L32" s="35"/>
      <c r="M32" s="35"/>
      <c r="N32" s="35"/>
      <c r="O32" s="35"/>
      <c r="P32" s="35"/>
      <c r="Q32" s="35"/>
      <c r="R32" s="35"/>
      <c r="S32" s="36"/>
      <c r="T32" s="40"/>
      <c r="U32" s="40"/>
      <c r="V32" s="40"/>
      <c r="W32" s="40"/>
      <c r="X32" s="40"/>
      <c r="Y32" s="40"/>
      <c r="Z32" s="40"/>
      <c r="AA32" s="40"/>
      <c r="AB32" s="41"/>
      <c r="AC32" s="40"/>
      <c r="AD32" s="40"/>
      <c r="AE32" s="40"/>
      <c r="AF32" s="40"/>
      <c r="AG32" s="40"/>
      <c r="AH32" s="40"/>
      <c r="AI32" s="40"/>
      <c r="AJ32" s="40"/>
    </row>
    <row r="33" spans="1:36" ht="15.75" x14ac:dyDescent="0.25">
      <c r="A33" s="26" t="s">
        <v>13</v>
      </c>
      <c r="C33" s="45">
        <f ca="1">DATE(КалендарныйГод,5,1)</f>
        <v>43586</v>
      </c>
      <c r="D33" s="45"/>
      <c r="E33" s="45"/>
      <c r="F33" s="45"/>
      <c r="G33" s="45"/>
      <c r="H33" s="45"/>
      <c r="I33" s="45"/>
      <c r="J33" s="32"/>
      <c r="K33" s="35"/>
      <c r="L33" s="45">
        <f ca="1">DATE(КалендарныйГод,6,1)</f>
        <v>43617</v>
      </c>
      <c r="M33" s="45"/>
      <c r="N33" s="45"/>
      <c r="O33" s="45"/>
      <c r="P33" s="45"/>
      <c r="Q33" s="45"/>
      <c r="R33" s="45"/>
      <c r="S33" s="32"/>
      <c r="T33" s="40"/>
      <c r="U33" s="45">
        <f ca="1">DATE(КалендарныйГод,7,1)</f>
        <v>43647</v>
      </c>
      <c r="V33" s="45"/>
      <c r="W33" s="45"/>
      <c r="X33" s="45"/>
      <c r="Y33" s="45"/>
      <c r="Z33" s="45"/>
      <c r="AA33" s="45"/>
      <c r="AB33" s="32"/>
      <c r="AC33" s="35"/>
      <c r="AD33" s="45">
        <f ca="1">DATE(КалендарныйГод,8,1)</f>
        <v>43678</v>
      </c>
      <c r="AE33" s="45"/>
      <c r="AF33" s="45"/>
      <c r="AG33" s="45"/>
      <c r="AH33" s="45"/>
      <c r="AI33" s="45"/>
      <c r="AJ33" s="45"/>
    </row>
    <row r="34" spans="1:36" ht="15" x14ac:dyDescent="0.25">
      <c r="A34" s="26" t="s">
        <v>14</v>
      </c>
      <c r="C34" s="21" t="s">
        <v>20</v>
      </c>
      <c r="D34" s="21" t="s">
        <v>23</v>
      </c>
      <c r="E34" s="21" t="s">
        <v>24</v>
      </c>
      <c r="F34" s="21" t="s">
        <v>25</v>
      </c>
      <c r="G34" s="21" t="s">
        <v>26</v>
      </c>
      <c r="H34" s="21" t="s">
        <v>29</v>
      </c>
      <c r="I34" s="21" t="s">
        <v>30</v>
      </c>
      <c r="J34" s="34"/>
      <c r="K34" s="37"/>
      <c r="L34" s="21" t="s">
        <v>20</v>
      </c>
      <c r="M34" s="21" t="s">
        <v>23</v>
      </c>
      <c r="N34" s="21" t="s">
        <v>24</v>
      </c>
      <c r="O34" s="21" t="s">
        <v>25</v>
      </c>
      <c r="P34" s="21" t="s">
        <v>26</v>
      </c>
      <c r="Q34" s="21" t="s">
        <v>29</v>
      </c>
      <c r="R34" s="21" t="s">
        <v>30</v>
      </c>
      <c r="S34" s="34"/>
      <c r="T34" s="40"/>
      <c r="U34" s="21" t="s">
        <v>20</v>
      </c>
      <c r="V34" s="21" t="s">
        <v>23</v>
      </c>
      <c r="W34" s="21" t="s">
        <v>24</v>
      </c>
      <c r="X34" s="21" t="s">
        <v>25</v>
      </c>
      <c r="Y34" s="21" t="s">
        <v>26</v>
      </c>
      <c r="Z34" s="21" t="s">
        <v>29</v>
      </c>
      <c r="AA34" s="21" t="s">
        <v>30</v>
      </c>
      <c r="AB34" s="34"/>
      <c r="AC34" s="35"/>
      <c r="AD34" s="21" t="s">
        <v>20</v>
      </c>
      <c r="AE34" s="21" t="s">
        <v>23</v>
      </c>
      <c r="AF34" s="21" t="s">
        <v>24</v>
      </c>
      <c r="AG34" s="21" t="s">
        <v>25</v>
      </c>
      <c r="AH34" s="21" t="s">
        <v>26</v>
      </c>
      <c r="AI34" s="21" t="s">
        <v>29</v>
      </c>
      <c r="AJ34" s="21" t="s">
        <v>30</v>
      </c>
    </row>
    <row r="35" spans="1:36" ht="15.75" x14ac:dyDescent="0.25">
      <c r="A35" s="26" t="s">
        <v>15</v>
      </c>
      <c r="C35" s="43" t="str">
        <f ca="1">IF(DAY(МайВс1)=1,"",IF(AND(YEAR(МайВс1+1)=КалендарныйГод,MONTH(МайВс1+1)=5),МайВс1+1,""))</f>
        <v/>
      </c>
      <c r="D35" s="43" t="str">
        <f ca="1">IF(DAY(МайВс1)=1,"",IF(AND(YEAR(МайВс1+2)=КалендарныйГод,MONTH(МайВс1+2)=5),МайВс1+2,""))</f>
        <v/>
      </c>
      <c r="E35" s="43">
        <f ca="1">IF(DAY(МайВс1)=1,"",IF(AND(YEAR(МайВс1+3)=КалендарныйГод,MONTH(МайВс1+3)=5),МайВс1+3,""))</f>
        <v>43586</v>
      </c>
      <c r="F35" s="43">
        <f ca="1">IF(DAY(МайВс1)=1,"",IF(AND(YEAR(МайВс1+4)=КалендарныйГод,MONTH(МайВс1+4)=5),МайВс1+4,""))</f>
        <v>43587</v>
      </c>
      <c r="G35" s="43">
        <f ca="1">IF(DAY(МайВс1)=1,"",IF(AND(YEAR(МайВс1+5)=КалендарныйГод,MONTH(МайВс1+5)=5),МайВс1+5,""))</f>
        <v>43588</v>
      </c>
      <c r="H35" s="43">
        <f ca="1">IF(DAY(МайВс1)=1,"",IF(AND(YEAR(МайВс1+6)=КалендарныйГод,MONTH(МайВс1+6)=5),МайВс1+6,""))</f>
        <v>43589</v>
      </c>
      <c r="I35" s="43">
        <f ca="1">IF(DAY(МайВс1)=1,IF(AND(YEAR(МайВс1)=КалендарныйГод,MONTH(МайВс1)=5),МайВс1,""),IF(AND(YEAR(МайВс1+7)=КалендарныйГод,MONTH(МайВс1+7)=5),МайВс1+7,""))</f>
        <v>43590</v>
      </c>
      <c r="J35" s="36"/>
      <c r="K35" s="33"/>
      <c r="L35" s="43" t="str">
        <f ca="1">IF(DAY(ИюнВс1)=1,"",IF(AND(YEAR(ИюнВс1+1)=КалендарныйГод,MONTH(ИюнВс1+1)=6),ИюнВс1+1,""))</f>
        <v/>
      </c>
      <c r="M35" s="43" t="str">
        <f ca="1">IF(DAY(ИюнВс1)=1,"",IF(AND(YEAR(ИюнВс1+2)=КалендарныйГод,MONTH(ИюнВс1+2)=6),ИюнВс1+2,""))</f>
        <v/>
      </c>
      <c r="N35" s="43" t="str">
        <f ca="1">IF(DAY(ИюнВс1)=1,"",IF(AND(YEAR(ИюнВс1+3)=КалендарныйГод,MONTH(ИюнВс1+3)=6),ИюнВс1+3,""))</f>
        <v/>
      </c>
      <c r="O35" s="43" t="str">
        <f ca="1">IF(DAY(ИюнВс1)=1,"",IF(AND(YEAR(ИюнВс1+4)=КалендарныйГод,MONTH(ИюнВс1+4)=6),ИюнВс1+4,""))</f>
        <v/>
      </c>
      <c r="P35" s="43" t="str">
        <f ca="1">IF(DAY(ИюнВс1)=1,"",IF(AND(YEAR(ИюнВс1+5)=КалендарныйГод,MONTH(ИюнВс1+5)=6),ИюнВс1+5,""))</f>
        <v/>
      </c>
      <c r="Q35" s="43">
        <f ca="1">IF(DAY(ИюнВс1)=1,"",IF(AND(YEAR(ИюнВс1+6)=КалендарныйГод,MONTH(ИюнВс1+6)=6),ИюнВс1+6,""))</f>
        <v>43617</v>
      </c>
      <c r="R35" s="43">
        <f ca="1">IF(DAY(ИюнВс1)=1,IF(AND(YEAR(ИюнВс1)=КалендарныйГод,MONTH(ИюнВс1)=6),ИюнВс1,""),IF(AND(YEAR(ИюнВс1+7)=КалендарныйГод,MONTH(ИюнВс1+7)=6),ИюнВс1+7,""))</f>
        <v>43618</v>
      </c>
      <c r="S35" s="36"/>
      <c r="T35" s="40"/>
      <c r="U35" s="43">
        <f ca="1">IF(DAY(ИюлВс1)=1,"",IF(AND(YEAR(ИюлВс1+1)=КалендарныйГод,MONTH(ИюлВс1+1)=7),ИюлВс1+1,""))</f>
        <v>43647</v>
      </c>
      <c r="V35" s="43">
        <f ca="1">IF(DAY(ИюлВс1)=1,"",IF(AND(YEAR(ИюлВс1+2)=КалендарныйГод,MONTH(ИюлВс1+2)=7),ИюлВс1+2,""))</f>
        <v>43648</v>
      </c>
      <c r="W35" s="43">
        <f ca="1">IF(DAY(ИюлВс1)=1,"",IF(AND(YEAR(ИюлВс1+3)=КалендарныйГод,MONTH(ИюлВс1+3)=7),ИюлВс1+3,""))</f>
        <v>43649</v>
      </c>
      <c r="X35" s="43">
        <f ca="1">IF(DAY(ИюлВс1)=1,"",IF(AND(YEAR(ИюлВс1+4)=КалендарныйГод,MONTH(ИюлВс1+4)=7),ИюлВс1+4,""))</f>
        <v>43650</v>
      </c>
      <c r="Y35" s="43">
        <f ca="1">IF(DAY(ИюлВс1)=1,"",IF(AND(YEAR(ИюлВс1+5)=КалендарныйГод,MONTH(ИюлВс1+5)=7),ИюлВс1+5,""))</f>
        <v>43651</v>
      </c>
      <c r="Z35" s="43">
        <f ca="1">IF(DAY(ИюлВс1)=1,"",IF(AND(YEAR(ИюлВс1+6)=КалендарныйГод,MONTH(ИюлВс1+6)=7),ИюлВс1+6,""))</f>
        <v>43652</v>
      </c>
      <c r="AA35" s="43">
        <f ca="1">IF(DAY(ИюлВс1)=1,IF(AND(YEAR(ИюлВс1)=КалендарныйГод,MONTH(ИюлВс1)=7),ИюлВс1,""),IF(AND(YEAR(ИюлВс1+7)=КалендарныйГод,MONTH(ИюлВс1+7)=7),ИюлВс1+7,""))</f>
        <v>43653</v>
      </c>
      <c r="AB35" s="36"/>
      <c r="AC35" s="37"/>
      <c r="AD35" s="43" t="str">
        <f ca="1">IF(DAY(АвгВс1)=1,"",IF(AND(YEAR(АвгВс1+1)=КалендарныйГод,MONTH(АвгВс1+1)=8),АвгВс1+1,""))</f>
        <v/>
      </c>
      <c r="AE35" s="43" t="str">
        <f ca="1">IF(DAY(АвгВс1)=1,"",IF(AND(YEAR(АвгВс1+2)=КалендарныйГод,MONTH(АвгВс1+2)=8),АвгВс1+2,""))</f>
        <v/>
      </c>
      <c r="AF35" s="43" t="str">
        <f ca="1">IF(DAY(АвгВс1)=1,"",IF(AND(YEAR(АвгВс1+3)=КалендарныйГод,MONTH(АвгВс1+3)=8),АвгВс1+3,""))</f>
        <v/>
      </c>
      <c r="AG35" s="43">
        <f ca="1">IF(DAY(АвгВс1)=1,"",IF(AND(YEAR(АвгВс1+4)=КалендарныйГод,MONTH(АвгВс1+4)=8),АвгВс1+4,""))</f>
        <v>43678</v>
      </c>
      <c r="AH35" s="43">
        <f ca="1">IF(DAY(АвгВс1)=1,"",IF(AND(YEAR(АвгВс1+5)=КалендарныйГод,MONTH(АвгВс1+5)=8),АвгВс1+5,""))</f>
        <v>43679</v>
      </c>
      <c r="AI35" s="43">
        <f ca="1">IF(DAY(АвгВс1)=1,"",IF(AND(YEAR(АвгВс1+6)=КалендарныйГод,MONTH(АвгВс1+6)=8),АвгВс1+6,""))</f>
        <v>43680</v>
      </c>
      <c r="AJ35" s="43">
        <f ca="1">IF(DAY(АвгВс1)=1,IF(AND(YEAR(АвгВс1)=КалендарныйГод,MONTH(АвгВс1)=8),АвгВс1,""),IF(AND(YEAR(АвгВс1+7)=КалендарныйГод,MONTH(АвгВс1+7)=8),АвгВс1+7,""))</f>
        <v>43681</v>
      </c>
    </row>
    <row r="36" spans="1:36" x14ac:dyDescent="0.2">
      <c r="C36" s="43">
        <f ca="1">IF(DAY(МайВс1)=1,IF(AND(YEAR(МайВс1+1)=КалендарныйГод,MONTH(МайВс1+1)=5),МайВс1+1,""),IF(AND(YEAR(МайВс1+8)=КалендарныйГод,MONTH(МайВс1+8)=5),МайВс1+8,""))</f>
        <v>43591</v>
      </c>
      <c r="D36" s="43">
        <f ca="1">IF(DAY(МайВс1)=1,IF(AND(YEAR(МайВс1+2)=КалендарныйГод,MONTH(МайВс1+2)=5),МайВс1+2,""),IF(AND(YEAR(МайВс1+9)=КалендарныйГод,MONTH(МайВс1+9)=5),МайВс1+9,""))</f>
        <v>43592</v>
      </c>
      <c r="E36" s="43">
        <f ca="1">IF(DAY(МайВс1)=1,IF(AND(YEAR(МайВс1+3)=КалендарныйГод,MONTH(МайВс1+3)=5),МайВс1+3,""),IF(AND(YEAR(МайВс1+10)=КалендарныйГод,MONTH(МайВс1+10)=5),МайВс1+10,""))</f>
        <v>43593</v>
      </c>
      <c r="F36" s="43">
        <f ca="1">IF(DAY(МайВс1)=1,IF(AND(YEAR(МайВс1+4)=КалендарныйГод,MONTH(МайВс1+4)=5),МайВс1+4,""),IF(AND(YEAR(МайВс1+11)=КалендарныйГод,MONTH(МайВс1+11)=5),МайВс1+11,""))</f>
        <v>43594</v>
      </c>
      <c r="G36" s="43">
        <f ca="1">IF(DAY(МайВс1)=1,IF(AND(YEAR(МайВс1+5)=КалендарныйГод,MONTH(МайВс1+5)=5),МайВс1+5,""),IF(AND(YEAR(МайВс1+12)=КалендарныйГод,MONTH(МайВс1+12)=5),МайВс1+12,""))</f>
        <v>43595</v>
      </c>
      <c r="H36" s="43">
        <f ca="1">IF(DAY(МайВс1)=1,IF(AND(YEAR(МайВс1+6)=КалендарныйГод,MONTH(МайВс1+6)=5),МайВс1+6,""),IF(AND(YEAR(МайВс1+13)=КалендарныйГод,MONTH(МайВс1+13)=5),МайВс1+13,""))</f>
        <v>43596</v>
      </c>
      <c r="I36" s="43">
        <f ca="1">IF(DAY(МайВс1)=1,IF(AND(YEAR(МайВс1+7)=КалендарныйГод,MONTH(МайВс1+7)=5),МайВс1+7,""),IF(AND(YEAR(МайВс1+14)=КалендарныйГод,MONTH(МайВс1+14)=5),МайВс1+14,""))</f>
        <v>43597</v>
      </c>
      <c r="J36" s="36"/>
      <c r="K36" s="35"/>
      <c r="L36" s="43">
        <f ca="1">IF(DAY(ИюнВс1)=1,IF(AND(YEAR(ИюнВс1+1)=КалендарныйГод,MONTH(ИюнВс1+1)=6),ИюнВс1+1,""),IF(AND(YEAR(ИюнВс1+8)=КалендарныйГод,MONTH(ИюнВс1+8)=6),ИюнВс1+8,""))</f>
        <v>43619</v>
      </c>
      <c r="M36" s="43">
        <f ca="1">IF(DAY(ИюнВс1)=1,IF(AND(YEAR(ИюнВс1+2)=КалендарныйГод,MONTH(ИюнВс1+2)=6),ИюнВс1+2,""),IF(AND(YEAR(ИюнВс1+9)=КалендарныйГод,MONTH(ИюнВс1+9)=6),ИюнВс1+9,""))</f>
        <v>43620</v>
      </c>
      <c r="N36" s="43">
        <f ca="1">IF(DAY(ИюнВс1)=1,IF(AND(YEAR(ИюнВс1+3)=КалендарныйГод,MONTH(ИюнВс1+3)=6),ИюнВс1+3,""),IF(AND(YEAR(ИюнВс1+10)=КалендарныйГод,MONTH(ИюнВс1+10)=6),ИюнВс1+10,""))</f>
        <v>43621</v>
      </c>
      <c r="O36" s="43">
        <f ca="1">IF(DAY(ИюнВс1)=1,IF(AND(YEAR(ИюнВс1+4)=КалендарныйГод,MONTH(ИюнВс1+4)=6),ИюнВс1+4,""),IF(AND(YEAR(ИюнВс1+11)=КалендарныйГод,MONTH(ИюнВс1+11)=6),ИюнВс1+11,""))</f>
        <v>43622</v>
      </c>
      <c r="P36" s="43">
        <f ca="1">IF(DAY(ИюнВс1)=1,IF(AND(YEAR(ИюнВс1+5)=КалендарныйГод,MONTH(ИюнВс1+5)=6),ИюнВс1+5,""),IF(AND(YEAR(ИюнВс1+12)=КалендарныйГод,MONTH(ИюнВс1+12)=6),ИюнВс1+12,""))</f>
        <v>43623</v>
      </c>
      <c r="Q36" s="43">
        <f ca="1">IF(DAY(ИюнВс1)=1,IF(AND(YEAR(ИюнВс1+6)=КалендарныйГод,MONTH(ИюнВс1+6)=6),ИюнВс1+6,""),IF(AND(YEAR(ИюнВс1+13)=КалендарныйГод,MONTH(ИюнВс1+13)=6),ИюнВс1+13,""))</f>
        <v>43624</v>
      </c>
      <c r="R36" s="43">
        <f ca="1">IF(DAY(ИюнВс1)=1,IF(AND(YEAR(ИюнВс1+7)=КалендарныйГод,MONTH(ИюнВс1+7)=6),ИюнВс1+7,""),IF(AND(YEAR(ИюнВс1+14)=КалендарныйГод,MONTH(ИюнВс1+14)=6),ИюнВс1+14,""))</f>
        <v>43625</v>
      </c>
      <c r="S36" s="36"/>
      <c r="T36" s="40"/>
      <c r="U36" s="43">
        <f ca="1">IF(DAY(ИюлВс1)=1,IF(AND(YEAR(ИюлВс1+1)=КалендарныйГод,MONTH(ИюлВс1+1)=7),ИюлВс1+1,""),IF(AND(YEAR(ИюлВс1+8)=КалендарныйГод,MONTH(ИюлВс1+8)=7),ИюлВс1+8,""))</f>
        <v>43654</v>
      </c>
      <c r="V36" s="43">
        <f ca="1">IF(DAY(ИюлВс1)=1,IF(AND(YEAR(ИюлВс1+2)=КалендарныйГод,MONTH(ИюлВс1+2)=7),ИюлВс1+2,""),IF(AND(YEAR(ИюлВс1+9)=КалендарныйГод,MONTH(ИюлВс1+9)=7),ИюлВс1+9,""))</f>
        <v>43655</v>
      </c>
      <c r="W36" s="43">
        <f ca="1">IF(DAY(ИюлВс1)=1,IF(AND(YEAR(ИюлВс1+3)=КалендарныйГод,MONTH(ИюлВс1+3)=7),ИюлВс1+3,""),IF(AND(YEAR(ИюлВс1+10)=КалендарныйГод,MONTH(ИюлВс1+10)=7),ИюлВс1+10,""))</f>
        <v>43656</v>
      </c>
      <c r="X36" s="43">
        <f ca="1">IF(DAY(ИюлВс1)=1,IF(AND(YEAR(ИюлВс1+4)=КалендарныйГод,MONTH(ИюлВс1+4)=7),ИюлВс1+4,""),IF(AND(YEAR(ИюлВс1+11)=КалендарныйГод,MONTH(ИюлВс1+11)=7),ИюлВс1+11,""))</f>
        <v>43657</v>
      </c>
      <c r="Y36" s="43">
        <f ca="1">IF(DAY(ИюлВс1)=1,IF(AND(YEAR(ИюлВс1+5)=КалендарныйГод,MONTH(ИюлВс1+5)=7),ИюлВс1+5,""),IF(AND(YEAR(ИюлВс1+12)=КалендарныйГод,MONTH(ИюлВс1+12)=7),ИюлВс1+12,""))</f>
        <v>43658</v>
      </c>
      <c r="Z36" s="43">
        <f ca="1">IF(DAY(ИюлВс1)=1,IF(AND(YEAR(ИюлВс1+6)=КалендарныйГод,MONTH(ИюлВс1+6)=7),ИюлВс1+6,""),IF(AND(YEAR(ИюлВс1+13)=КалендарныйГод,MONTH(ИюлВс1+13)=7),ИюлВс1+13,""))</f>
        <v>43659</v>
      </c>
      <c r="AA36" s="43">
        <f ca="1">IF(DAY(ИюлВс1)=1,IF(AND(YEAR(ИюлВс1+7)=КалендарныйГод,MONTH(ИюлВс1+7)=7),ИюлВс1+7,""),IF(AND(YEAR(ИюлВс1+14)=КалендарныйГод,MONTH(ИюлВс1+14)=7),ИюлВс1+14,""))</f>
        <v>43660</v>
      </c>
      <c r="AB36" s="36"/>
      <c r="AC36" s="39"/>
      <c r="AD36" s="43">
        <f ca="1">IF(DAY(АвгВс1)=1,IF(AND(YEAR(АвгВс1+1)=КалендарныйГод,MONTH(АвгВс1+1)=8),АвгВс1+1,""),IF(AND(YEAR(АвгВс1+8)=КалендарныйГод,MONTH(АвгВс1+8)=8),АвгВс1+8,""))</f>
        <v>43682</v>
      </c>
      <c r="AE36" s="43">
        <f ca="1">IF(DAY(АвгВс1)=1,IF(AND(YEAR(АвгВс1+2)=КалендарныйГод,MONTH(АвгВс1+2)=8),АвгВс1+2,""),IF(AND(YEAR(АвгВс1+9)=КалендарныйГод,MONTH(АвгВс1+9)=8),АвгВс1+9,""))</f>
        <v>43683</v>
      </c>
      <c r="AF36" s="43">
        <f ca="1">IF(DAY(АвгВс1)=1,IF(AND(YEAR(АвгВс1+3)=КалендарныйГод,MONTH(АвгВс1+3)=8),АвгВс1+3,""),IF(AND(YEAR(АвгВс1+10)=КалендарныйГод,MONTH(АвгВс1+10)=8),АвгВс1+10,""))</f>
        <v>43684</v>
      </c>
      <c r="AG36" s="43">
        <f ca="1">IF(DAY(АвгВс1)=1,IF(AND(YEAR(АвгВс1+4)=КалендарныйГод,MONTH(АвгВс1+4)=8),АвгВс1+4,""),IF(AND(YEAR(АвгВс1+11)=КалендарныйГод,MONTH(АвгВс1+11)=8),АвгВс1+11,""))</f>
        <v>43685</v>
      </c>
      <c r="AH36" s="43">
        <f ca="1">IF(DAY(АвгВс1)=1,IF(AND(YEAR(АвгВс1+5)=КалендарныйГод,MONTH(АвгВс1+5)=8),АвгВс1+5,""),IF(AND(YEAR(АвгВс1+12)=КалендарныйГод,MONTH(АвгВс1+12)=8),АвгВс1+12,""))</f>
        <v>43686</v>
      </c>
      <c r="AI36" s="43">
        <f ca="1">IF(DAY(АвгВс1)=1,IF(AND(YEAR(АвгВс1+6)=КалендарныйГод,MONTH(АвгВс1+6)=8),АвгВс1+6,""),IF(AND(YEAR(АвгВс1+13)=КалендарныйГод,MONTH(АвгВс1+13)=8),АвгВс1+13,""))</f>
        <v>43687</v>
      </c>
      <c r="AJ36" s="43">
        <f ca="1">IF(DAY(АвгВс1)=1,IF(AND(YEAR(АвгВс1+7)=КалендарныйГод,MONTH(АвгВс1+7)=8),АвгВс1+7,""),IF(AND(YEAR(АвгВс1+14)=КалендарныйГод,MONTH(АвгВс1+14)=8),АвгВс1+14,""))</f>
        <v>43688</v>
      </c>
    </row>
    <row r="37" spans="1:36" x14ac:dyDescent="0.2">
      <c r="C37" s="43">
        <f ca="1">IF(DAY(МайВс1)=1,IF(AND(YEAR(МайВс1+8)=КалендарныйГод,MONTH(МайВс1+8)=5),МайВс1+8,""),IF(AND(YEAR(МайВс1+15)=КалендарныйГод,MONTH(МайВс1+15)=5),МайВс1+15,""))</f>
        <v>43598</v>
      </c>
      <c r="D37" s="43">
        <f ca="1">IF(DAY(МайВс1)=1,IF(AND(YEAR(МайВс1+9)=КалендарныйГод,MONTH(МайВс1+9)=5),МайВс1+9,""),IF(AND(YEAR(МайВс1+16)=КалендарныйГод,MONTH(МайВс1+16)=5),МайВс1+16,""))</f>
        <v>43599</v>
      </c>
      <c r="E37" s="43">
        <f ca="1">IF(DAY(МайВс1)=1,IF(AND(YEAR(МайВс1+10)=КалендарныйГод,MONTH(МайВс1+10)=5),МайВс1+10,""),IF(AND(YEAR(МайВс1+17)=КалендарныйГод,MONTH(МайВс1+17)=5),МайВс1+17,""))</f>
        <v>43600</v>
      </c>
      <c r="F37" s="43">
        <f ca="1">IF(DAY(МайВс1)=1,IF(AND(YEAR(МайВс1+11)=КалендарныйГод,MONTH(МайВс1+11)=5),МайВс1+11,""),IF(AND(YEAR(МайВс1+18)=КалендарныйГод,MONTH(МайВс1+18)=5),МайВс1+18,""))</f>
        <v>43601</v>
      </c>
      <c r="G37" s="43">
        <f ca="1">IF(DAY(МайВс1)=1,IF(AND(YEAR(МайВс1+12)=КалендарныйГод,MONTH(МайВс1+12)=5),МайВс1+12,""),IF(AND(YEAR(МайВс1+19)=КалендарныйГод,MONTH(МайВс1+19)=5),МайВс1+19,""))</f>
        <v>43602</v>
      </c>
      <c r="H37" s="43">
        <f ca="1">IF(DAY(МайВс1)=1,IF(AND(YEAR(МайВс1+13)=КалендарныйГод,MONTH(МайВс1+13)=5),МайВс1+13,""),IF(AND(YEAR(МайВс1+20)=КалендарныйГод,MONTH(МайВс1+20)=5),МайВс1+20,""))</f>
        <v>43603</v>
      </c>
      <c r="I37" s="43">
        <f ca="1">IF(DAY(МайВс1)=1,IF(AND(YEAR(МайВс1+14)=КалендарныйГод,MONTH(МайВс1+14)=5),МайВс1+14,""),IF(AND(YEAR(МайВс1+21)=КалендарныйГод,MONTH(МайВс1+21)=5),МайВс1+21,""))</f>
        <v>43604</v>
      </c>
      <c r="J37" s="36"/>
      <c r="K37" s="35"/>
      <c r="L37" s="43">
        <f ca="1">IF(DAY(ИюнВс1)=1,IF(AND(YEAR(ИюнВс1+8)=КалендарныйГод,MONTH(ИюнВс1+8)=6),ИюнВс1+8,""),IF(AND(YEAR(ИюнВс1+15)=КалендарныйГод,MONTH(ИюнВс1+15)=6),ИюнВс1+15,""))</f>
        <v>43626</v>
      </c>
      <c r="M37" s="43">
        <f ca="1">IF(DAY(ИюнВс1)=1,IF(AND(YEAR(ИюнВс1+9)=КалендарныйГод,MONTH(ИюнВс1+9)=6),ИюнВс1+9,""),IF(AND(YEAR(ИюнВс1+16)=КалендарныйГод,MONTH(ИюнВс1+16)=6),ИюнВс1+16,""))</f>
        <v>43627</v>
      </c>
      <c r="N37" s="43">
        <f ca="1">IF(DAY(ИюнВс1)=1,IF(AND(YEAR(ИюнВс1+10)=КалендарныйГод,MONTH(ИюнВс1+10)=6),ИюнВс1+10,""),IF(AND(YEAR(ИюнВс1+17)=КалендарныйГод,MONTH(ИюнВс1+17)=6),ИюнВс1+17,""))</f>
        <v>43628</v>
      </c>
      <c r="O37" s="43">
        <f ca="1">IF(DAY(ИюнВс1)=1,IF(AND(YEAR(ИюнВс1+11)=КалендарныйГод,MONTH(ИюнВс1+11)=6),ИюнВс1+11,""),IF(AND(YEAR(ИюнВс1+18)=КалендарныйГод,MONTH(ИюнВс1+18)=6),ИюнВс1+18,""))</f>
        <v>43629</v>
      </c>
      <c r="P37" s="43">
        <f ca="1">IF(DAY(ИюнВс1)=1,IF(AND(YEAR(ИюнВс1+12)=КалендарныйГод,MONTH(ИюнВс1+12)=6),ИюнВс1+12,""),IF(AND(YEAR(ИюнВс1+19)=КалендарныйГод,MONTH(ИюнВс1+19)=6),ИюнВс1+19,""))</f>
        <v>43630</v>
      </c>
      <c r="Q37" s="43">
        <f ca="1">IF(DAY(ИюнВс1)=1,IF(AND(YEAR(ИюнВс1+13)=КалендарныйГод,MONTH(ИюнВс1+13)=6),ИюнВс1+13,""),IF(AND(YEAR(ИюнВс1+20)=КалендарныйГод,MONTH(ИюнВс1+20)=6),ИюнВс1+20,""))</f>
        <v>43631</v>
      </c>
      <c r="R37" s="43">
        <f ca="1">IF(DAY(ИюнВс1)=1,IF(AND(YEAR(ИюнВс1+14)=КалендарныйГод,MONTH(ИюнВс1+14)=6),ИюнВс1+14,""),IF(AND(YEAR(ИюнВс1+21)=КалендарныйГод,MONTH(ИюнВс1+21)=6),ИюнВс1+21,""))</f>
        <v>43632</v>
      </c>
      <c r="S37" s="36"/>
      <c r="T37" s="40"/>
      <c r="U37" s="43">
        <f ca="1">IF(DAY(ИюлВс1)=1,IF(AND(YEAR(ИюлВс1+8)=КалендарныйГод,MONTH(ИюлВс1+8)=7),ИюлВс1+8,""),IF(AND(YEAR(ИюлВс1+15)=КалендарныйГод,MONTH(ИюлВс1+15)=7),ИюлВс1+15,""))</f>
        <v>43661</v>
      </c>
      <c r="V37" s="43">
        <f ca="1">IF(DAY(ИюлВс1)=1,IF(AND(YEAR(ИюлВс1+9)=КалендарныйГод,MONTH(ИюлВс1+9)=7),ИюлВс1+9,""),IF(AND(YEAR(ИюлВс1+16)=КалендарныйГод,MONTH(ИюлВс1+16)=7),ИюлВс1+16,""))</f>
        <v>43662</v>
      </c>
      <c r="W37" s="43">
        <f ca="1">IF(DAY(ИюлВс1)=1,IF(AND(YEAR(ИюлВс1+10)=КалендарныйГод,MONTH(ИюлВс1+10)=7),ИюлВс1+10,""),IF(AND(YEAR(ИюлВс1+17)=КалендарныйГод,MONTH(ИюлВс1+17)=7),ИюлВс1+17,""))</f>
        <v>43663</v>
      </c>
      <c r="X37" s="43">
        <f ca="1">IF(DAY(ИюлВс1)=1,IF(AND(YEAR(ИюлВс1+11)=КалендарныйГод,MONTH(ИюлВс1+11)=7),ИюлВс1+11,""),IF(AND(YEAR(ИюлВс1+18)=КалендарныйГод,MONTH(ИюлВс1+18)=7),ИюлВс1+18,""))</f>
        <v>43664</v>
      </c>
      <c r="Y37" s="43">
        <f ca="1">IF(DAY(ИюлВс1)=1,IF(AND(YEAR(ИюлВс1+12)=КалендарныйГод,MONTH(ИюлВс1+12)=7),ИюлВс1+12,""),IF(AND(YEAR(ИюлВс1+19)=КалендарныйГод,MONTH(ИюлВс1+19)=7),ИюлВс1+19,""))</f>
        <v>43665</v>
      </c>
      <c r="Z37" s="43">
        <f ca="1">IF(DAY(ИюлВс1)=1,IF(AND(YEAR(ИюлВс1+13)=КалендарныйГод,MONTH(ИюлВс1+13)=7),ИюлВс1+13,""),IF(AND(YEAR(ИюлВс1+20)=КалендарныйГод,MONTH(ИюлВс1+20)=7),ИюлВс1+20,""))</f>
        <v>43666</v>
      </c>
      <c r="AA37" s="43">
        <f ca="1">IF(DAY(ИюлВс1)=1,IF(AND(YEAR(ИюлВс1+14)=КалендарныйГод,MONTH(ИюлВс1+14)=7),ИюлВс1+14,""),IF(AND(YEAR(ИюлВс1+21)=КалендарныйГод,MONTH(ИюлВс1+21)=7),ИюлВс1+21,""))</f>
        <v>43667</v>
      </c>
      <c r="AB37" s="36"/>
      <c r="AC37" s="39"/>
      <c r="AD37" s="43">
        <f ca="1">IF(DAY(АвгВс1)=1,IF(AND(YEAR(АвгВс1+8)=КалендарныйГод,MONTH(АвгВс1+8)=8),АвгВс1+8,""),IF(AND(YEAR(АвгВс1+15)=КалендарныйГод,MONTH(АвгВс1+15)=8),АвгВс1+15,""))</f>
        <v>43689</v>
      </c>
      <c r="AE37" s="43">
        <f ca="1">IF(DAY(АвгВс1)=1,IF(AND(YEAR(АвгВс1+9)=КалендарныйГод,MONTH(АвгВс1+9)=8),АвгВс1+9,""),IF(AND(YEAR(АвгВс1+16)=КалендарныйГод,MONTH(АвгВс1+16)=8),АвгВс1+16,""))</f>
        <v>43690</v>
      </c>
      <c r="AF37" s="43">
        <f ca="1">IF(DAY(АвгВс1)=1,IF(AND(YEAR(АвгВс1+10)=КалендарныйГод,MONTH(АвгВс1+10)=8),АвгВс1+10,""),IF(AND(YEAR(АвгВс1+17)=КалендарныйГод,MONTH(АвгВс1+17)=8),АвгВс1+17,""))</f>
        <v>43691</v>
      </c>
      <c r="AG37" s="43">
        <f ca="1">IF(DAY(АвгВс1)=1,IF(AND(YEAR(АвгВс1+11)=КалендарныйГод,MONTH(АвгВс1+11)=8),АвгВс1+11,""),IF(AND(YEAR(АвгВс1+18)=КалендарныйГод,MONTH(АвгВс1+18)=8),АвгВс1+18,""))</f>
        <v>43692</v>
      </c>
      <c r="AH37" s="43">
        <f ca="1">IF(DAY(АвгВс1)=1,IF(AND(YEAR(АвгВс1+12)=КалендарныйГод,MONTH(АвгВс1+12)=8),АвгВс1+12,""),IF(AND(YEAR(АвгВс1+19)=КалендарныйГод,MONTH(АвгВс1+19)=8),АвгВс1+19,""))</f>
        <v>43693</v>
      </c>
      <c r="AI37" s="43">
        <f ca="1">IF(DAY(АвгВс1)=1,IF(AND(YEAR(АвгВс1+13)=КалендарныйГод,MONTH(АвгВс1+13)=8),АвгВс1+13,""),IF(AND(YEAR(АвгВс1+20)=КалендарныйГод,MONTH(АвгВс1+20)=8),АвгВс1+20,""))</f>
        <v>43694</v>
      </c>
      <c r="AJ37" s="43">
        <f ca="1">IF(DAY(АвгВс1)=1,IF(AND(YEAR(АвгВс1+14)=КалендарныйГод,MONTH(АвгВс1+14)=8),АвгВс1+14,""),IF(AND(YEAR(АвгВс1+21)=КалендарныйГод,MONTH(АвгВс1+21)=8),АвгВс1+21,""))</f>
        <v>43695</v>
      </c>
    </row>
    <row r="38" spans="1:36" x14ac:dyDescent="0.2">
      <c r="C38" s="43">
        <f ca="1">IF(DAY(МайВс1)=1,IF(AND(YEAR(МайВс1+15)=КалендарныйГод,MONTH(МайВс1+15)=5),МайВс1+15,""),IF(AND(YEAR(МайВс1+22)=КалендарныйГод,MONTH(МайВс1+22)=5),МайВс1+22,""))</f>
        <v>43605</v>
      </c>
      <c r="D38" s="43">
        <f ca="1">IF(DAY(МайВс1)=1,IF(AND(YEAR(МайВс1+16)=КалендарныйГод,MONTH(МайВс1+16)=5),МайВс1+16,""),IF(AND(YEAR(МайВс1+23)=КалендарныйГод,MONTH(МайВс1+23)=5),МайВс1+23,""))</f>
        <v>43606</v>
      </c>
      <c r="E38" s="43">
        <f ca="1">IF(DAY(МайВс1)=1,IF(AND(YEAR(МайВс1+17)=КалендарныйГод,MONTH(МайВс1+17)=5),МайВс1+17,""),IF(AND(YEAR(МайВс1+24)=КалендарныйГод,MONTH(МайВс1+24)=5),МайВс1+24,""))</f>
        <v>43607</v>
      </c>
      <c r="F38" s="43">
        <f ca="1">IF(DAY(МайВс1)=1,IF(AND(YEAR(МайВс1+18)=КалендарныйГод,MONTH(МайВс1+18)=5),МайВс1+18,""),IF(AND(YEAR(МайВс1+25)=КалендарныйГод,MONTH(МайВс1+25)=5),МайВс1+25,""))</f>
        <v>43608</v>
      </c>
      <c r="G38" s="43">
        <f ca="1">IF(DAY(МайВс1)=1,IF(AND(YEAR(МайВс1+19)=КалендарныйГод,MONTH(МайВс1+19)=5),МайВс1+19,""),IF(AND(YEAR(МайВс1+26)=КалендарныйГод,MONTH(МайВс1+26)=5),МайВс1+26,""))</f>
        <v>43609</v>
      </c>
      <c r="H38" s="43">
        <f ca="1">IF(DAY(МайВс1)=1,IF(AND(YEAR(МайВс1+20)=КалендарныйГод,MONTH(МайВс1+20)=5),МайВс1+20,""),IF(AND(YEAR(МайВс1+27)=КалендарныйГод,MONTH(МайВс1+27)=5),МайВс1+27,""))</f>
        <v>43610</v>
      </c>
      <c r="I38" s="43">
        <f ca="1">IF(DAY(МайВс1)=1,IF(AND(YEAR(МайВс1+21)=КалендарныйГод,MONTH(МайВс1+21)=5),МайВс1+21,""),IF(AND(YEAR(МайВс1+28)=КалендарныйГод,MONTH(МайВс1+28)=5),МайВс1+28,""))</f>
        <v>43611</v>
      </c>
      <c r="J38" s="36"/>
      <c r="K38" s="35"/>
      <c r="L38" s="43">
        <f ca="1">IF(DAY(ИюнВс1)=1,IF(AND(YEAR(ИюнВс1+15)=КалендарныйГод,MONTH(ИюнВс1+15)=6),ИюнВс1+15,""),IF(AND(YEAR(ИюнВс1+22)=КалендарныйГод,MONTH(ИюнВс1+22)=6),ИюнВс1+22,""))</f>
        <v>43633</v>
      </c>
      <c r="M38" s="43">
        <f ca="1">IF(DAY(ИюнВс1)=1,IF(AND(YEAR(ИюнВс1+16)=КалендарныйГод,MONTH(ИюнВс1+16)=6),ИюнВс1+16,""),IF(AND(YEAR(ИюнВс1+23)=КалендарныйГод,MONTH(ИюнВс1+23)=6),ИюнВс1+23,""))</f>
        <v>43634</v>
      </c>
      <c r="N38" s="43">
        <f ca="1">IF(DAY(ИюнВс1)=1,IF(AND(YEAR(ИюнВс1+17)=КалендарныйГод,MONTH(ИюнВс1+17)=6),ИюнВс1+17,""),IF(AND(YEAR(ИюнВс1+24)=КалендарныйГод,MONTH(ИюнВс1+24)=6),ИюнВс1+24,""))</f>
        <v>43635</v>
      </c>
      <c r="O38" s="43">
        <f ca="1">IF(DAY(ИюнВс1)=1,IF(AND(YEAR(ИюнВс1+18)=КалендарныйГод,MONTH(ИюнВс1+18)=6),ИюнВс1+18,""),IF(AND(YEAR(ИюнВс1+25)=КалендарныйГод,MONTH(ИюнВс1+25)=6),ИюнВс1+25,""))</f>
        <v>43636</v>
      </c>
      <c r="P38" s="43">
        <f ca="1">IF(DAY(ИюнВс1)=1,IF(AND(YEAR(ИюнВс1+19)=КалендарныйГод,MONTH(ИюнВс1+19)=6),ИюнВс1+19,""),IF(AND(YEAR(ИюнВс1+26)=КалендарныйГод,MONTH(ИюнВс1+26)=6),ИюнВс1+26,""))</f>
        <v>43637</v>
      </c>
      <c r="Q38" s="43">
        <f ca="1">IF(DAY(ИюнВс1)=1,IF(AND(YEAR(ИюнВс1+20)=КалендарныйГод,MONTH(ИюнВс1+20)=6),ИюнВс1+20,""),IF(AND(YEAR(ИюнВс1+27)=КалендарныйГод,MONTH(ИюнВс1+27)=6),ИюнВс1+27,""))</f>
        <v>43638</v>
      </c>
      <c r="R38" s="43">
        <f ca="1">IF(DAY(ИюнВс1)=1,IF(AND(YEAR(ИюнВс1+21)=КалендарныйГод,MONTH(ИюнВс1+21)=6),ИюнВс1+21,""),IF(AND(YEAR(ИюнВс1+28)=КалендарныйГод,MONTH(ИюнВс1+28)=6),ИюнВс1+28,""))</f>
        <v>43639</v>
      </c>
      <c r="S38" s="36"/>
      <c r="T38" s="40"/>
      <c r="U38" s="43">
        <f ca="1">IF(DAY(ИюлВс1)=1,IF(AND(YEAR(ИюлВс1+15)=КалендарныйГод,MONTH(ИюлВс1+15)=7),ИюлВс1+15,""),IF(AND(YEAR(ИюлВс1+22)=КалендарныйГод,MONTH(ИюлВс1+22)=7),ИюлВс1+22,""))</f>
        <v>43668</v>
      </c>
      <c r="V38" s="43">
        <f ca="1">IF(DAY(ИюлВс1)=1,IF(AND(YEAR(ИюлВс1+16)=КалендарныйГод,MONTH(ИюлВс1+16)=7),ИюлВс1+16,""),IF(AND(YEAR(ИюлВс1+23)=КалендарныйГод,MONTH(ИюлВс1+23)=7),ИюлВс1+23,""))</f>
        <v>43669</v>
      </c>
      <c r="W38" s="43">
        <f ca="1">IF(DAY(ИюлВс1)=1,IF(AND(YEAR(ИюлВс1+17)=КалендарныйГод,MONTH(ИюлВс1+17)=7),ИюлВс1+17,""),IF(AND(YEAR(ИюлВс1+24)=КалендарныйГод,MONTH(ИюлВс1+24)=7),ИюлВс1+24,""))</f>
        <v>43670</v>
      </c>
      <c r="X38" s="43">
        <f ca="1">IF(DAY(ИюлВс1)=1,IF(AND(YEAR(ИюлВс1+18)=КалендарныйГод,MONTH(ИюлВс1+18)=7),ИюлВс1+18,""),IF(AND(YEAR(ИюлВс1+25)=КалендарныйГод,MONTH(ИюлВс1+25)=7),ИюлВс1+25,""))</f>
        <v>43671</v>
      </c>
      <c r="Y38" s="43">
        <f ca="1">IF(DAY(ИюлВс1)=1,IF(AND(YEAR(ИюлВс1+19)=КалендарныйГод,MONTH(ИюлВс1+19)=7),ИюлВс1+19,""),IF(AND(YEAR(ИюлВс1+26)=КалендарныйГод,MONTH(ИюлВс1+26)=7),ИюлВс1+26,""))</f>
        <v>43672</v>
      </c>
      <c r="Z38" s="43">
        <f ca="1">IF(DAY(ИюлВс1)=1,IF(AND(YEAR(ИюлВс1+20)=КалендарныйГод,MONTH(ИюлВс1+20)=7),ИюлВс1+20,""),IF(AND(YEAR(ИюлВс1+27)=КалендарныйГод,MONTH(ИюлВс1+27)=7),ИюлВс1+27,""))</f>
        <v>43673</v>
      </c>
      <c r="AA38" s="43">
        <f ca="1">IF(DAY(ИюлВс1)=1,IF(AND(YEAR(ИюлВс1+21)=КалендарныйГод,MONTH(ИюлВс1+21)=7),ИюлВс1+21,""),IF(AND(YEAR(ИюлВс1+28)=КалендарныйГод,MONTH(ИюлВс1+28)=7),ИюлВс1+28,""))</f>
        <v>43674</v>
      </c>
      <c r="AB38" s="36"/>
      <c r="AC38" s="39"/>
      <c r="AD38" s="43">
        <f ca="1">IF(DAY(АвгВс1)=1,IF(AND(YEAR(АвгВс1+15)=КалендарныйГод,MONTH(АвгВс1+15)=8),АвгВс1+15,""),IF(AND(YEAR(АвгВс1+22)=КалендарныйГод,MONTH(АвгВс1+22)=8),АвгВс1+22,""))</f>
        <v>43696</v>
      </c>
      <c r="AE38" s="43">
        <f ca="1">IF(DAY(АвгВс1)=1,IF(AND(YEAR(АвгВс1+16)=КалендарныйГод,MONTH(АвгВс1+16)=8),АвгВс1+16,""),IF(AND(YEAR(АвгВс1+23)=КалендарныйГод,MONTH(АвгВс1+23)=8),АвгВс1+23,""))</f>
        <v>43697</v>
      </c>
      <c r="AF38" s="43">
        <f ca="1">IF(DAY(АвгВс1)=1,IF(AND(YEAR(АвгВс1+17)=КалендарныйГод,MONTH(АвгВс1+17)=8),АвгВс1+17,""),IF(AND(YEAR(АвгВс1+24)=КалендарныйГод,MONTH(АвгВс1+24)=8),АвгВс1+24,""))</f>
        <v>43698</v>
      </c>
      <c r="AG38" s="43">
        <f ca="1">IF(DAY(АвгВс1)=1,IF(AND(YEAR(АвгВс1+18)=КалендарныйГод,MONTH(АвгВс1+18)=8),АвгВс1+18,""),IF(AND(YEAR(АвгВс1+25)=КалендарныйГод,MONTH(АвгВс1+25)=8),АвгВс1+25,""))</f>
        <v>43699</v>
      </c>
      <c r="AH38" s="43">
        <f ca="1">IF(DAY(АвгВс1)=1,IF(AND(YEAR(АвгВс1+19)=КалендарныйГод,MONTH(АвгВс1+19)=8),АвгВс1+19,""),IF(AND(YEAR(АвгВс1+26)=КалендарныйГод,MONTH(АвгВс1+26)=8),АвгВс1+26,""))</f>
        <v>43700</v>
      </c>
      <c r="AI38" s="43">
        <f ca="1">IF(DAY(АвгВс1)=1,IF(AND(YEAR(АвгВс1+20)=КалендарныйГод,MONTH(АвгВс1+20)=8),АвгВс1+20,""),IF(AND(YEAR(АвгВс1+27)=КалендарныйГод,MONTH(АвгВс1+27)=8),АвгВс1+27,""))</f>
        <v>43701</v>
      </c>
      <c r="AJ38" s="43">
        <f ca="1">IF(DAY(АвгВс1)=1,IF(AND(YEAR(АвгВс1+21)=КалендарныйГод,MONTH(АвгВс1+21)=8),АвгВс1+21,""),IF(AND(YEAR(АвгВс1+28)=КалендарныйГод,MONTH(АвгВс1+28)=8),АвгВс1+28,""))</f>
        <v>43702</v>
      </c>
    </row>
    <row r="39" spans="1:36" x14ac:dyDescent="0.2">
      <c r="C39" s="43">
        <f ca="1">IF(DAY(МайВс1)=1,IF(AND(YEAR(МайВс1+22)=КалендарныйГод,MONTH(МайВс1+22)=5),МайВс1+22,""),IF(AND(YEAR(МайВс1+29)=КалендарныйГод,MONTH(МайВс1+29)=5),МайВс1+29,""))</f>
        <v>43612</v>
      </c>
      <c r="D39" s="43">
        <f ca="1">IF(DAY(МайВс1)=1,IF(AND(YEAR(МайВс1+23)=КалендарныйГод,MONTH(МайВс1+23)=5),МайВс1+23,""),IF(AND(YEAR(МайВс1+30)=КалендарныйГод,MONTH(МайВс1+30)=5),МайВс1+30,""))</f>
        <v>43613</v>
      </c>
      <c r="E39" s="43">
        <f ca="1">IF(DAY(МайВс1)=1,IF(AND(YEAR(МайВс1+24)=КалендарныйГод,MONTH(МайВс1+24)=5),МайВс1+24,""),IF(AND(YEAR(МайВс1+31)=КалендарныйГод,MONTH(МайВс1+31)=5),МайВс1+31,""))</f>
        <v>43614</v>
      </c>
      <c r="F39" s="43">
        <f ca="1">IF(DAY(МайВс1)=1,IF(AND(YEAR(МайВс1+25)=КалендарныйГод,MONTH(МайВс1+25)=5),МайВс1+25,""),IF(AND(YEAR(МайВс1+32)=КалендарныйГод,MONTH(МайВс1+32)=5),МайВс1+32,""))</f>
        <v>43615</v>
      </c>
      <c r="G39" s="43">
        <f ca="1">IF(DAY(МайВс1)=1,IF(AND(YEAR(МайВс1+26)=КалендарныйГод,MONTH(МайВс1+26)=5),МайВс1+26,""),IF(AND(YEAR(МайВс1+33)=КалендарныйГод,MONTH(МайВс1+33)=5),МайВс1+33,""))</f>
        <v>43616</v>
      </c>
      <c r="H39" s="43" t="str">
        <f ca="1">IF(DAY(МайВс1)=1,IF(AND(YEAR(МайВс1+27)=КалендарныйГод,MONTH(МайВс1+27)=5),МайВс1+27,""),IF(AND(YEAR(МайВс1+34)=КалендарныйГод,MONTH(МайВс1+34)=5),МайВс1+34,""))</f>
        <v/>
      </c>
      <c r="I39" s="43" t="str">
        <f ca="1">IF(DAY(МайВс1)=1,IF(AND(YEAR(МайВс1+28)=КалендарныйГод,MONTH(МайВс1+28)=5),МайВс1+28,""),IF(AND(YEAR(МайВс1+35)=КалендарныйГод,MONTH(МайВс1+35)=5),МайВс1+35,""))</f>
        <v/>
      </c>
      <c r="J39" s="36"/>
      <c r="K39" s="35"/>
      <c r="L39" s="43">
        <f ca="1">IF(DAY(ИюнВс1)=1,IF(AND(YEAR(ИюнВс1+22)=КалендарныйГод,MONTH(ИюнВс1+22)=6),ИюнВс1+22,""),IF(AND(YEAR(ИюнВс1+29)=КалендарныйГод,MONTH(ИюнВс1+29)=6),ИюнВс1+29,""))</f>
        <v>43640</v>
      </c>
      <c r="M39" s="43">
        <f ca="1">IF(DAY(ИюнВс1)=1,IF(AND(YEAR(ИюнВс1+23)=КалендарныйГод,MONTH(ИюнВс1+23)=6),ИюнВс1+23,""),IF(AND(YEAR(ИюнВс1+30)=КалендарныйГод,MONTH(ИюнВс1+30)=6),ИюнВс1+30,""))</f>
        <v>43641</v>
      </c>
      <c r="N39" s="43">
        <f ca="1">IF(DAY(ИюнВс1)=1,IF(AND(YEAR(ИюнВс1+24)=КалендарныйГод,MONTH(ИюнВс1+24)=6),ИюнВс1+24,""),IF(AND(YEAR(ИюнВс1+31)=КалендарныйГод,MONTH(ИюнВс1+31)=6),ИюнВс1+31,""))</f>
        <v>43642</v>
      </c>
      <c r="O39" s="43">
        <f ca="1">IF(DAY(ИюнВс1)=1,IF(AND(YEAR(ИюнВс1+25)=КалендарныйГод,MONTH(ИюнВс1+25)=6),ИюнВс1+25,""),IF(AND(YEAR(ИюнВс1+32)=КалендарныйГод,MONTH(ИюнВс1+32)=6),ИюнВс1+32,""))</f>
        <v>43643</v>
      </c>
      <c r="P39" s="43">
        <f ca="1">IF(DAY(ИюнВс1)=1,IF(AND(YEAR(ИюнВс1+26)=КалендарныйГод,MONTH(ИюнВс1+26)=6),ИюнВс1+26,""),IF(AND(YEAR(ИюнВс1+33)=КалендарныйГод,MONTH(ИюнВс1+33)=6),ИюнВс1+33,""))</f>
        <v>43644</v>
      </c>
      <c r="Q39" s="43">
        <f ca="1">IF(DAY(ИюнВс1)=1,IF(AND(YEAR(ИюнВс1+27)=КалендарныйГод,MONTH(ИюнВс1+27)=6),ИюнВс1+27,""),IF(AND(YEAR(ИюнВс1+34)=КалендарныйГод,MONTH(ИюнВс1+34)=6),ИюнВс1+34,""))</f>
        <v>43645</v>
      </c>
      <c r="R39" s="43">
        <f ca="1">IF(DAY(ИюнВс1)=1,IF(AND(YEAR(ИюнВс1+28)=КалендарныйГод,MONTH(ИюнВс1+28)=6),ИюнВс1+28,""),IF(AND(YEAR(ИюнВс1+35)=КалендарныйГод,MONTH(ИюнВс1+35)=6),ИюнВс1+35,""))</f>
        <v>43646</v>
      </c>
      <c r="S39" s="36"/>
      <c r="T39" s="40"/>
      <c r="U39" s="43">
        <f ca="1">IF(DAY(ИюлВс1)=1,IF(AND(YEAR(ИюлВс1+22)=КалендарныйГод,MONTH(ИюлВс1+22)=7),ИюлВс1+22,""),IF(AND(YEAR(ИюлВс1+29)=КалендарныйГод,MONTH(ИюлВс1+29)=7),ИюлВс1+29,""))</f>
        <v>43675</v>
      </c>
      <c r="V39" s="43">
        <f ca="1">IF(DAY(ИюлВс1)=1,IF(AND(YEAR(ИюлВс1+23)=КалендарныйГод,MONTH(ИюлВс1+23)=7),ИюлВс1+23,""),IF(AND(YEAR(ИюлВс1+30)=КалендарныйГод,MONTH(ИюлВс1+30)=7),ИюлВс1+30,""))</f>
        <v>43676</v>
      </c>
      <c r="W39" s="43">
        <f ca="1">IF(DAY(ИюлВс1)=1,IF(AND(YEAR(ИюлВс1+24)=КалендарныйГод,MONTH(ИюлВс1+24)=7),ИюлВс1+24,""),IF(AND(YEAR(ИюлВс1+31)=КалендарныйГод,MONTH(ИюлВс1+31)=7),ИюлВс1+31,""))</f>
        <v>43677</v>
      </c>
      <c r="X39" s="43" t="str">
        <f ca="1">IF(DAY(ИюлВс1)=1,IF(AND(YEAR(ИюлВс1+25)=КалендарныйГод,MONTH(ИюлВс1+25)=7),ИюлВс1+25,""),IF(AND(YEAR(ИюлВс1+32)=КалендарныйГод,MONTH(ИюлВс1+32)=7),ИюлВс1+32,""))</f>
        <v/>
      </c>
      <c r="Y39" s="43" t="str">
        <f ca="1">IF(DAY(ИюлВс1)=1,IF(AND(YEAR(ИюлВс1+26)=КалендарныйГод,MONTH(ИюлВс1+26)=7),ИюлВс1+26,""),IF(AND(YEAR(ИюлВс1+33)=КалендарныйГод,MONTH(ИюлВс1+33)=7),ИюлВс1+33,""))</f>
        <v/>
      </c>
      <c r="Z39" s="43" t="str">
        <f ca="1">IF(DAY(ИюлВс1)=1,IF(AND(YEAR(ИюлВс1+27)=КалендарныйГод,MONTH(ИюлВс1+27)=7),ИюлВс1+27,""),IF(AND(YEAR(ИюлВс1+34)=КалендарныйГод,MONTH(ИюлВс1+34)=7),ИюлВс1+34,""))</f>
        <v/>
      </c>
      <c r="AA39" s="43" t="str">
        <f ca="1">IF(DAY(ИюлВс1)=1,IF(AND(YEAR(ИюлВс1+28)=КалендарныйГод,MONTH(ИюлВс1+28)=7),ИюлВс1+28,""),IF(AND(YEAR(ИюлВс1+35)=КалендарныйГод,MONTH(ИюлВс1+35)=7),ИюлВс1+35,""))</f>
        <v/>
      </c>
      <c r="AB39" s="36"/>
      <c r="AC39" s="39"/>
      <c r="AD39" s="43">
        <f ca="1">IF(DAY(АвгВс1)=1,IF(AND(YEAR(АвгВс1+22)=КалендарныйГод,MONTH(АвгВс1+22)=8),АвгВс1+22,""),IF(AND(YEAR(АвгВс1+29)=КалендарныйГод,MONTH(АвгВс1+29)=8),АвгВс1+29,""))</f>
        <v>43703</v>
      </c>
      <c r="AE39" s="43">
        <f ca="1">IF(DAY(АвгВс1)=1,IF(AND(YEAR(АвгВс1+23)=КалендарныйГод,MONTH(АвгВс1+23)=8),АвгВс1+23,""),IF(AND(YEAR(АвгВс1+30)=КалендарныйГод,MONTH(АвгВс1+30)=8),АвгВс1+30,""))</f>
        <v>43704</v>
      </c>
      <c r="AF39" s="43">
        <f ca="1">IF(DAY(АвгВс1)=1,IF(AND(YEAR(АвгВс1+24)=КалендарныйГод,MONTH(АвгВс1+24)=8),АвгВс1+24,""),IF(AND(YEAR(АвгВс1+31)=КалендарныйГод,MONTH(АвгВс1+31)=8),АвгВс1+31,""))</f>
        <v>43705</v>
      </c>
      <c r="AG39" s="43">
        <f ca="1">IF(DAY(АвгВс1)=1,IF(AND(YEAR(АвгВс1+25)=КалендарныйГод,MONTH(АвгВс1+25)=8),АвгВс1+25,""),IF(AND(YEAR(АвгВс1+32)=КалендарныйГод,MONTH(АвгВс1+32)=8),АвгВс1+32,""))</f>
        <v>43706</v>
      </c>
      <c r="AH39" s="43">
        <f ca="1">IF(DAY(АвгВс1)=1,IF(AND(YEAR(АвгВс1+26)=КалендарныйГод,MONTH(АвгВс1+26)=8),АвгВс1+26,""),IF(AND(YEAR(АвгВс1+33)=КалендарныйГод,MONTH(АвгВс1+33)=8),АвгВс1+33,""))</f>
        <v>43707</v>
      </c>
      <c r="AI39" s="43">
        <f ca="1">IF(DAY(АвгВс1)=1,IF(AND(YEAR(АвгВс1+27)=КалендарныйГод,MONTH(АвгВс1+27)=8),АвгВс1+27,""),IF(AND(YEAR(АвгВс1+34)=КалендарныйГод,MONTH(АвгВс1+34)=8),АвгВс1+34,""))</f>
        <v>43708</v>
      </c>
      <c r="AJ39" s="43" t="str">
        <f ca="1">IF(DAY(АвгВс1)=1,IF(AND(YEAR(АвгВс1+28)=КалендарныйГод,MONTH(АвгВс1+28)=8),АвгВс1+28,""),IF(AND(YEAR(АвгВс1+35)=КалендарныйГод,MONTH(АвгВс1+35)=8),АвгВс1+35,""))</f>
        <v/>
      </c>
    </row>
    <row r="40" spans="1:36" x14ac:dyDescent="0.2">
      <c r="C40" s="43" t="str">
        <f ca="1">IF(DAY(МайВс1)=1,IF(AND(YEAR(МайВс1+29)=КалендарныйГод,MONTH(МайВс1+29)=5),МайВс1+29,""),IF(AND(YEAR(МайВс1+36)=КалендарныйГод,MONTH(МайВс1+36)=5),МайВс1+36,""))</f>
        <v/>
      </c>
      <c r="D40" s="43" t="str">
        <f ca="1">IF(DAY(МайВс1)=1,IF(AND(YEAR(МайВс1+30)=КалендарныйГод,MONTH(МайВс1+30)=5),МайВс1+30,""),IF(AND(YEAR(МайВс1+37)=КалендарныйГод,MONTH(МайВс1+37)=5),МайВс1+37,""))</f>
        <v/>
      </c>
      <c r="E40" s="43" t="str">
        <f ca="1">IF(DAY(МайВс1)=1,IF(AND(YEAR(МайВс1+31)=КалендарныйГод,MONTH(МайВс1+31)=5),МайВс1+31,""),IF(AND(YEAR(МайВс1+38)=КалендарныйГод,MONTH(МайВс1+38)=5),МайВс1+38,""))</f>
        <v/>
      </c>
      <c r="F40" s="43" t="str">
        <f ca="1">IF(DAY(МайВс1)=1,IF(AND(YEAR(МайВс1+32)=КалендарныйГод,MONTH(МайВс1+32)=5),МайВс1+32,""),IF(AND(YEAR(МайВс1+39)=КалендарныйГод,MONTH(МайВс1+39)=5),МайВс1+39,""))</f>
        <v/>
      </c>
      <c r="G40" s="43" t="str">
        <f ca="1">IF(DAY(МайВс1)=1,IF(AND(YEAR(МайВс1+33)=КалендарныйГод,MONTH(МайВс1+33)=5),МайВс1+33,""),IF(AND(YEAR(МайВс1+40)=КалендарныйГод,MONTH(МайВс1+40)=5),МайВс1+40,""))</f>
        <v/>
      </c>
      <c r="H40" s="43" t="str">
        <f ca="1">IF(DAY(МайВс1)=1,IF(AND(YEAR(МайВс1+34)=КалендарныйГод,MONTH(МайВс1+34)=5),МайВс1+34,""),IF(AND(YEAR(МайВс1+41)=КалендарныйГод,MONTH(МайВс1+41)=5),МайВс1+41,""))</f>
        <v/>
      </c>
      <c r="I40" s="43" t="str">
        <f ca="1">IF(DAY(МайВс1)=1,IF(AND(YEAR(МайВс1+35)=КалендарныйГод,MONTH(МайВс1+35)=5),МайВс1+35,""),IF(AND(YEAR(МайВс1+42)=КалендарныйГод,MONTH(МайВс1+42)=5),МайВс1+42,""))</f>
        <v/>
      </c>
      <c r="J40" s="36"/>
      <c r="K40" s="35"/>
      <c r="L40" s="43" t="str">
        <f ca="1">IF(DAY(ИюнВс1)=1,IF(AND(YEAR(ИюнВс1+29)=КалендарныйГод,MONTH(ИюнВс1+29)=6),ИюнВс1+29,""),IF(AND(YEAR(ИюнВс1+36)=КалендарныйГод,MONTH(ИюнВс1+36)=6),ИюнВс1+36,""))</f>
        <v/>
      </c>
      <c r="M40" s="43" t="str">
        <f ca="1">IF(DAY(ИюнВс1)=1,IF(AND(YEAR(ИюнВс1+30)=КалендарныйГод,MONTH(ИюнВс1+30)=6),ИюнВс1+30,""),IF(AND(YEAR(ИюнВс1+37)=КалендарныйГод,MONTH(ИюнВс1+37)=6),ИюнВс1+37,""))</f>
        <v/>
      </c>
      <c r="N40" s="43" t="str">
        <f ca="1">IF(DAY(ИюнВс1)=1,IF(AND(YEAR(ИюнВс1+31)=КалендарныйГод,MONTH(ИюнВс1+31)=6),ИюнВс1+31,""),IF(AND(YEAR(ИюнВс1+38)=КалендарныйГод,MONTH(ИюнВс1+38)=6),ИюнВс1+38,""))</f>
        <v/>
      </c>
      <c r="O40" s="43" t="str">
        <f ca="1">IF(DAY(ИюнВс1)=1,IF(AND(YEAR(ИюнВс1+32)=КалендарныйГод,MONTH(ИюнВс1+32)=6),ИюнВс1+32,""),IF(AND(YEAR(ИюнВс1+39)=КалендарныйГод,MONTH(ИюнВс1+39)=6),ИюнВс1+39,""))</f>
        <v/>
      </c>
      <c r="P40" s="43" t="str">
        <f ca="1">IF(DAY(ИюнВс1)=1,IF(AND(YEAR(ИюнВс1+33)=КалендарныйГод,MONTH(ИюнВс1+33)=6),ИюнВс1+33,""),IF(AND(YEAR(ИюнВс1+40)=КалендарныйГод,MONTH(ИюнВс1+40)=6),ИюнВс1+40,""))</f>
        <v/>
      </c>
      <c r="Q40" s="43" t="str">
        <f ca="1">IF(DAY(ИюнВс1)=1,IF(AND(YEAR(ИюнВс1+34)=КалендарныйГод,MONTH(ИюнВс1+34)=6),ИюнВс1+34,""),IF(AND(YEAR(ИюнВс1+41)=КалендарныйГод,MONTH(ИюнВс1+41)=6),ИюнВс1+41,""))</f>
        <v/>
      </c>
      <c r="R40" s="43" t="str">
        <f ca="1">IF(DAY(ИюнВс1)=1,IF(AND(YEAR(ИюнВс1+35)=КалендарныйГод,MONTH(ИюнВс1+35)=6),ИюнВс1+35,""),IF(AND(YEAR(ИюнВс1+42)=КалендарныйГод,MONTH(ИюнВс1+42)=6),ИюнВс1+42,""))</f>
        <v/>
      </c>
      <c r="S40" s="36"/>
      <c r="T40" s="40"/>
      <c r="U40" s="43" t="str">
        <f ca="1">IF(DAY(ИюлВс1)=1,IF(AND(YEAR(ИюлВс1+29)=КалендарныйГод,MONTH(ИюлВс1+29)=7),ИюлВс1+29,""),IF(AND(YEAR(ИюлВс1+36)=КалендарныйГод,MONTH(ИюлВс1+36)=7),ИюлВс1+36,""))</f>
        <v/>
      </c>
      <c r="V40" s="43" t="str">
        <f ca="1">IF(DAY(ИюлВс1)=1,IF(AND(YEAR(ИюлВс1+30)=КалендарныйГод,MONTH(ИюлВс1+30)=7),ИюлВс1+30,""),IF(AND(YEAR(ИюлВс1+37)=КалендарныйГод,MONTH(ИюлВс1+37)=7),ИюлВс1+37,""))</f>
        <v/>
      </c>
      <c r="W40" s="43" t="str">
        <f ca="1">IF(DAY(ИюлВс1)=1,IF(AND(YEAR(ИюлВс1+31)=КалендарныйГод,MONTH(ИюлВс1+31)=7),ИюлВс1+31,""),IF(AND(YEAR(ИюлВс1+38)=КалендарныйГод,MONTH(ИюлВс1+38)=7),ИюлВс1+38,""))</f>
        <v/>
      </c>
      <c r="X40" s="43" t="str">
        <f ca="1">IF(DAY(ИюлВс1)=1,IF(AND(YEAR(ИюлВс1+32)=КалендарныйГод,MONTH(ИюлВс1+32)=7),ИюлВс1+32,""),IF(AND(YEAR(ИюлВс1+39)=КалендарныйГод,MONTH(ИюлВс1+39)=7),ИюлВс1+39,""))</f>
        <v/>
      </c>
      <c r="Y40" s="43" t="str">
        <f ca="1">IF(DAY(ИюлВс1)=1,IF(AND(YEAR(ИюлВс1+33)=КалендарныйГод,MONTH(ИюлВс1+33)=7),ИюлВс1+33,""),IF(AND(YEAR(ИюлВс1+40)=КалендарныйГод,MONTH(ИюлВс1+40)=7),ИюлВс1+40,""))</f>
        <v/>
      </c>
      <c r="Z40" s="43" t="str">
        <f ca="1">IF(DAY(ИюлВс1)=1,IF(AND(YEAR(ИюлВс1+34)=КалендарныйГод,MONTH(ИюлВс1+34)=7),ИюлВс1+34,""),IF(AND(YEAR(ИюлВс1+41)=КалендарныйГод,MONTH(ИюлВс1+41)=7),ИюлВс1+41,""))</f>
        <v/>
      </c>
      <c r="AA40" s="43" t="str">
        <f ca="1">IF(DAY(ИюлВс1)=1,IF(AND(YEAR(ИюлВс1+35)=КалендарныйГод,MONTH(ИюлВс1+35)=7),ИюлВс1+35,""),IF(AND(YEAR(ИюлВс1+42)=КалендарныйГод,MONTH(ИюлВс1+42)=7),ИюлВс1+42,""))</f>
        <v/>
      </c>
      <c r="AB40" s="36"/>
      <c r="AC40" s="39"/>
      <c r="AD40" s="43" t="str">
        <f ca="1">IF(DAY(АвгВс1)=1,IF(AND(YEAR(АвгВс1+29)=КалендарныйГод,MONTH(АвгВс1+29)=8),АвгВс1+29,""),IF(AND(YEAR(АвгВс1+36)=КалендарныйГод,MONTH(АвгВс1+36)=8),АвгВс1+36,""))</f>
        <v/>
      </c>
      <c r="AE40" s="43" t="str">
        <f ca="1">IF(DAY(АвгВс1)=1,IF(AND(YEAR(АвгВс1+30)=КалендарныйГод,MONTH(АвгВс1+30)=8),АвгВс1+30,""),IF(AND(YEAR(АвгВс1+37)=КалендарныйГод,MONTH(АвгВс1+37)=8),АвгВс1+37,""))</f>
        <v/>
      </c>
      <c r="AF40" s="43" t="str">
        <f ca="1">IF(DAY(АвгВс1)=1,IF(AND(YEAR(АвгВс1+31)=КалендарныйГод,MONTH(АвгВс1+31)=8),АвгВс1+31,""),IF(AND(YEAR(АвгВс1+38)=КалендарныйГод,MONTH(АвгВс1+38)=8),АвгВс1+38,""))</f>
        <v/>
      </c>
      <c r="AG40" s="43" t="str">
        <f ca="1">IF(DAY(АвгВс1)=1,IF(AND(YEAR(АвгВс1+32)=КалендарныйГод,MONTH(АвгВс1+32)=8),АвгВс1+32,""),IF(AND(YEAR(АвгВс1+39)=КалендарныйГод,MONTH(АвгВс1+39)=8),АвгВс1+39,""))</f>
        <v/>
      </c>
      <c r="AH40" s="43" t="str">
        <f ca="1">IF(DAY(АвгВс1)=1,IF(AND(YEAR(АвгВс1+33)=КалендарныйГод,MONTH(АвгВс1+33)=8),АвгВс1+33,""),IF(AND(YEAR(АвгВс1+40)=КалендарныйГод,MONTH(АвгВс1+40)=8),АвгВс1+40,""))</f>
        <v/>
      </c>
      <c r="AI40" s="43" t="str">
        <f ca="1">IF(DAY(АвгВс1)=1,IF(AND(YEAR(АвгВс1+34)=КалендарныйГод,MONTH(АвгВс1+34)=8),АвгВс1+34,""),IF(AND(YEAR(АвгВс1+41)=КалендарныйГод,MONTH(АвгВс1+41)=8),АвгВс1+41,""))</f>
        <v/>
      </c>
      <c r="AJ40" s="43" t="str">
        <f ca="1">IF(DAY(АвгВс1)=1,IF(AND(YEAR(АвгВс1+35)=КалендарныйГод,MONTH(АвгВс1+35)=8),АвгВс1+35,""),IF(AND(YEAR(АвгВс1+42)=КалендарныйГод,MONTH(АвгВс1+42)=8),АвгВс1+42,""))</f>
        <v/>
      </c>
    </row>
    <row r="41" spans="1:36" ht="15" x14ac:dyDescent="0.2">
      <c r="A41" s="26" t="s">
        <v>16</v>
      </c>
      <c r="C41" s="39"/>
      <c r="D41" s="39"/>
      <c r="E41" s="39"/>
      <c r="F41" s="39"/>
      <c r="G41" s="39"/>
      <c r="H41" s="39"/>
      <c r="I41" s="39"/>
      <c r="J41" s="38"/>
      <c r="K41" s="35"/>
      <c r="L41" s="39"/>
      <c r="M41" s="39"/>
      <c r="N41" s="39"/>
      <c r="O41" s="39"/>
      <c r="P41" s="39"/>
      <c r="Q41" s="39"/>
      <c r="R41" s="39"/>
      <c r="S41" s="38"/>
      <c r="T41" s="40"/>
      <c r="U41" s="35"/>
      <c r="V41" s="35"/>
      <c r="W41" s="35"/>
      <c r="X41" s="35"/>
      <c r="Y41" s="35"/>
      <c r="Z41" s="35"/>
      <c r="AA41" s="35"/>
      <c r="AB41" s="36"/>
      <c r="AC41" s="39"/>
      <c r="AD41" s="35"/>
      <c r="AE41" s="35"/>
      <c r="AF41" s="35"/>
      <c r="AG41" s="35"/>
      <c r="AH41" s="35"/>
      <c r="AI41" s="35"/>
      <c r="AJ41" s="35"/>
    </row>
    <row r="42" spans="1:36" ht="15.75" x14ac:dyDescent="0.25">
      <c r="A42" s="26" t="s">
        <v>17</v>
      </c>
      <c r="C42" s="45">
        <f ca="1">DATE(КалендарныйГод,9,1)</f>
        <v>43709</v>
      </c>
      <c r="D42" s="45"/>
      <c r="E42" s="45"/>
      <c r="F42" s="45"/>
      <c r="G42" s="45"/>
      <c r="H42" s="45"/>
      <c r="I42" s="45"/>
      <c r="J42" s="32"/>
      <c r="K42" s="39"/>
      <c r="L42" s="45">
        <f ca="1">DATE(КалендарныйГод,10,1)</f>
        <v>43739</v>
      </c>
      <c r="M42" s="45"/>
      <c r="N42" s="45"/>
      <c r="O42" s="45"/>
      <c r="P42" s="45"/>
      <c r="Q42" s="45"/>
      <c r="R42" s="45"/>
      <c r="S42" s="32"/>
      <c r="T42" s="40"/>
      <c r="U42" s="45">
        <f ca="1">DATE(КалендарныйГод,11,1)</f>
        <v>43770</v>
      </c>
      <c r="V42" s="45"/>
      <c r="W42" s="45"/>
      <c r="X42" s="45"/>
      <c r="Y42" s="45"/>
      <c r="Z42" s="45"/>
      <c r="AA42" s="45"/>
      <c r="AB42" s="32"/>
      <c r="AC42" s="39"/>
      <c r="AD42" s="45">
        <f ca="1">DATE(КалендарныйГод,12,1)</f>
        <v>43800</v>
      </c>
      <c r="AE42" s="45"/>
      <c r="AF42" s="45"/>
      <c r="AG42" s="45"/>
      <c r="AH42" s="45"/>
      <c r="AI42" s="45"/>
      <c r="AJ42" s="45"/>
    </row>
    <row r="43" spans="1:36" ht="15" x14ac:dyDescent="0.25">
      <c r="A43" s="26" t="s">
        <v>18</v>
      </c>
      <c r="C43" s="21" t="s">
        <v>20</v>
      </c>
      <c r="D43" s="21" t="s">
        <v>23</v>
      </c>
      <c r="E43" s="21" t="s">
        <v>24</v>
      </c>
      <c r="F43" s="21" t="s">
        <v>25</v>
      </c>
      <c r="G43" s="21" t="s">
        <v>26</v>
      </c>
      <c r="H43" s="21" t="s">
        <v>29</v>
      </c>
      <c r="I43" s="21" t="s">
        <v>30</v>
      </c>
      <c r="J43" s="34"/>
      <c r="K43" s="39"/>
      <c r="L43" s="21" t="s">
        <v>20</v>
      </c>
      <c r="M43" s="21" t="s">
        <v>23</v>
      </c>
      <c r="N43" s="21" t="s">
        <v>24</v>
      </c>
      <c r="O43" s="21" t="s">
        <v>25</v>
      </c>
      <c r="P43" s="21" t="s">
        <v>26</v>
      </c>
      <c r="Q43" s="21" t="s">
        <v>29</v>
      </c>
      <c r="R43" s="21" t="s">
        <v>30</v>
      </c>
      <c r="S43" s="34"/>
      <c r="T43" s="40"/>
      <c r="U43" s="21" t="s">
        <v>20</v>
      </c>
      <c r="V43" s="21" t="s">
        <v>23</v>
      </c>
      <c r="W43" s="21" t="s">
        <v>24</v>
      </c>
      <c r="X43" s="21" t="s">
        <v>25</v>
      </c>
      <c r="Y43" s="21" t="s">
        <v>26</v>
      </c>
      <c r="Z43" s="21" t="s">
        <v>29</v>
      </c>
      <c r="AA43" s="21" t="s">
        <v>30</v>
      </c>
      <c r="AB43" s="34"/>
      <c r="AC43" s="42"/>
      <c r="AD43" s="21" t="s">
        <v>20</v>
      </c>
      <c r="AE43" s="21" t="s">
        <v>23</v>
      </c>
      <c r="AF43" s="21" t="s">
        <v>24</v>
      </c>
      <c r="AG43" s="21" t="s">
        <v>25</v>
      </c>
      <c r="AH43" s="21" t="s">
        <v>26</v>
      </c>
      <c r="AI43" s="21" t="s">
        <v>29</v>
      </c>
      <c r="AJ43" s="21" t="s">
        <v>30</v>
      </c>
    </row>
    <row r="44" spans="1:36" ht="15" x14ac:dyDescent="0.2">
      <c r="A44" s="26" t="s">
        <v>19</v>
      </c>
      <c r="C44" s="43" t="str">
        <f ca="1">IF(DAY(СенВс1)=1,"",IF(AND(YEAR(СенВс1+1)=КалендарныйГод,MONTH(СенВс1+1)=9),СенВс1+1,""))</f>
        <v/>
      </c>
      <c r="D44" s="43" t="str">
        <f ca="1">IF(DAY(СенВс1)=1,"",IF(AND(YEAR(СенВс1+2)=КалендарныйГод,MONTH(СенВс1+2)=9),СенВс1+2,""))</f>
        <v/>
      </c>
      <c r="E44" s="43" t="str">
        <f ca="1">IF(DAY(СенВс1)=1,"",IF(AND(YEAR(СенВс1+3)=КалендарныйГод,MONTH(СенВс1+3)=9),СенВс1+3,""))</f>
        <v/>
      </c>
      <c r="F44" s="43" t="str">
        <f ca="1">IF(DAY(СенВс1)=1,"",IF(AND(YEAR(СенВс1+4)=КалендарныйГод,MONTH(СенВс1+4)=9),СенВс1+4,""))</f>
        <v/>
      </c>
      <c r="G44" s="43" t="str">
        <f ca="1">IF(DAY(СенВс1)=1,"",IF(AND(YEAR(СенВс1+5)=КалендарныйГод,MONTH(СенВс1+5)=9),СенВс1+5,""))</f>
        <v/>
      </c>
      <c r="H44" s="43" t="str">
        <f ca="1">IF(DAY(СенВс1)=1,"",IF(AND(YEAR(СенВс1+6)=КалендарныйГод,MONTH(СенВс1+6)=9),СенВс1+6,""))</f>
        <v/>
      </c>
      <c r="I44" s="43">
        <f ca="1">IF(DAY(СенВс1)=1,IF(AND(YEAR(СенВс1)=КалендарныйГод,MONTH(СенВс1)=9),СенВс1,""),IF(AND(YEAR(СенВс1+7)=КалендарныйГод,MONTH(СенВс1+7)=9),СенВс1+7,""))</f>
        <v>43709</v>
      </c>
      <c r="J44" s="36"/>
      <c r="K44" s="39"/>
      <c r="L44" s="43" t="str">
        <f ca="1">IF(DAY(ОктВс1)=1,"",IF(AND(YEAR(ОктВс1+1)=КалендарныйГод,MONTH(ОктВс1+1)=10),ОктВс1+1,""))</f>
        <v/>
      </c>
      <c r="M44" s="43">
        <f ca="1">IF(DAY(ОктВс1)=1,"",IF(AND(YEAR(ОктВс1+2)=КалендарныйГод,MONTH(ОктВс1+2)=10),ОктВс1+2,""))</f>
        <v>43739</v>
      </c>
      <c r="N44" s="43">
        <f ca="1">IF(DAY(ОктВс1)=1,"",IF(AND(YEAR(ОктВс1+3)=КалендарныйГод,MONTH(ОктВс1+3)=10),ОктВс1+3,""))</f>
        <v>43740</v>
      </c>
      <c r="O44" s="43">
        <f ca="1">IF(DAY(ОктВс1)=1,"",IF(AND(YEAR(ОктВс1+4)=КалендарныйГод,MONTH(ОктВс1+4)=10),ОктВс1+4,""))</f>
        <v>43741</v>
      </c>
      <c r="P44" s="43">
        <f ca="1">IF(DAY(ОктВс1)=1,"",IF(AND(YEAR(ОктВс1+5)=КалендарныйГод,MONTH(ОктВс1+5)=10),ОктВс1+5,""))</f>
        <v>43742</v>
      </c>
      <c r="Q44" s="43">
        <f ca="1">IF(DAY(ОктВс1)=1,"",IF(AND(YEAR(ОктВс1+6)=КалендарныйГод,MONTH(ОктВс1+6)=10),ОктВс1+6,""))</f>
        <v>43743</v>
      </c>
      <c r="R44" s="43">
        <f ca="1">IF(DAY(ОктВс1)=1,IF(AND(YEAR(ОктВс1)=КалендарныйГод,MONTH(ОктВс1)=10),ОктВс1,""),IF(AND(YEAR(ОктВс1+7)=КалендарныйГод,MONTH(ОктВс1+7)=10),ОктВс1+7,""))</f>
        <v>43744</v>
      </c>
      <c r="S44" s="36"/>
      <c r="T44" s="40"/>
      <c r="U44" s="43" t="str">
        <f ca="1">IF(DAY(НояВс1)=1,"",IF(AND(YEAR(НояВс1+1)=КалендарныйГод,MONTH(НояВс1+1)=11),НояВс1+1,""))</f>
        <v/>
      </c>
      <c r="V44" s="43" t="str">
        <f ca="1">IF(DAY(НояВс1)=1,"",IF(AND(YEAR(НояВс1+2)=КалендарныйГод,MONTH(НояВс1+2)=11),НояВс1+2,""))</f>
        <v/>
      </c>
      <c r="W44" s="43" t="str">
        <f ca="1">IF(DAY(НояВс1)=1,"",IF(AND(YEAR(НояВс1+3)=КалендарныйГод,MONTH(НояВс1+3)=11),НояВс1+3,""))</f>
        <v/>
      </c>
      <c r="X44" s="43" t="str">
        <f ca="1">IF(DAY(НояВс1)=1,"",IF(AND(YEAR(НояВс1+4)=КалендарныйГод,MONTH(НояВс1+4)=11),НояВс1+4,""))</f>
        <v/>
      </c>
      <c r="Y44" s="43">
        <f ca="1">IF(DAY(НояВс1)=1,"",IF(AND(YEAR(НояВс1+5)=КалендарныйГод,MONTH(НояВс1+5)=11),НояВс1+5,""))</f>
        <v>43770</v>
      </c>
      <c r="Z44" s="43">
        <f ca="1">IF(DAY(НояВс1)=1,"",IF(AND(YEAR(НояВс1+6)=КалендарныйГод,MONTH(НояВс1+6)=11),НояВс1+6,""))</f>
        <v>43771</v>
      </c>
      <c r="AA44" s="43">
        <f ca="1">IF(DAY(НояВс1)=1,IF(AND(YEAR(НояВс1)=КалендарныйГод,MONTH(НояВс1)=11),НояВс1,""),IF(AND(YEAR(НояВс1+7)=КалендарныйГод,MONTH(НояВс1+7)=11),НояВс1+7,""))</f>
        <v>43772</v>
      </c>
      <c r="AB44" s="36"/>
      <c r="AC44" s="39"/>
      <c r="AD44" s="43" t="str">
        <f ca="1">IF(DAY(ДекВс1)=1,"",IF(AND(YEAR(ДекВс1+1)=КалендарныйГод,MONTH(ДекВс1+1)=12),ДекВс1+1,""))</f>
        <v/>
      </c>
      <c r="AE44" s="43" t="str">
        <f ca="1">IF(DAY(ДекВс1)=1,"",IF(AND(YEAR(ДекВс1+2)=КалендарныйГод,MONTH(ДекВс1+2)=12),ДекВс1+2,""))</f>
        <v/>
      </c>
      <c r="AF44" s="43" t="str">
        <f ca="1">IF(DAY(ДекВс1)=1,"",IF(AND(YEAR(ДекВс1+3)=КалендарныйГод,MONTH(ДекВс1+3)=12),ДекВс1+3,""))</f>
        <v/>
      </c>
      <c r="AG44" s="43" t="str">
        <f ca="1">IF(DAY(ДекВс1)=1,"",IF(AND(YEAR(ДекВс1+4)=КалендарныйГод,MONTH(ДекВс1+4)=12),ДекВс1+4,""))</f>
        <v/>
      </c>
      <c r="AH44" s="43" t="str">
        <f ca="1">IF(DAY(ДекВс1)=1,"",IF(AND(YEAR(ДекВс1+5)=КалендарныйГод,MONTH(ДекВс1+5)=12),ДекВс1+5,""))</f>
        <v/>
      </c>
      <c r="AI44" s="43" t="str">
        <f ca="1">IF(DAY(ДекВс1)=1,"",IF(AND(YEAR(ДекВс1+6)=КалендарныйГод,MONTH(ДекВс1+6)=12),ДекВс1+6,""))</f>
        <v/>
      </c>
      <c r="AJ44" s="43">
        <f ca="1">IF(DAY(ДекВс1)=1,IF(AND(YEAR(ДекВс1)=КалендарныйГод,MONTH(ДекВс1)=12),ДекВс1,""),IF(AND(YEAR(ДекВс1+7)=КалендарныйГод,MONTH(ДекВс1+7)=12),ДекВс1+7,""))</f>
        <v>43800</v>
      </c>
    </row>
    <row r="45" spans="1:36" x14ac:dyDescent="0.2">
      <c r="C45" s="43">
        <f ca="1">IF(DAY(СенВс1)=1,IF(AND(YEAR(СенВс1+1)=КалендарныйГод,MONTH(СенВс1+1)=9),СенВс1+1,""),IF(AND(YEAR(СенВс1+8)=КалендарныйГод,MONTH(СенВс1+8)=9),СенВс1+8,""))</f>
        <v>43710</v>
      </c>
      <c r="D45" s="43">
        <f ca="1">IF(DAY(СенВс1)=1,IF(AND(YEAR(СенВс1+2)=КалендарныйГод,MONTH(СенВс1+2)=9),СенВс1+2,""),IF(AND(YEAR(СенВс1+9)=КалендарныйГод,MONTH(СенВс1+9)=9),СенВс1+9,""))</f>
        <v>43711</v>
      </c>
      <c r="E45" s="43">
        <f ca="1">IF(DAY(СенВс1)=1,IF(AND(YEAR(СенВс1+3)=КалендарныйГод,MONTH(СенВс1+3)=9),СенВс1+3,""),IF(AND(YEAR(СенВс1+10)=КалендарныйГод,MONTH(СенВс1+10)=9),СенВс1+10,""))</f>
        <v>43712</v>
      </c>
      <c r="F45" s="43">
        <f ca="1">IF(DAY(СенВс1)=1,IF(AND(YEAR(СенВс1+4)=КалендарныйГод,MONTH(СенВс1+4)=9),СенВс1+4,""),IF(AND(YEAR(СенВс1+11)=КалендарныйГод,MONTH(СенВс1+11)=9),СенВс1+11,""))</f>
        <v>43713</v>
      </c>
      <c r="G45" s="43">
        <f ca="1">IF(DAY(СенВс1)=1,IF(AND(YEAR(СенВс1+5)=КалендарныйГод,MONTH(СенВс1+5)=9),СенВс1+5,""),IF(AND(YEAR(СенВс1+12)=КалендарныйГод,MONTH(СенВс1+12)=9),СенВс1+12,""))</f>
        <v>43714</v>
      </c>
      <c r="H45" s="43">
        <f ca="1">IF(DAY(СенВс1)=1,IF(AND(YEAR(СенВс1+6)=КалендарныйГод,MONTH(СенВс1+6)=9),СенВс1+6,""),IF(AND(YEAR(СенВс1+13)=КалендарныйГод,MONTH(СенВс1+13)=9),СенВс1+13,""))</f>
        <v>43715</v>
      </c>
      <c r="I45" s="43">
        <f ca="1">IF(DAY(СенВс1)=1,IF(AND(YEAR(СенВс1+7)=КалендарныйГод,MONTH(СенВс1+7)=9),СенВс1+7,""),IF(AND(YEAR(СенВс1+14)=КалендарныйГод,MONTH(СенВс1+14)=9),СенВс1+14,""))</f>
        <v>43716</v>
      </c>
      <c r="J45" s="36"/>
      <c r="K45" s="39"/>
      <c r="L45" s="43">
        <f ca="1">IF(DAY(ОктВс1)=1,IF(AND(YEAR(ОктВс1+1)=КалендарныйГод,MONTH(ОктВс1+1)=10),ОктВс1+1,""),IF(AND(YEAR(ОктВс1+8)=КалендарныйГод,MONTH(ОктВс1+8)=10),ОктВс1+8,""))</f>
        <v>43745</v>
      </c>
      <c r="M45" s="43">
        <f ca="1">IF(DAY(ОктВс1)=1,IF(AND(YEAR(ОктВс1+2)=КалендарныйГод,MONTH(ОктВс1+2)=10),ОктВс1+2,""),IF(AND(YEAR(ОктВс1+9)=КалендарныйГод,MONTH(ОктВс1+9)=10),ОктВс1+9,""))</f>
        <v>43746</v>
      </c>
      <c r="N45" s="43">
        <f ca="1">IF(DAY(ОктВс1)=1,IF(AND(YEAR(ОктВс1+3)=КалендарныйГод,MONTH(ОктВс1+3)=10),ОктВс1+3,""),IF(AND(YEAR(ОктВс1+10)=КалендарныйГод,MONTH(ОктВс1+10)=10),ОктВс1+10,""))</f>
        <v>43747</v>
      </c>
      <c r="O45" s="43">
        <f ca="1">IF(DAY(ОктВс1)=1,IF(AND(YEAR(ОктВс1+4)=КалендарныйГод,MONTH(ОктВс1+4)=10),ОктВс1+4,""),IF(AND(YEAR(ОктВс1+11)=КалендарныйГод,MONTH(ОктВс1+11)=10),ОктВс1+11,""))</f>
        <v>43748</v>
      </c>
      <c r="P45" s="43">
        <f ca="1">IF(DAY(ОктВс1)=1,IF(AND(YEAR(ОктВс1+5)=КалендарныйГод,MONTH(ОктВс1+5)=10),ОктВс1+5,""),IF(AND(YEAR(ОктВс1+12)=КалендарныйГод,MONTH(ОктВс1+12)=10),ОктВс1+12,""))</f>
        <v>43749</v>
      </c>
      <c r="Q45" s="43">
        <f ca="1">IF(DAY(ОктВс1)=1,IF(AND(YEAR(ОктВс1+6)=КалендарныйГод,MONTH(ОктВс1+6)=10),ОктВс1+6,""),IF(AND(YEAR(ОктВс1+13)=КалендарныйГод,MONTH(ОктВс1+13)=10),ОктВс1+13,""))</f>
        <v>43750</v>
      </c>
      <c r="R45" s="43">
        <f ca="1">IF(DAY(ОктВс1)=1,IF(AND(YEAR(ОктВс1+7)=КалендарныйГод,MONTH(ОктВс1+7)=10),ОктВс1+7,""),IF(AND(YEAR(ОктВс1+14)=КалендарныйГод,MONTH(ОктВс1+14)=10),ОктВс1+14,""))</f>
        <v>43751</v>
      </c>
      <c r="S45" s="36"/>
      <c r="T45" s="40"/>
      <c r="U45" s="43">
        <f ca="1">IF(DAY(НояВс1)=1,IF(AND(YEAR(НояВс1+1)=КалендарныйГод,MONTH(НояВс1+1)=11),НояВс1+1,""),IF(AND(YEAR(НояВс1+8)=КалендарныйГод,MONTH(НояВс1+8)=11),НояВс1+8,""))</f>
        <v>43773</v>
      </c>
      <c r="V45" s="43">
        <f ca="1">IF(DAY(НояВс1)=1,IF(AND(YEAR(НояВс1+2)=КалендарныйГод,MONTH(НояВс1+2)=11),НояВс1+2,""),IF(AND(YEAR(НояВс1+9)=КалендарныйГод,MONTH(НояВс1+9)=11),НояВс1+9,""))</f>
        <v>43774</v>
      </c>
      <c r="W45" s="43">
        <f ca="1">IF(DAY(НояВс1)=1,IF(AND(YEAR(НояВс1+3)=КалендарныйГод,MONTH(НояВс1+3)=11),НояВс1+3,""),IF(AND(YEAR(НояВс1+10)=КалендарныйГод,MONTH(НояВс1+10)=11),НояВс1+10,""))</f>
        <v>43775</v>
      </c>
      <c r="X45" s="43">
        <f ca="1">IF(DAY(НояВс1)=1,IF(AND(YEAR(НояВс1+4)=КалендарныйГод,MONTH(НояВс1+4)=11),НояВс1+4,""),IF(AND(YEAR(НояВс1+11)=КалендарныйГод,MONTH(НояВс1+11)=11),НояВс1+11,""))</f>
        <v>43776</v>
      </c>
      <c r="Y45" s="43">
        <f ca="1">IF(DAY(НояВс1)=1,IF(AND(YEAR(НояВс1+5)=КалендарныйГод,MONTH(НояВс1+5)=11),НояВс1+5,""),IF(AND(YEAR(НояВс1+12)=КалендарныйГод,MONTH(НояВс1+12)=11),НояВс1+12,""))</f>
        <v>43777</v>
      </c>
      <c r="Z45" s="43">
        <f ca="1">IF(DAY(НояВс1)=1,IF(AND(YEAR(НояВс1+6)=КалендарныйГод,MONTH(НояВс1+6)=11),НояВс1+6,""),IF(AND(YEAR(НояВс1+13)=КалендарныйГод,MONTH(НояВс1+13)=11),НояВс1+13,""))</f>
        <v>43778</v>
      </c>
      <c r="AA45" s="43">
        <f ca="1">IF(DAY(НояВс1)=1,IF(AND(YEAR(НояВс1+7)=КалендарныйГод,MONTH(НояВс1+7)=11),НояВс1+7,""),IF(AND(YEAR(НояВс1+14)=КалендарныйГод,MONTH(НояВс1+14)=11),НояВс1+14,""))</f>
        <v>43779</v>
      </c>
      <c r="AB45" s="36"/>
      <c r="AC45" s="39"/>
      <c r="AD45" s="43">
        <f ca="1">IF(DAY(ДекВс1)=1,IF(AND(YEAR(ДекВс1+1)=КалендарныйГод,MONTH(ДекВс1+1)=12),ДекВс1+1,""),IF(AND(YEAR(ДекВс1+8)=КалендарныйГод,MONTH(ДекВс1+8)=12),ДекВс1+8,""))</f>
        <v>43801</v>
      </c>
      <c r="AE45" s="43">
        <f ca="1">IF(DAY(ДекВс1)=1,IF(AND(YEAR(ДекВс1+2)=КалендарныйГод,MONTH(ДекВс1+2)=12),ДекВс1+2,""),IF(AND(YEAR(ДекВс1+9)=КалендарныйГод,MONTH(ДекВс1+9)=12),ДекВс1+9,""))</f>
        <v>43802</v>
      </c>
      <c r="AF45" s="43">
        <f ca="1">IF(DAY(ДекВс1)=1,IF(AND(YEAR(ДекВс1+3)=КалендарныйГод,MONTH(ДекВс1+3)=12),ДекВс1+3,""),IF(AND(YEAR(ДекВс1+10)=КалендарныйГод,MONTH(ДекВс1+10)=12),ДекВс1+10,""))</f>
        <v>43803</v>
      </c>
      <c r="AG45" s="43">
        <f ca="1">IF(DAY(ДекВс1)=1,IF(AND(YEAR(ДекВс1+4)=КалендарныйГод,MONTH(ДекВс1+4)=12),ДекВс1+4,""),IF(AND(YEAR(ДекВс1+11)=КалендарныйГод,MONTH(ДекВс1+11)=12),ДекВс1+11,""))</f>
        <v>43804</v>
      </c>
      <c r="AH45" s="43">
        <f ca="1">IF(DAY(ДекВс1)=1,IF(AND(YEAR(ДекВс1+5)=КалендарныйГод,MONTH(ДекВс1+5)=12),ДекВс1+5,""),IF(AND(YEAR(ДекВс1+12)=КалендарныйГод,MONTH(ДекВс1+12)=12),ДекВс1+12,""))</f>
        <v>43805</v>
      </c>
      <c r="AI45" s="43">
        <f ca="1">IF(DAY(ДекВс1)=1,IF(AND(YEAR(ДекВс1+6)=КалендарныйГод,MONTH(ДекВс1+6)=12),ДекВс1+6,""),IF(AND(YEAR(ДекВс1+13)=КалендарныйГод,MONTH(ДекВс1+13)=12),ДекВс1+13,""))</f>
        <v>43806</v>
      </c>
      <c r="AJ45" s="43">
        <f ca="1">IF(DAY(ДекВс1)=1,IF(AND(YEAR(ДекВс1+7)=КалендарныйГод,MONTH(ДекВс1+7)=12),ДекВс1+7,""),IF(AND(YEAR(ДекВс1+14)=КалендарныйГод,MONTH(ДекВс1+14)=12),ДекВс1+14,""))</f>
        <v>43807</v>
      </c>
    </row>
    <row r="46" spans="1:36" x14ac:dyDescent="0.2">
      <c r="C46" s="43">
        <f ca="1">IF(DAY(СенВс1)=1,IF(AND(YEAR(СенВс1+8)=КалендарныйГод,MONTH(СенВс1+8)=9),СенВс1+8,""),IF(AND(YEAR(СенВс1+15)=КалендарныйГод,MONTH(СенВс1+15)=9),СенВс1+15,""))</f>
        <v>43717</v>
      </c>
      <c r="D46" s="43">
        <f ca="1">IF(DAY(СенВс1)=1,IF(AND(YEAR(СенВс1+9)=КалендарныйГод,MONTH(СенВс1+9)=9),СенВс1+9,""),IF(AND(YEAR(СенВс1+16)=КалендарныйГод,MONTH(СенВс1+16)=9),СенВс1+16,""))</f>
        <v>43718</v>
      </c>
      <c r="E46" s="43">
        <f ca="1">IF(DAY(СенВс1)=1,IF(AND(YEAR(СенВс1+10)=КалендарныйГод,MONTH(СенВс1+10)=9),СенВс1+10,""),IF(AND(YEAR(СенВс1+17)=КалендарныйГод,MONTH(СенВс1+17)=9),СенВс1+17,""))</f>
        <v>43719</v>
      </c>
      <c r="F46" s="43">
        <f ca="1">IF(DAY(СенВс1)=1,IF(AND(YEAR(СенВс1+11)=КалендарныйГод,MONTH(СенВс1+11)=9),СенВс1+11,""),IF(AND(YEAR(СенВс1+18)=КалендарныйГод,MONTH(СенВс1+18)=9),СенВс1+18,""))</f>
        <v>43720</v>
      </c>
      <c r="G46" s="43">
        <f ca="1">IF(DAY(СенВс1)=1,IF(AND(YEAR(СенВс1+12)=КалендарныйГод,MONTH(СенВс1+12)=9),СенВс1+12,""),IF(AND(YEAR(СенВс1+19)=КалендарныйГод,MONTH(СенВс1+19)=9),СенВс1+19,""))</f>
        <v>43721</v>
      </c>
      <c r="H46" s="43">
        <f ca="1">IF(DAY(СенВс1)=1,IF(AND(YEAR(СенВс1+13)=КалендарныйГод,MONTH(СенВс1+13)=9),СенВс1+13,""),IF(AND(YEAR(СенВс1+20)=КалендарныйГод,MONTH(СенВс1+20)=9),СенВс1+20,""))</f>
        <v>43722</v>
      </c>
      <c r="I46" s="43">
        <f ca="1">IF(DAY(СенВс1)=1,IF(AND(YEAR(СенВс1+14)=КалендарныйГод,MONTH(СенВс1+14)=9),СенВс1+14,""),IF(AND(YEAR(СенВс1+21)=КалендарныйГод,MONTH(СенВс1+21)=9),СенВс1+21,""))</f>
        <v>43723</v>
      </c>
      <c r="J46" s="36"/>
      <c r="K46" s="39"/>
      <c r="L46" s="43">
        <f ca="1">IF(DAY(ОктВс1)=1,IF(AND(YEAR(ОктВс1+8)=КалендарныйГод,MONTH(ОктВс1+8)=10),ОктВс1+8,""),IF(AND(YEAR(ОктВс1+15)=КалендарныйГод,MONTH(ОктВс1+15)=10),ОктВс1+15,""))</f>
        <v>43752</v>
      </c>
      <c r="M46" s="43">
        <f ca="1">IF(DAY(ОктВс1)=1,IF(AND(YEAR(ОктВс1+9)=КалендарныйГод,MONTH(ОктВс1+9)=10),ОктВс1+9,""),IF(AND(YEAR(ОктВс1+16)=КалендарныйГод,MONTH(ОктВс1+16)=10),ОктВс1+16,""))</f>
        <v>43753</v>
      </c>
      <c r="N46" s="43">
        <f ca="1">IF(DAY(ОктВс1)=1,IF(AND(YEAR(ОктВс1+10)=КалендарныйГод,MONTH(ОктВс1+10)=10),ОктВс1+10,""),IF(AND(YEAR(ОктВс1+17)=КалендарныйГод,MONTH(ОктВс1+17)=10),ОктВс1+17,""))</f>
        <v>43754</v>
      </c>
      <c r="O46" s="43">
        <f ca="1">IF(DAY(ОктВс1)=1,IF(AND(YEAR(ОктВс1+11)=КалендарныйГод,MONTH(ОктВс1+11)=10),ОктВс1+11,""),IF(AND(YEAR(ОктВс1+18)=КалендарныйГод,MONTH(ОктВс1+18)=10),ОктВс1+18,""))</f>
        <v>43755</v>
      </c>
      <c r="P46" s="43">
        <f ca="1">IF(DAY(ОктВс1)=1,IF(AND(YEAR(ОктВс1+12)=КалендарныйГод,MONTH(ОктВс1+12)=10),ОктВс1+12,""),IF(AND(YEAR(ОктВс1+19)=КалендарныйГод,MONTH(ОктВс1+19)=10),ОктВс1+19,""))</f>
        <v>43756</v>
      </c>
      <c r="Q46" s="43">
        <f ca="1">IF(DAY(ОктВс1)=1,IF(AND(YEAR(ОктВс1+13)=КалендарныйГод,MONTH(ОктВс1+13)=10),ОктВс1+13,""),IF(AND(YEAR(ОктВс1+20)=КалендарныйГод,MONTH(ОктВс1+20)=10),ОктВс1+20,""))</f>
        <v>43757</v>
      </c>
      <c r="R46" s="43">
        <f ca="1">IF(DAY(ОктВс1)=1,IF(AND(YEAR(ОктВс1+14)=КалендарныйГод,MONTH(ОктВс1+14)=10),ОктВс1+14,""),IF(AND(YEAR(ОктВс1+21)=КалендарныйГод,MONTH(ОктВс1+21)=10),ОктВс1+21,""))</f>
        <v>43758</v>
      </c>
      <c r="S46" s="36"/>
      <c r="T46" s="40"/>
      <c r="U46" s="43">
        <f ca="1">IF(DAY(НояВс1)=1,IF(AND(YEAR(НояВс1+8)=КалендарныйГод,MONTH(НояВс1+8)=11),НояВс1+8,""),IF(AND(YEAR(НояВс1+15)=КалендарныйГод,MONTH(НояВс1+15)=11),НояВс1+15,""))</f>
        <v>43780</v>
      </c>
      <c r="V46" s="43">
        <f ca="1">IF(DAY(НояВс1)=1,IF(AND(YEAR(НояВс1+9)=КалендарныйГод,MONTH(НояВс1+9)=11),НояВс1+9,""),IF(AND(YEAR(НояВс1+16)=КалендарныйГод,MONTH(НояВс1+16)=11),НояВс1+16,""))</f>
        <v>43781</v>
      </c>
      <c r="W46" s="43">
        <f ca="1">IF(DAY(НояВс1)=1,IF(AND(YEAR(НояВс1+10)=КалендарныйГод,MONTH(НояВс1+10)=11),НояВс1+10,""),IF(AND(YEAR(НояВс1+17)=КалендарныйГод,MONTH(НояВс1+17)=11),НояВс1+17,""))</f>
        <v>43782</v>
      </c>
      <c r="X46" s="43">
        <f ca="1">IF(DAY(НояВс1)=1,IF(AND(YEAR(НояВс1+11)=КалендарныйГод,MONTH(НояВс1+11)=11),НояВс1+11,""),IF(AND(YEAR(НояВс1+18)=КалендарныйГод,MONTH(НояВс1+18)=11),НояВс1+18,""))</f>
        <v>43783</v>
      </c>
      <c r="Y46" s="43">
        <f ca="1">IF(DAY(НояВс1)=1,IF(AND(YEAR(НояВс1+12)=КалендарныйГод,MONTH(НояВс1+12)=11),НояВс1+12,""),IF(AND(YEAR(НояВс1+19)=КалендарныйГод,MONTH(НояВс1+19)=11),НояВс1+19,""))</f>
        <v>43784</v>
      </c>
      <c r="Z46" s="43">
        <f ca="1">IF(DAY(НояВс1)=1,IF(AND(YEAR(НояВс1+13)=КалендарныйГод,MONTH(НояВс1+13)=11),НояВс1+13,""),IF(AND(YEAR(НояВс1+20)=КалендарныйГод,MONTH(НояВс1+20)=11),НояВс1+20,""))</f>
        <v>43785</v>
      </c>
      <c r="AA46" s="43">
        <f ca="1">IF(DAY(НояВс1)=1,IF(AND(YEAR(НояВс1+14)=КалендарныйГод,MONTH(НояВс1+14)=11),НояВс1+14,""),IF(AND(YEAR(НояВс1+21)=КалендарныйГод,MONTH(НояВс1+21)=11),НояВс1+21,""))</f>
        <v>43786</v>
      </c>
      <c r="AB46" s="36"/>
      <c r="AC46" s="39"/>
      <c r="AD46" s="43">
        <f ca="1">IF(DAY(ДекВс1)=1,IF(AND(YEAR(ДекВс1+8)=КалендарныйГод,MONTH(ДекВс1+8)=12),ДекВс1+8,""),IF(AND(YEAR(ДекВс1+15)=КалендарныйГод,MONTH(ДекВс1+15)=12),ДекВс1+15,""))</f>
        <v>43808</v>
      </c>
      <c r="AE46" s="43">
        <f ca="1">IF(DAY(ДекВс1)=1,IF(AND(YEAR(ДекВс1+9)=КалендарныйГод,MONTH(ДекВс1+9)=12),ДекВс1+9,""),IF(AND(YEAR(ДекВс1+16)=КалендарныйГод,MONTH(ДекВс1+16)=12),ДекВс1+16,""))</f>
        <v>43809</v>
      </c>
      <c r="AF46" s="43">
        <f ca="1">IF(DAY(ДекВс1)=1,IF(AND(YEAR(ДекВс1+10)=КалендарныйГод,MONTH(ДекВс1+10)=12),ДекВс1+10,""),IF(AND(YEAR(ДекВс1+17)=КалендарныйГод,MONTH(ДекВс1+17)=12),ДекВс1+17,""))</f>
        <v>43810</v>
      </c>
      <c r="AG46" s="43">
        <f ca="1">IF(DAY(ДекВс1)=1,IF(AND(YEAR(ДекВс1+11)=КалендарныйГод,MONTH(ДекВс1+11)=12),ДекВс1+11,""),IF(AND(YEAR(ДекВс1+18)=КалендарныйГод,MONTH(ДекВс1+18)=12),ДекВс1+18,""))</f>
        <v>43811</v>
      </c>
      <c r="AH46" s="43">
        <f ca="1">IF(DAY(ДекВс1)=1,IF(AND(YEAR(ДекВс1+12)=КалендарныйГод,MONTH(ДекВс1+12)=12),ДекВс1+12,""),IF(AND(YEAR(ДекВс1+19)=КалендарныйГод,MONTH(ДекВс1+19)=12),ДекВс1+19,""))</f>
        <v>43812</v>
      </c>
      <c r="AI46" s="43">
        <f ca="1">IF(DAY(ДекВс1)=1,IF(AND(YEAR(ДекВс1+13)=КалендарныйГод,MONTH(ДекВс1+13)=12),ДекВс1+13,""),IF(AND(YEAR(ДекВс1+20)=КалендарныйГод,MONTH(ДекВс1+20)=12),ДекВс1+20,""))</f>
        <v>43813</v>
      </c>
      <c r="AJ46" s="43">
        <f ca="1">IF(DAY(ДекВс1)=1,IF(AND(YEAR(ДекВс1+14)=КалендарныйГод,MONTH(ДекВс1+14)=12),ДекВс1+14,""),IF(AND(YEAR(ДекВс1+21)=КалендарныйГод,MONTH(ДекВс1+21)=12),ДекВс1+21,""))</f>
        <v>43814</v>
      </c>
    </row>
    <row r="47" spans="1:36" x14ac:dyDescent="0.2">
      <c r="C47" s="43">
        <f ca="1">IF(DAY(СенВс1)=1,IF(AND(YEAR(СенВс1+15)=КалендарныйГод,MONTH(СенВс1+15)=9),СенВс1+15,""),IF(AND(YEAR(СенВс1+22)=КалендарныйГод,MONTH(СенВс1+22)=9),СенВс1+22,""))</f>
        <v>43724</v>
      </c>
      <c r="D47" s="43">
        <f ca="1">IF(DAY(СенВс1)=1,IF(AND(YEAR(СенВс1+16)=КалендарныйГод,MONTH(СенВс1+16)=9),СенВс1+16,""),IF(AND(YEAR(СенВс1+23)=КалендарныйГод,MONTH(СенВс1+23)=9),СенВс1+23,""))</f>
        <v>43725</v>
      </c>
      <c r="E47" s="43">
        <f ca="1">IF(DAY(СенВс1)=1,IF(AND(YEAR(СенВс1+17)=КалендарныйГод,MONTH(СенВс1+17)=9),СенВс1+17,""),IF(AND(YEAR(СенВс1+24)=КалендарныйГод,MONTH(СенВс1+24)=9),СенВс1+24,""))</f>
        <v>43726</v>
      </c>
      <c r="F47" s="43">
        <f ca="1">IF(DAY(СенВс1)=1,IF(AND(YEAR(СенВс1+18)=КалендарныйГод,MONTH(СенВс1+18)=9),СенВс1+18,""),IF(AND(YEAR(СенВс1+25)=КалендарныйГод,MONTH(СенВс1+25)=9),СенВс1+25,""))</f>
        <v>43727</v>
      </c>
      <c r="G47" s="43">
        <f ca="1">IF(DAY(СенВс1)=1,IF(AND(YEAR(СенВс1+19)=КалендарныйГод,MONTH(СенВс1+19)=9),СенВс1+19,""),IF(AND(YEAR(СенВс1+26)=КалендарныйГод,MONTH(СенВс1+26)=9),СенВс1+26,""))</f>
        <v>43728</v>
      </c>
      <c r="H47" s="43">
        <f ca="1">IF(DAY(СенВс1)=1,IF(AND(YEAR(СенВс1+20)=КалендарныйГод,MONTH(СенВс1+20)=9),СенВс1+20,""),IF(AND(YEAR(СенВс1+27)=КалендарныйГод,MONTH(СенВс1+27)=9),СенВс1+27,""))</f>
        <v>43729</v>
      </c>
      <c r="I47" s="43">
        <f ca="1">IF(DAY(СенВс1)=1,IF(AND(YEAR(СенВс1+21)=КалендарныйГод,MONTH(СенВс1+21)=9),СенВс1+21,""),IF(AND(YEAR(СенВс1+28)=КалендарныйГод,MONTH(СенВс1+28)=9),СенВс1+28,""))</f>
        <v>43730</v>
      </c>
      <c r="J47" s="36"/>
      <c r="K47" s="39"/>
      <c r="L47" s="43">
        <f ca="1">IF(DAY(ОктВс1)=1,IF(AND(YEAR(ОктВс1+15)=КалендарныйГод,MONTH(ОктВс1+15)=10),ОктВс1+15,""),IF(AND(YEAR(ОктВс1+22)=КалендарныйГод,MONTH(ОктВс1+22)=10),ОктВс1+22,""))</f>
        <v>43759</v>
      </c>
      <c r="M47" s="43">
        <f ca="1">IF(DAY(ОктВс1)=1,IF(AND(YEAR(ОктВс1+16)=КалендарныйГод,MONTH(ОктВс1+16)=10),ОктВс1+16,""),IF(AND(YEAR(ОктВс1+23)=КалендарныйГод,MONTH(ОктВс1+23)=10),ОктВс1+23,""))</f>
        <v>43760</v>
      </c>
      <c r="N47" s="43">
        <f ca="1">IF(DAY(ОктВс1)=1,IF(AND(YEAR(ОктВс1+17)=КалендарныйГод,MONTH(ОктВс1+17)=10),ОктВс1+17,""),IF(AND(YEAR(ОктВс1+24)=КалендарныйГод,MONTH(ОктВс1+24)=10),ОктВс1+24,""))</f>
        <v>43761</v>
      </c>
      <c r="O47" s="43">
        <f ca="1">IF(DAY(ОктВс1)=1,IF(AND(YEAR(ОктВс1+18)=КалендарныйГод,MONTH(ОктВс1+18)=10),ОктВс1+18,""),IF(AND(YEAR(ОктВс1+25)=КалендарныйГод,MONTH(ОктВс1+25)=10),ОктВс1+25,""))</f>
        <v>43762</v>
      </c>
      <c r="P47" s="43">
        <f ca="1">IF(DAY(ОктВс1)=1,IF(AND(YEAR(ОктВс1+19)=КалендарныйГод,MONTH(ОктВс1+19)=10),ОктВс1+19,""),IF(AND(YEAR(ОктВс1+26)=КалендарныйГод,MONTH(ОктВс1+26)=10),ОктВс1+26,""))</f>
        <v>43763</v>
      </c>
      <c r="Q47" s="43">
        <f ca="1">IF(DAY(ОктВс1)=1,IF(AND(YEAR(ОктВс1+20)=КалендарныйГод,MONTH(ОктВс1+20)=10),ОктВс1+20,""),IF(AND(YEAR(ОктВс1+27)=КалендарныйГод,MONTH(ОктВс1+27)=10),ОктВс1+27,""))</f>
        <v>43764</v>
      </c>
      <c r="R47" s="43">
        <f ca="1">IF(DAY(ОктВс1)=1,IF(AND(YEAR(ОктВс1+21)=КалендарныйГод,MONTH(ОктВс1+21)=10),ОктВс1+21,""),IF(AND(YEAR(ОктВс1+28)=КалендарныйГод,MONTH(ОктВс1+28)=10),ОктВс1+28,""))</f>
        <v>43765</v>
      </c>
      <c r="S47" s="36"/>
      <c r="T47" s="40"/>
      <c r="U47" s="43">
        <f ca="1">IF(DAY(НояВс1)=1,IF(AND(YEAR(НояВс1+15)=КалендарныйГод,MONTH(НояВс1+15)=11),НояВс1+15,""),IF(AND(YEAR(НояВс1+22)=КалендарныйГод,MONTH(НояВс1+22)=11),НояВс1+22,""))</f>
        <v>43787</v>
      </c>
      <c r="V47" s="43">
        <f ca="1">IF(DAY(НояВс1)=1,IF(AND(YEAR(НояВс1+16)=КалендарныйГод,MONTH(НояВс1+16)=11),НояВс1+16,""),IF(AND(YEAR(НояВс1+23)=КалендарныйГод,MONTH(НояВс1+23)=11),НояВс1+23,""))</f>
        <v>43788</v>
      </c>
      <c r="W47" s="43">
        <f ca="1">IF(DAY(НояВс1)=1,IF(AND(YEAR(НояВс1+17)=КалендарныйГод,MONTH(НояВс1+17)=11),НояВс1+17,""),IF(AND(YEAR(НояВс1+24)=КалендарныйГод,MONTH(НояВс1+24)=11),НояВс1+24,""))</f>
        <v>43789</v>
      </c>
      <c r="X47" s="43">
        <f ca="1">IF(DAY(НояВс1)=1,IF(AND(YEAR(НояВс1+18)=КалендарныйГод,MONTH(НояВс1+18)=11),НояВс1+18,""),IF(AND(YEAR(НояВс1+25)=КалендарныйГод,MONTH(НояВс1+25)=11),НояВс1+25,""))</f>
        <v>43790</v>
      </c>
      <c r="Y47" s="43">
        <f ca="1">IF(DAY(НояВс1)=1,IF(AND(YEAR(НояВс1+19)=КалендарныйГод,MONTH(НояВс1+19)=11),НояВс1+19,""),IF(AND(YEAR(НояВс1+26)=КалендарныйГод,MONTH(НояВс1+26)=11),НояВс1+26,""))</f>
        <v>43791</v>
      </c>
      <c r="Z47" s="43">
        <f ca="1">IF(DAY(НояВс1)=1,IF(AND(YEAR(НояВс1+20)=КалендарныйГод,MONTH(НояВс1+20)=11),НояВс1+20,""),IF(AND(YEAR(НояВс1+27)=КалендарныйГод,MONTH(НояВс1+27)=11),НояВс1+27,""))</f>
        <v>43792</v>
      </c>
      <c r="AA47" s="43">
        <f ca="1">IF(DAY(НояВс1)=1,IF(AND(YEAR(НояВс1+21)=КалендарныйГод,MONTH(НояВс1+21)=11),НояВс1+21,""),IF(AND(YEAR(НояВс1+28)=КалендарныйГод,MONTH(НояВс1+28)=11),НояВс1+28,""))</f>
        <v>43793</v>
      </c>
      <c r="AB47" s="36"/>
      <c r="AC47" s="39"/>
      <c r="AD47" s="43">
        <f ca="1">IF(DAY(ДекВс1)=1,IF(AND(YEAR(ДекВс1+15)=КалендарныйГод,MONTH(ДекВс1+15)=12),ДекВс1+15,""),IF(AND(YEAR(ДекВс1+22)=КалендарныйГод,MONTH(ДекВс1+22)=12),ДекВс1+22,""))</f>
        <v>43815</v>
      </c>
      <c r="AE47" s="43">
        <f ca="1">IF(DAY(ДекВс1)=1,IF(AND(YEAR(ДекВс1+16)=КалендарныйГод,MONTH(ДекВс1+16)=12),ДекВс1+16,""),IF(AND(YEAR(ДекВс1+23)=КалендарныйГод,MONTH(ДекВс1+23)=12),ДекВс1+23,""))</f>
        <v>43816</v>
      </c>
      <c r="AF47" s="43">
        <f ca="1">IF(DAY(ДекВс1)=1,IF(AND(YEAR(ДекВс1+17)=КалендарныйГод,MONTH(ДекВс1+17)=12),ДекВс1+17,""),IF(AND(YEAR(ДекВс1+24)=КалендарныйГод,MONTH(ДекВс1+24)=12),ДекВс1+24,""))</f>
        <v>43817</v>
      </c>
      <c r="AG47" s="43">
        <f ca="1">IF(DAY(ДекВс1)=1,IF(AND(YEAR(ДекВс1+18)=КалендарныйГод,MONTH(ДекВс1+18)=12),ДекВс1+18,""),IF(AND(YEAR(ДекВс1+25)=КалендарныйГод,MONTH(ДекВс1+25)=12),ДекВс1+25,""))</f>
        <v>43818</v>
      </c>
      <c r="AH47" s="43">
        <f ca="1">IF(DAY(ДекВс1)=1,IF(AND(YEAR(ДекВс1+19)=КалендарныйГод,MONTH(ДекВс1+19)=12),ДекВс1+19,""),IF(AND(YEAR(ДекВс1+26)=КалендарныйГод,MONTH(ДекВс1+26)=12),ДекВс1+26,""))</f>
        <v>43819</v>
      </c>
      <c r="AI47" s="43">
        <f ca="1">IF(DAY(ДекВс1)=1,IF(AND(YEAR(ДекВс1+20)=КалендарныйГод,MONTH(ДекВс1+20)=12),ДекВс1+20,""),IF(AND(YEAR(ДекВс1+27)=КалендарныйГод,MONTH(ДекВс1+27)=12),ДекВс1+27,""))</f>
        <v>43820</v>
      </c>
      <c r="AJ47" s="43">
        <f ca="1">IF(DAY(ДекВс1)=1,IF(AND(YEAR(ДекВс1+21)=КалендарныйГод,MONTH(ДекВс1+21)=12),ДекВс1+21,""),IF(AND(YEAR(ДекВс1+28)=КалендарныйГод,MONTH(ДекВс1+28)=12),ДекВс1+28,""))</f>
        <v>43821</v>
      </c>
    </row>
    <row r="48" spans="1:36" x14ac:dyDescent="0.2">
      <c r="C48" s="43">
        <f ca="1">IF(DAY(СенВс1)=1,IF(AND(YEAR(СенВс1+22)=КалендарныйГод,MONTH(СенВс1+22)=9),СенВс1+22,""),IF(AND(YEAR(СенВс1+29)=КалендарныйГод,MONTH(СенВс1+29)=9),СенВс1+29,""))</f>
        <v>43731</v>
      </c>
      <c r="D48" s="43">
        <f ca="1">IF(DAY(СенВс1)=1,IF(AND(YEAR(СенВс1+23)=КалендарныйГод,MONTH(СенВс1+23)=9),СенВс1+23,""),IF(AND(YEAR(СенВс1+30)=КалендарныйГод,MONTH(СенВс1+30)=9),СенВс1+30,""))</f>
        <v>43732</v>
      </c>
      <c r="E48" s="43">
        <f ca="1">IF(DAY(СенВс1)=1,IF(AND(YEAR(СенВс1+24)=КалендарныйГод,MONTH(СенВс1+24)=9),СенВс1+24,""),IF(AND(YEAR(СенВс1+31)=КалендарныйГод,MONTH(СенВс1+31)=9),СенВс1+31,""))</f>
        <v>43733</v>
      </c>
      <c r="F48" s="43">
        <f ca="1">IF(DAY(СенВс1)=1,IF(AND(YEAR(СенВс1+25)=КалендарныйГод,MONTH(СенВс1+25)=9),СенВс1+25,""),IF(AND(YEAR(СенВс1+32)=КалендарныйГод,MONTH(СенВс1+32)=9),СенВс1+32,""))</f>
        <v>43734</v>
      </c>
      <c r="G48" s="43">
        <f ca="1">IF(DAY(СенВс1)=1,IF(AND(YEAR(СенВс1+26)=КалендарныйГод,MONTH(СенВс1+26)=9),СенВс1+26,""),IF(AND(YEAR(СенВс1+33)=КалендарныйГод,MONTH(СенВс1+33)=9),СенВс1+33,""))</f>
        <v>43735</v>
      </c>
      <c r="H48" s="43">
        <f ca="1">IF(DAY(СенВс1)=1,IF(AND(YEAR(СенВс1+27)=КалендарныйГод,MONTH(СенВс1+27)=9),СенВс1+27,""),IF(AND(YEAR(СенВс1+34)=КалендарныйГод,MONTH(СенВс1+34)=9),СенВс1+34,""))</f>
        <v>43736</v>
      </c>
      <c r="I48" s="43">
        <f ca="1">IF(DAY(СенВс1)=1,IF(AND(YEAR(СенВс1+28)=КалендарныйГод,MONTH(СенВс1+28)=9),СенВс1+28,""),IF(AND(YEAR(СенВс1+35)=КалендарныйГод,MONTH(СенВс1+35)=9),СенВс1+35,""))</f>
        <v>43737</v>
      </c>
      <c r="J48" s="36"/>
      <c r="K48" s="39"/>
      <c r="L48" s="43">
        <f ca="1">IF(DAY(ОктВс1)=1,IF(AND(YEAR(ОктВс1+22)=КалендарныйГод,MONTH(ОктВс1+22)=10),ОктВс1+22,""),IF(AND(YEAR(ОктВс1+29)=КалендарныйГод,MONTH(ОктВс1+29)=10),ОктВс1+29,""))</f>
        <v>43766</v>
      </c>
      <c r="M48" s="43">
        <f ca="1">IF(DAY(ОктВс1)=1,IF(AND(YEAR(ОктВс1+23)=КалендарныйГод,MONTH(ОктВс1+23)=10),ОктВс1+23,""),IF(AND(YEAR(ОктВс1+30)=КалендарныйГод,MONTH(ОктВс1+30)=10),ОктВс1+30,""))</f>
        <v>43767</v>
      </c>
      <c r="N48" s="43">
        <f ca="1">IF(DAY(ОктВс1)=1,IF(AND(YEAR(ОктВс1+24)=КалендарныйГод,MONTH(ОктВс1+24)=10),ОктВс1+24,""),IF(AND(YEAR(ОктВс1+31)=КалендарныйГод,MONTH(ОктВс1+31)=10),ОктВс1+31,""))</f>
        <v>43768</v>
      </c>
      <c r="O48" s="43">
        <f ca="1">IF(DAY(ОктВс1)=1,IF(AND(YEAR(ОктВс1+25)=КалендарныйГод,MONTH(ОктВс1+25)=10),ОктВс1+25,""),IF(AND(YEAR(ОктВс1+32)=КалендарныйГод,MONTH(ОктВс1+32)=10),ОктВс1+32,""))</f>
        <v>43769</v>
      </c>
      <c r="P48" s="43" t="str">
        <f ca="1">IF(DAY(ОктВс1)=1,IF(AND(YEAR(ОктВс1+26)=КалендарныйГод,MONTH(ОктВс1+26)=10),ОктВс1+26,""),IF(AND(YEAR(ОктВс1+33)=КалендарныйГод,MONTH(ОктВс1+33)=10),ОктВс1+33,""))</f>
        <v/>
      </c>
      <c r="Q48" s="43" t="str">
        <f ca="1">IF(DAY(ОктВс1)=1,IF(AND(YEAR(ОктВс1+27)=КалендарныйГод,MONTH(ОктВс1+27)=10),ОктВс1+27,""),IF(AND(YEAR(ОктВс1+34)=КалендарныйГод,MONTH(ОктВс1+34)=10),ОктВс1+34,""))</f>
        <v/>
      </c>
      <c r="R48" s="43" t="str">
        <f ca="1">IF(DAY(ОктВс1)=1,IF(AND(YEAR(ОктВс1+28)=КалендарныйГод,MONTH(ОктВс1+28)=10),ОктВс1+28,""),IF(AND(YEAR(ОктВс1+35)=КалендарныйГод,MONTH(ОктВс1+35)=10),ОктВс1+35,""))</f>
        <v/>
      </c>
      <c r="S48" s="36"/>
      <c r="T48" s="40"/>
      <c r="U48" s="43">
        <f ca="1">IF(DAY(НояВс1)=1,IF(AND(YEAR(НояВс1+22)=КалендарныйГод,MONTH(НояВс1+22)=11),НояВс1+22,""),IF(AND(YEAR(НояВс1+29)=КалендарныйГод,MONTH(НояВс1+29)=11),НояВс1+29,""))</f>
        <v>43794</v>
      </c>
      <c r="V48" s="43">
        <f ca="1">IF(DAY(НояВс1)=1,IF(AND(YEAR(НояВс1+23)=КалендарныйГод,MONTH(НояВс1+23)=11),НояВс1+23,""),IF(AND(YEAR(НояВс1+30)=КалендарныйГод,MONTH(НояВс1+30)=11),НояВс1+30,""))</f>
        <v>43795</v>
      </c>
      <c r="W48" s="43">
        <f ca="1">IF(DAY(НояВс1)=1,IF(AND(YEAR(НояВс1+24)=КалендарныйГод,MONTH(НояВс1+24)=11),НояВс1+24,""),IF(AND(YEAR(НояВс1+31)=КалендарныйГод,MONTH(НояВс1+31)=11),НояВс1+31,""))</f>
        <v>43796</v>
      </c>
      <c r="X48" s="43">
        <f ca="1">IF(DAY(НояВс1)=1,IF(AND(YEAR(НояВс1+25)=КалендарныйГод,MONTH(НояВс1+25)=11),НояВс1+25,""),IF(AND(YEAR(НояВс1+32)=КалендарныйГод,MONTH(НояВс1+32)=11),НояВс1+32,""))</f>
        <v>43797</v>
      </c>
      <c r="Y48" s="43">
        <f ca="1">IF(DAY(НояВс1)=1,IF(AND(YEAR(НояВс1+26)=КалендарныйГод,MONTH(НояВс1+26)=11),НояВс1+26,""),IF(AND(YEAR(НояВс1+33)=КалендарныйГод,MONTH(НояВс1+33)=11),НояВс1+33,""))</f>
        <v>43798</v>
      </c>
      <c r="Z48" s="43">
        <f ca="1">IF(DAY(НояВс1)=1,IF(AND(YEAR(НояВс1+27)=КалендарныйГод,MONTH(НояВс1+27)=11),НояВс1+27,""),IF(AND(YEAR(НояВс1+34)=КалендарныйГод,MONTH(НояВс1+34)=11),НояВс1+34,""))</f>
        <v>43799</v>
      </c>
      <c r="AA48" s="43" t="str">
        <f ca="1">IF(DAY(НояВс1)=1,IF(AND(YEAR(НояВс1+28)=КалендарныйГод,MONTH(НояВс1+28)=11),НояВс1+28,""),IF(AND(YEAR(НояВс1+35)=КалендарныйГод,MONTH(НояВс1+35)=11),НояВс1+35,""))</f>
        <v/>
      </c>
      <c r="AB48" s="36"/>
      <c r="AC48" s="39"/>
      <c r="AD48" s="43">
        <f ca="1">IF(DAY(ДекВс1)=1,IF(AND(YEAR(ДекВс1+22)=КалендарныйГод,MONTH(ДекВс1+22)=12),ДекВс1+22,""),IF(AND(YEAR(ДекВс1+29)=КалендарныйГод,MONTH(ДекВс1+29)=12),ДекВс1+29,""))</f>
        <v>43822</v>
      </c>
      <c r="AE48" s="43">
        <f ca="1">IF(DAY(ДекВс1)=1,IF(AND(YEAR(ДекВс1+23)=КалендарныйГод,MONTH(ДекВс1+23)=12),ДекВс1+23,""),IF(AND(YEAR(ДекВс1+30)=КалендарныйГод,MONTH(ДекВс1+30)=12),ДекВс1+30,""))</f>
        <v>43823</v>
      </c>
      <c r="AF48" s="43">
        <f ca="1">IF(DAY(ДекВс1)=1,IF(AND(YEAR(ДекВс1+24)=КалендарныйГод,MONTH(ДекВс1+24)=12),ДекВс1+24,""),IF(AND(YEAR(ДекВс1+31)=КалендарныйГод,MONTH(ДекВс1+31)=12),ДекВс1+31,""))</f>
        <v>43824</v>
      </c>
      <c r="AG48" s="43">
        <f ca="1">IF(DAY(ДекВс1)=1,IF(AND(YEAR(ДекВс1+25)=КалендарныйГод,MONTH(ДекВс1+25)=12),ДекВс1+25,""),IF(AND(YEAR(ДекВс1+32)=КалендарныйГод,MONTH(ДекВс1+32)=12),ДекВс1+32,""))</f>
        <v>43825</v>
      </c>
      <c r="AH48" s="43">
        <f ca="1">IF(DAY(ДекВс1)=1,IF(AND(YEAR(ДекВс1+26)=КалендарныйГод,MONTH(ДекВс1+26)=12),ДекВс1+26,""),IF(AND(YEAR(ДекВс1+33)=КалендарныйГод,MONTH(ДекВс1+33)=12),ДекВс1+33,""))</f>
        <v>43826</v>
      </c>
      <c r="AI48" s="43">
        <f ca="1">IF(DAY(ДекВс1)=1,IF(AND(YEAR(ДекВс1+27)=КалендарныйГод,MONTH(ДекВс1+27)=12),ДекВс1+27,""),IF(AND(YEAR(ДекВс1+34)=КалендарныйГод,MONTH(ДекВс1+34)=12),ДекВс1+34,""))</f>
        <v>43827</v>
      </c>
      <c r="AJ48" s="43">
        <f ca="1">IF(DAY(ДекВс1)=1,IF(AND(YEAR(ДекВс1+28)=КалендарныйГод,MONTH(ДекВс1+28)=12),ДекВс1+28,""),IF(AND(YEAR(ДекВс1+35)=КалендарныйГод,MONTH(ДекВс1+35)=12),ДекВс1+35,""))</f>
        <v>43828</v>
      </c>
    </row>
    <row r="49" spans="3:36" x14ac:dyDescent="0.2">
      <c r="C49" s="43">
        <f ca="1">IF(DAY(СенВс1)=1,IF(AND(YEAR(СенВс1+29)=КалендарныйГод,MONTH(СенВс1+29)=9),СенВс1+29,""),IF(AND(YEAR(СенВс1+36)=КалендарныйГод,MONTH(СенВс1+36)=9),СенВс1+36,""))</f>
        <v>43738</v>
      </c>
      <c r="D49" s="43" t="str">
        <f ca="1">IF(DAY(СенВс1)=1,IF(AND(YEAR(СенВс1+30)=КалендарныйГод,MONTH(СенВс1+30)=9),СенВс1+30,""),IF(AND(YEAR(СенВс1+37)=КалендарныйГод,MONTH(СенВс1+37)=9),СенВс1+37,""))</f>
        <v/>
      </c>
      <c r="E49" s="43" t="str">
        <f ca="1">IF(DAY(СенВс1)=1,IF(AND(YEAR(СенВс1+31)=КалендарныйГод,MONTH(СенВс1+31)=9),СенВс1+31,""),IF(AND(YEAR(СенВс1+38)=КалендарныйГод,MONTH(СенВс1+38)=9),СенВс1+38,""))</f>
        <v/>
      </c>
      <c r="F49" s="43" t="str">
        <f ca="1">IF(DAY(СенВс1)=1,IF(AND(YEAR(СенВс1+32)=КалендарныйГод,MONTH(СенВс1+32)=9),СенВс1+32,""),IF(AND(YEAR(СенВс1+39)=КалендарныйГод,MONTH(СенВс1+39)=9),СенВс1+39,""))</f>
        <v/>
      </c>
      <c r="G49" s="43" t="str">
        <f ca="1">IF(DAY(СенВс1)=1,IF(AND(YEAR(СенВс1+33)=КалендарныйГод,MONTH(СенВс1+33)=9),СенВс1+33,""),IF(AND(YEAR(СенВс1+40)=КалендарныйГод,MONTH(СенВс1+40)=9),СенВс1+40,""))</f>
        <v/>
      </c>
      <c r="H49" s="43" t="str">
        <f ca="1">IF(DAY(СенВс1)=1,IF(AND(YEAR(СенВс1+34)=КалендарныйГод,MONTH(СенВс1+34)=9),СенВс1+34,""),IF(AND(YEAR(СенВс1+41)=КалендарныйГод,MONTH(СенВс1+41)=9),СенВс1+41,""))</f>
        <v/>
      </c>
      <c r="I49" s="43" t="str">
        <f ca="1">IF(DAY(СенВс1)=1,IF(AND(YEAR(СенВс1+35)=КалендарныйГод,MONTH(СенВс1+35)=9),СенВс1+35,""),IF(AND(YEAR(СенВс1+42)=КалендарныйГод,MONTH(СенВс1+42)=9),СенВс1+42,""))</f>
        <v/>
      </c>
      <c r="J49" s="36"/>
      <c r="K49" s="39"/>
      <c r="L49" s="43" t="str">
        <f ca="1">IF(DAY(ОктВс1)=1,IF(AND(YEAR(ОктВс1+29)=КалендарныйГод,MONTH(ОктВс1+29)=10),ОктВс1+29,""),IF(AND(YEAR(ОктВс1+36)=КалендарныйГод,MONTH(ОктВс1+36)=10),ОктВс1+36,""))</f>
        <v/>
      </c>
      <c r="M49" s="43" t="str">
        <f ca="1">IF(DAY(ОктВс1)=1,IF(AND(YEAR(ОктВс1+30)=КалендарныйГод,MONTH(ОктВс1+30)=10),ОктВс1+30,""),IF(AND(YEAR(ОктВс1+37)=КалендарныйГод,MONTH(ОктВс1+37)=10),ОктВс1+37,""))</f>
        <v/>
      </c>
      <c r="N49" s="43" t="str">
        <f ca="1">IF(DAY(ОктВс1)=1,IF(AND(YEAR(ОктВс1+31)=КалендарныйГод,MONTH(ОктВс1+31)=10),ОктВс1+31,""),IF(AND(YEAR(ОктВс1+38)=КалендарныйГод,MONTH(ОктВс1+38)=10),ОктВс1+38,""))</f>
        <v/>
      </c>
      <c r="O49" s="43" t="str">
        <f ca="1">IF(DAY(ОктВс1)=1,IF(AND(YEAR(ОктВс1+32)=КалендарныйГод,MONTH(ОктВс1+32)=10),ОктВс1+32,""),IF(AND(YEAR(ОктВс1+39)=КалендарныйГод,MONTH(ОктВс1+39)=10),ОктВс1+39,""))</f>
        <v/>
      </c>
      <c r="P49" s="43" t="str">
        <f ca="1">IF(DAY(ОктВс1)=1,IF(AND(YEAR(ОктВс1+33)=КалендарныйГод,MONTH(ОктВс1+33)=10),ОктВс1+33,""),IF(AND(YEAR(ОктВс1+40)=КалендарныйГод,MONTH(ОктВс1+40)=10),ОктВс1+40,""))</f>
        <v/>
      </c>
      <c r="Q49" s="43" t="str">
        <f ca="1">IF(DAY(ОктВс1)=1,IF(AND(YEAR(ОктВс1+34)=КалендарныйГод,MONTH(ОктВс1+34)=10),ОктВс1+34,""),IF(AND(YEAR(ОктВс1+41)=КалендарныйГод,MONTH(ОктВс1+41)=10),ОктВс1+41,""))</f>
        <v/>
      </c>
      <c r="R49" s="43" t="str">
        <f ca="1">IF(DAY(ОктВс1)=1,IF(AND(YEAR(ОктВс1+35)=КалендарныйГод,MONTH(ОктВс1+35)=10),ОктВс1+35,""),IF(AND(YEAR(ОктВс1+42)=КалендарныйГод,MONTH(ОктВс1+42)=10),ОктВс1+42,""))</f>
        <v/>
      </c>
      <c r="S49" s="36"/>
      <c r="T49" s="40"/>
      <c r="U49" s="43" t="str">
        <f ca="1">IF(DAY(НояВс1)=1,IF(AND(YEAR(НояВс1+29)=КалендарныйГод,MONTH(НояВс1+29)=11),НояВс1+29,""),IF(AND(YEAR(НояВс1+36)=КалендарныйГод,MONTH(НояВс1+36)=11),НояВс1+36,""))</f>
        <v/>
      </c>
      <c r="V49" s="43" t="str">
        <f ca="1">IF(DAY(НояВс1)=1,IF(AND(YEAR(НояВс1+30)=КалендарныйГод,MONTH(НояВс1+30)=11),НояВс1+30,""),IF(AND(YEAR(НояВс1+37)=КалендарныйГод,MONTH(НояВс1+37)=11),НояВс1+37,""))</f>
        <v/>
      </c>
      <c r="W49" s="43" t="str">
        <f ca="1">IF(DAY(НояВс1)=1,IF(AND(YEAR(НояВс1+31)=КалендарныйГод,MONTH(НояВс1+31)=11),НояВс1+31,""),IF(AND(YEAR(НояВс1+38)=КалендарныйГод,MONTH(НояВс1+38)=11),НояВс1+38,""))</f>
        <v/>
      </c>
      <c r="X49" s="43" t="str">
        <f ca="1">IF(DAY(НояВс1)=1,IF(AND(YEAR(НояВс1+32)=КалендарныйГод,MONTH(НояВс1+32)=11),НояВс1+32,""),IF(AND(YEAR(НояВс1+39)=КалендарныйГод,MONTH(НояВс1+39)=11),НояВс1+39,""))</f>
        <v/>
      </c>
      <c r="Y49" s="43" t="str">
        <f ca="1">IF(DAY(НояВс1)=1,IF(AND(YEAR(НояВс1+33)=КалендарныйГод,MONTH(НояВс1+33)=11),НояВс1+33,""),IF(AND(YEAR(НояВс1+40)=КалендарныйГод,MONTH(НояВс1+40)=11),НояВс1+40,""))</f>
        <v/>
      </c>
      <c r="Z49" s="43" t="str">
        <f ca="1">IF(DAY(НояВс1)=1,IF(AND(YEAR(НояВс1+34)=КалендарныйГод,MONTH(НояВс1+34)=11),НояВс1+34,""),IF(AND(YEAR(НояВс1+41)=КалендарныйГод,MONTH(НояВс1+41)=11),НояВс1+41,""))</f>
        <v/>
      </c>
      <c r="AA49" s="43" t="str">
        <f ca="1">IF(DAY(НояВс1)=1,IF(AND(YEAR(НояВс1+35)=КалендарныйГод,MONTH(НояВс1+35)=11),НояВс1+35,""),IF(AND(YEAR(НояВс1+42)=КалендарныйГод,MONTH(НояВс1+42)=11),НояВс1+42,""))</f>
        <v/>
      </c>
      <c r="AB49" s="36"/>
      <c r="AC49" s="39"/>
      <c r="AD49" s="43">
        <f ca="1">IF(DAY(ДекВс1)=1,IF(AND(YEAR(ДекВс1+29)=КалендарныйГод,MONTH(ДекВс1+29)=12),ДекВс1+29,""),IF(AND(YEAR(ДекВс1+36)=КалендарныйГод,MONTH(ДекВс1+36)=12),ДекВс1+36,""))</f>
        <v>43829</v>
      </c>
      <c r="AE49" s="43">
        <f ca="1">IF(DAY(ДекВс1)=1,IF(AND(YEAR(ДекВс1+30)=КалендарныйГод,MONTH(ДекВс1+30)=12),ДекВс1+30,""),IF(AND(YEAR(ДекВс1+37)=КалендарныйГод,MONTH(ДекВс1+37)=12),ДекВс1+37,""))</f>
        <v>43830</v>
      </c>
      <c r="AF49" s="43" t="str">
        <f ca="1">IF(DAY(ДекВс1)=1,IF(AND(YEAR(ДекВс1+31)=КалендарныйГод,MONTH(ДекВс1+31)=12),ДекВс1+31,""),IF(AND(YEAR(ДекВс1+38)=КалендарныйГод,MONTH(ДекВс1+38)=12),ДекВс1+38,""))</f>
        <v/>
      </c>
      <c r="AG49" s="43" t="str">
        <f ca="1">IF(DAY(ДекВс1)=1,IF(AND(YEAR(ДекВс1+32)=КалендарныйГод,MONTH(ДекВс1+32)=12),ДекВс1+32,""),IF(AND(YEAR(ДекВс1+39)=КалендарныйГод,MONTH(ДекВс1+39)=12),ДекВс1+39,""))</f>
        <v/>
      </c>
      <c r="AH49" s="43" t="str">
        <f ca="1">IF(DAY(ДекВс1)=1,IF(AND(YEAR(ДекВс1+33)=КалендарныйГод,MONTH(ДекВс1+33)=12),ДекВс1+33,""),IF(AND(YEAR(ДекВс1+40)=КалендарныйГод,MONTH(ДекВс1+40)=12),ДекВс1+40,""))</f>
        <v/>
      </c>
      <c r="AI49" s="43" t="str">
        <f ca="1">IF(DAY(ДекВс1)=1,IF(AND(YEAR(ДекВс1+34)=КалендарныйГод,MONTH(ДекВс1+34)=12),ДекВс1+34,""),IF(AND(YEAR(ДекВс1+41)=КалендарныйГод,MONTH(ДекВс1+41)=12),ДекВс1+41,""))</f>
        <v/>
      </c>
      <c r="AJ49" s="43" t="str">
        <f ca="1">IF(DAY(ДекВс1)=1,IF(AND(YEAR(ДекВс1+35)=КалендарныйГод,MONTH(ДекВс1+35)=12),ДекВс1+35,""),IF(AND(YEAR(ДекВс1+42)=КалендарныйГод,MONTH(ДекВс1+42)=12),ДекВс1+42,""))</f>
        <v/>
      </c>
    </row>
    <row r="50" spans="3:36" x14ac:dyDescent="0.2">
      <c r="C50" s="2"/>
      <c r="D50" s="2"/>
      <c r="E50" s="2"/>
      <c r="F50" s="2"/>
      <c r="G50" s="2"/>
      <c r="H50" s="2"/>
      <c r="I50" s="2"/>
      <c r="J50" s="2"/>
      <c r="K50" s="1"/>
      <c r="L50" s="1"/>
      <c r="M50" s="1"/>
      <c r="N50" s="1"/>
      <c r="O50" s="1"/>
      <c r="P50" s="1"/>
      <c r="Q50" s="1"/>
      <c r="R50" s="1"/>
      <c r="S50" s="1"/>
    </row>
  </sheetData>
  <mergeCells count="62">
    <mergeCell ref="AL3:AN3"/>
    <mergeCell ref="D3:AD3"/>
    <mergeCell ref="AE3:AI3"/>
    <mergeCell ref="U19:AI19"/>
    <mergeCell ref="U20:AI20"/>
    <mergeCell ref="H17:Q17"/>
    <mergeCell ref="H18:Q18"/>
    <mergeCell ref="H19:Q19"/>
    <mergeCell ref="H20:Q20"/>
    <mergeCell ref="U6:AI6"/>
    <mergeCell ref="U7:AI7"/>
    <mergeCell ref="U8:AI8"/>
    <mergeCell ref="U9:AI9"/>
    <mergeCell ref="U10:AI10"/>
    <mergeCell ref="U11:AI11"/>
    <mergeCell ref="U12:AI12"/>
    <mergeCell ref="D18:G18"/>
    <mergeCell ref="D19:G19"/>
    <mergeCell ref="D20:G20"/>
    <mergeCell ref="U13:AI13"/>
    <mergeCell ref="U14:AI14"/>
    <mergeCell ref="U15:AI15"/>
    <mergeCell ref="U16:AI16"/>
    <mergeCell ref="U17:AI17"/>
    <mergeCell ref="H6:Q6"/>
    <mergeCell ref="H7:Q7"/>
    <mergeCell ref="H8:Q8"/>
    <mergeCell ref="H9:Q9"/>
    <mergeCell ref="U18:AI18"/>
    <mergeCell ref="D6:G6"/>
    <mergeCell ref="D7:G7"/>
    <mergeCell ref="D8:G8"/>
    <mergeCell ref="D9:G9"/>
    <mergeCell ref="D10:G10"/>
    <mergeCell ref="D22:E22"/>
    <mergeCell ref="D21:E21"/>
    <mergeCell ref="H10:Q10"/>
    <mergeCell ref="H11:Q11"/>
    <mergeCell ref="H12:Q12"/>
    <mergeCell ref="H13:Q13"/>
    <mergeCell ref="H14:Q14"/>
    <mergeCell ref="D11:G11"/>
    <mergeCell ref="D12:G12"/>
    <mergeCell ref="D13:G13"/>
    <mergeCell ref="D14:G14"/>
    <mergeCell ref="D15:G15"/>
    <mergeCell ref="H15:Q15"/>
    <mergeCell ref="H16:Q16"/>
    <mergeCell ref="D16:G16"/>
    <mergeCell ref="D17:G17"/>
    <mergeCell ref="C42:I42"/>
    <mergeCell ref="L42:R42"/>
    <mergeCell ref="U42:AA42"/>
    <mergeCell ref="AD42:AJ42"/>
    <mergeCell ref="C24:I24"/>
    <mergeCell ref="L24:R24"/>
    <mergeCell ref="U24:AA24"/>
    <mergeCell ref="AD24:AJ24"/>
    <mergeCell ref="C33:I33"/>
    <mergeCell ref="L33:R33"/>
    <mergeCell ref="U33:AA33"/>
    <mergeCell ref="AD33:AJ33"/>
  </mergeCells>
  <conditionalFormatting sqref="C26:I31 L26:R31 U26:AA31 AD26:AJ31 C35:I40 L35:R40 U35:AA40 AD35:AJ40 C44:I49 L44:R49 U44:AA49 AD44:AJ49">
    <cfRule type="expression" dxfId="108" priority="1">
      <formula>VLOOKUP(C26,ВажныеДаты,1,FALSE)=C26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Счетчик">
              <controlPr defaultSize="0" print="0" autoPict="0" altText="Используйте кнопки счетчика, чтобы изменить календарный год, или введите год в ячейке AE3">
                <anchor moveWithCells="1">
                  <from>
                    <xdr:col>35</xdr:col>
                    <xdr:colOff>0</xdr:colOff>
                    <xdr:row>2</xdr:row>
                    <xdr:rowOff>85725</xdr:rowOff>
                  </from>
                  <to>
                    <xdr:col>35</xdr:col>
                    <xdr:colOff>152400</xdr:colOff>
                    <xdr:row>2</xdr:row>
                    <xdr:rowOff>390525</xdr:rowOff>
                  </to>
                </anchor>
              </controlPr>
            </control>
          </mc:Choice>
        </mc:AlternateContent>
      </controls>
    </mc:Choice>
  </mc:AlternateContent>
  <tableParts count="12"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Начало</vt:lpstr>
      <vt:lpstr>Семейный календарь</vt:lpstr>
      <vt:lpstr>'Семейный календарь'!Print_Area</vt:lpstr>
      <vt:lpstr>ВажныеДаты</vt:lpstr>
      <vt:lpstr>КалендарныйГод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Sherry Li (RWS Moravia)</cp:lastModifiedBy>
  <dcterms:created xsi:type="dcterms:W3CDTF">2018-05-25T12:05:00Z</dcterms:created>
  <dcterms:modified xsi:type="dcterms:W3CDTF">2019-06-26T07:46:35Z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