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xl/worksheets/sheet31.xml" ContentType="application/vnd.openxmlformats-officedocument.spreadsheetml.worksheet+xml"/>
  <Override PartName="/xl/tables/table31.xml" ContentType="application/vnd.openxmlformats-officedocument.spreadsheetml.table+xml"/>
  <Override PartName="/xl/calcChain.xml" ContentType="application/vnd.openxmlformats-officedocument.spreadsheetml.calcChain+xml"/>
  <Override PartName="/xl/worksheets/sheet22.xml" ContentType="application/vnd.openxmlformats-officedocument.spreadsheetml.worksheet+xml"/>
  <Override PartName="/xl/tables/table22.xml" ContentType="application/vnd.openxmlformats-officedocument.spreadsheetml.table+xml"/>
  <Override PartName="/xl/worksheets/sheet13.xml" ContentType="application/vnd.openxmlformats-officedocument.spreadsheetml.worksheet+xml"/>
  <Override PartName="/xl/tables/table13.xml" ContentType="application/vnd.openxmlformats-officedocument.spreadsheetml.tab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1.xml" ContentType="application/vnd.openxmlformats-officedocument.theme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523"/>
  <workbookPr/>
  <mc:AlternateContent xmlns:mc="http://schemas.openxmlformats.org/markup-compatibility/2006">
    <mc:Choice Requires="x15">
      <x15ac:absPath xmlns:x15ac="http://schemas.microsoft.com/office/spreadsheetml/2010/11/ac" url="C:\Users\admin\Desktop\ru-RU\target\"/>
    </mc:Choice>
  </mc:AlternateContent>
  <bookViews>
    <workbookView xWindow="0" yWindow="0" windowWidth="28590" windowHeight="6690" xr2:uid="{00000000-000D-0000-FFFF-FFFF00000000}"/>
  </bookViews>
  <sheets>
    <sheet name="Доходы (продажи)" sheetId="2" r:id="rId1"/>
    <sheet name="Себестоимость продаж" sheetId="3" r:id="rId2"/>
    <sheet name="Расходы" sheetId="4" r:id="rId3"/>
  </sheets>
  <definedNames>
    <definedName name="FYMonthNo">IF(FYMonthStart="ЯНВ",1,IF(FYMonthStart="ФЕВ",2,IF(FYMonthStart="МАР",3,IF(FYMonthStart="АПР",4,IF(FYMonthStart="МАЙ",5,IF(FYMonthStart="ИЮН",6,IF(FYMonthStart="ИЮЛ",7,IF(FYMonthStart="АВГ",8,IF(FYMonthStart="СЕН",9,IF(FYMonthStart="ОКТ",10,IF(FYMonthStart="НОЯ",11,12)))))))))))</definedName>
    <definedName name="FYMonthStart">'Доходы (продажи)'!$AC$2</definedName>
    <definedName name="FYStartYear">'Доходы (продажи)'!$AD$2</definedName>
    <definedName name="Projection_Period_Title">'Доходы (продажи)'!$B$1</definedName>
    <definedName name="Wksht_Title">'Доходы (продажи)'!$B$2</definedName>
    <definedName name="_xlnm.Print_Titles" localSheetId="0">'Доходы (продажи)'!$3:$4</definedName>
    <definedName name="_xlnm.Print_Titles" localSheetId="2">Расходы!$3:$4</definedName>
    <definedName name="_xlnm.Print_Titles" localSheetId="1">'Себестоимость продаж'!$3:$4</definedName>
    <definedName name="Заголовок1">Доходы[[#Headers],[ДОХОДЫ (ПРОДАЖИ)]]</definedName>
    <definedName name="Заголовок2">Себестоимость_продаж[[#Headers],[СЕБЕСТОИМОСТЬ ПРОДАЖ]]</definedName>
    <definedName name="Заголовок3">tblExpenses[[#Headers],[РАСХОДЫ]]</definedName>
    <definedName name="Название_организации">'Доходы (продажи)'!$AD$1</definedName>
  </definedNames>
  <calcPr calcId="171027"/>
</workbook>
</file>

<file path=xl/calcChain.xml><?xml version="1.0" encoding="utf-8"?>
<calcChain xmlns="http://schemas.openxmlformats.org/spreadsheetml/2006/main">
  <c r="P6" i="4" l="1"/>
  <c r="P7" i="4"/>
  <c r="P8" i="4"/>
  <c r="P5" i="4"/>
  <c r="E24" i="4"/>
  <c r="S6" i="4" s="1"/>
  <c r="F24" i="4"/>
  <c r="T20" i="4" s="1"/>
  <c r="G24" i="4"/>
  <c r="U20" i="4" s="1"/>
  <c r="H24" i="4"/>
  <c r="V20" i="4" s="1"/>
  <c r="I24" i="4"/>
  <c r="W6" i="4" s="1"/>
  <c r="J24" i="4"/>
  <c r="X20" i="4" s="1"/>
  <c r="K24" i="4"/>
  <c r="Y20" i="4" s="1"/>
  <c r="L24" i="4"/>
  <c r="Z20" i="4" s="1"/>
  <c r="M24" i="4"/>
  <c r="AA6" i="4" s="1"/>
  <c r="N24" i="4"/>
  <c r="AB20" i="4" s="1"/>
  <c r="O24" i="4"/>
  <c r="AC20" i="4" s="1"/>
  <c r="P10" i="4"/>
  <c r="P11" i="4"/>
  <c r="P12" i="4"/>
  <c r="P13" i="4"/>
  <c r="P14" i="4"/>
  <c r="P15" i="4"/>
  <c r="P16" i="4"/>
  <c r="P17" i="4"/>
  <c r="P18" i="4"/>
  <c r="P19" i="4"/>
  <c r="P20" i="4"/>
  <c r="P21" i="4"/>
  <c r="P22" i="4"/>
  <c r="P23" i="4"/>
  <c r="P9" i="4"/>
  <c r="B2" i="4"/>
  <c r="P6" i="3"/>
  <c r="P7" i="3"/>
  <c r="P8" i="3"/>
  <c r="P9" i="3"/>
  <c r="P10" i="3"/>
  <c r="P11" i="3"/>
  <c r="P5" i="3"/>
  <c r="S5" i="4" l="1"/>
  <c r="U5" i="4"/>
  <c r="W5" i="4"/>
  <c r="Y5" i="4"/>
  <c r="AA5" i="4"/>
  <c r="AC5" i="4"/>
  <c r="AB23" i="4"/>
  <c r="Z23" i="4"/>
  <c r="X23" i="4"/>
  <c r="V23" i="4"/>
  <c r="T23" i="4"/>
  <c r="AB22" i="4"/>
  <c r="Z22" i="4"/>
  <c r="X22" i="4"/>
  <c r="V22" i="4"/>
  <c r="T22" i="4"/>
  <c r="AB21" i="4"/>
  <c r="Z21" i="4"/>
  <c r="X21" i="4"/>
  <c r="V21" i="4"/>
  <c r="T21" i="4"/>
  <c r="AC19" i="4"/>
  <c r="Y19" i="4"/>
  <c r="U19" i="4"/>
  <c r="AC18" i="4"/>
  <c r="Y18" i="4"/>
  <c r="U18" i="4"/>
  <c r="AC17" i="4"/>
  <c r="Y17" i="4"/>
  <c r="U17" i="4"/>
  <c r="AC16" i="4"/>
  <c r="Y16" i="4"/>
  <c r="U16" i="4"/>
  <c r="AC15" i="4"/>
  <c r="Y15" i="4"/>
  <c r="U15" i="4"/>
  <c r="AC14" i="4"/>
  <c r="Y14" i="4"/>
  <c r="U14" i="4"/>
  <c r="AC13" i="4"/>
  <c r="Y13" i="4"/>
  <c r="U13" i="4"/>
  <c r="AC12" i="4"/>
  <c r="Y12" i="4"/>
  <c r="U12" i="4"/>
  <c r="AC11" i="4"/>
  <c r="Y11" i="4"/>
  <c r="U11" i="4"/>
  <c r="AC10" i="4"/>
  <c r="Y10" i="4"/>
  <c r="U10" i="4"/>
  <c r="AC9" i="4"/>
  <c r="Y9" i="4"/>
  <c r="U9" i="4"/>
  <c r="AC8" i="4"/>
  <c r="Y8" i="4"/>
  <c r="U8" i="4"/>
  <c r="AC7" i="4"/>
  <c r="Y7" i="4"/>
  <c r="U7" i="4"/>
  <c r="AC6" i="4"/>
  <c r="Y6" i="4"/>
  <c r="U6" i="4"/>
  <c r="AB6" i="4"/>
  <c r="AB7" i="4"/>
  <c r="AB8" i="4"/>
  <c r="AB9" i="4"/>
  <c r="AB10" i="4"/>
  <c r="AB11" i="4"/>
  <c r="AB12" i="4"/>
  <c r="AB13" i="4"/>
  <c r="AB14" i="4"/>
  <c r="AB15" i="4"/>
  <c r="AB16" i="4"/>
  <c r="AB17" i="4"/>
  <c r="AB18" i="4"/>
  <c r="AB19" i="4"/>
  <c r="Z6" i="4"/>
  <c r="Z7" i="4"/>
  <c r="Z8" i="4"/>
  <c r="Z9" i="4"/>
  <c r="Z10" i="4"/>
  <c r="Z11" i="4"/>
  <c r="Z12" i="4"/>
  <c r="Z13" i="4"/>
  <c r="Z14" i="4"/>
  <c r="Z15" i="4"/>
  <c r="Z16" i="4"/>
  <c r="Z17" i="4"/>
  <c r="Z18" i="4"/>
  <c r="Z19" i="4"/>
  <c r="X6" i="4"/>
  <c r="X7" i="4"/>
  <c r="X8" i="4"/>
  <c r="X9" i="4"/>
  <c r="X10" i="4"/>
  <c r="X11" i="4"/>
  <c r="X12" i="4"/>
  <c r="X13" i="4"/>
  <c r="X14" i="4"/>
  <c r="X15" i="4"/>
  <c r="X16" i="4"/>
  <c r="X17" i="4"/>
  <c r="X18" i="4"/>
  <c r="X19" i="4"/>
  <c r="V6" i="4"/>
  <c r="V7" i="4"/>
  <c r="V8" i="4"/>
  <c r="V9" i="4"/>
  <c r="V10" i="4"/>
  <c r="V11" i="4"/>
  <c r="V12" i="4"/>
  <c r="V13" i="4"/>
  <c r="V14" i="4"/>
  <c r="V15" i="4"/>
  <c r="V16" i="4"/>
  <c r="V17" i="4"/>
  <c r="V18" i="4"/>
  <c r="V19" i="4"/>
  <c r="T6" i="4"/>
  <c r="T7" i="4"/>
  <c r="T8" i="4"/>
  <c r="T9" i="4"/>
  <c r="T10" i="4"/>
  <c r="T11" i="4"/>
  <c r="T12" i="4"/>
  <c r="T13" i="4"/>
  <c r="T14" i="4"/>
  <c r="T15" i="4"/>
  <c r="T16" i="4"/>
  <c r="T17" i="4"/>
  <c r="T18" i="4"/>
  <c r="T19" i="4"/>
  <c r="T5" i="4"/>
  <c r="V5" i="4"/>
  <c r="X5" i="4"/>
  <c r="X24" i="4" s="1"/>
  <c r="Z5" i="4"/>
  <c r="AB5" i="4"/>
  <c r="AB24" i="4" s="1"/>
  <c r="AC23" i="4"/>
  <c r="AA23" i="4"/>
  <c r="Y23" i="4"/>
  <c r="W23" i="4"/>
  <c r="U23" i="4"/>
  <c r="S23" i="4"/>
  <c r="AC22" i="4"/>
  <c r="AA22" i="4"/>
  <c r="Y22" i="4"/>
  <c r="W22" i="4"/>
  <c r="U22" i="4"/>
  <c r="S22" i="4"/>
  <c r="AC21" i="4"/>
  <c r="AA21" i="4"/>
  <c r="Y21" i="4"/>
  <c r="W21" i="4"/>
  <c r="U21" i="4"/>
  <c r="S21" i="4"/>
  <c r="AA20" i="4"/>
  <c r="W20" i="4"/>
  <c r="S20" i="4"/>
  <c r="AA19" i="4"/>
  <c r="W19" i="4"/>
  <c r="S19" i="4"/>
  <c r="AA18" i="4"/>
  <c r="W18" i="4"/>
  <c r="S18" i="4"/>
  <c r="AA17" i="4"/>
  <c r="W17" i="4"/>
  <c r="S17" i="4"/>
  <c r="AA16" i="4"/>
  <c r="W16" i="4"/>
  <c r="S16" i="4"/>
  <c r="AA15" i="4"/>
  <c r="W15" i="4"/>
  <c r="S15" i="4"/>
  <c r="AA14" i="4"/>
  <c r="W14" i="4"/>
  <c r="S14" i="4"/>
  <c r="AA13" i="4"/>
  <c r="W13" i="4"/>
  <c r="S13" i="4"/>
  <c r="AA12" i="4"/>
  <c r="W12" i="4"/>
  <c r="S12" i="4"/>
  <c r="AA11" i="4"/>
  <c r="W11" i="4"/>
  <c r="S11" i="4"/>
  <c r="AA10" i="4"/>
  <c r="W10" i="4"/>
  <c r="S10" i="4"/>
  <c r="AA9" i="4"/>
  <c r="W9" i="4"/>
  <c r="S9" i="4"/>
  <c r="AA8" i="4"/>
  <c r="W8" i="4"/>
  <c r="S8" i="4"/>
  <c r="AA7" i="4"/>
  <c r="AA24" i="4" s="1"/>
  <c r="W7" i="4"/>
  <c r="S7" i="4"/>
  <c r="P24" i="4"/>
  <c r="S24" i="4"/>
  <c r="Q24" i="4"/>
  <c r="D24" i="4"/>
  <c r="Q12" i="3"/>
  <c r="E12" i="3"/>
  <c r="F12" i="3"/>
  <c r="G12" i="3"/>
  <c r="H12" i="3"/>
  <c r="I12" i="3"/>
  <c r="J12" i="3"/>
  <c r="K12" i="3"/>
  <c r="L12" i="3"/>
  <c r="M12" i="3"/>
  <c r="N12" i="3"/>
  <c r="O12" i="3"/>
  <c r="D12" i="3"/>
  <c r="T24" i="4" l="1"/>
  <c r="Z24" i="4"/>
  <c r="U24" i="4"/>
  <c r="V24" i="4"/>
  <c r="AC24" i="4"/>
  <c r="Y24" i="4"/>
  <c r="W24" i="4"/>
  <c r="AA6" i="3"/>
  <c r="AA7" i="3"/>
  <c r="AA8" i="3"/>
  <c r="AA9" i="3"/>
  <c r="AA10" i="3"/>
  <c r="AA11" i="3"/>
  <c r="AA5" i="3"/>
  <c r="Y6" i="3"/>
  <c r="Y7" i="3"/>
  <c r="Y8" i="3"/>
  <c r="Y9" i="3"/>
  <c r="Y10" i="3"/>
  <c r="Y11" i="3"/>
  <c r="Y5" i="3"/>
  <c r="W6" i="3"/>
  <c r="W7" i="3"/>
  <c r="W8" i="3"/>
  <c r="W9" i="3"/>
  <c r="W10" i="3"/>
  <c r="W11" i="3"/>
  <c r="W5" i="3"/>
  <c r="S6" i="3"/>
  <c r="S7" i="3"/>
  <c r="S8" i="3"/>
  <c r="S9" i="3"/>
  <c r="S10" i="3"/>
  <c r="S11" i="3"/>
  <c r="S5" i="3"/>
  <c r="R6" i="4"/>
  <c r="R7" i="4"/>
  <c r="R8" i="4"/>
  <c r="R9" i="4"/>
  <c r="R10" i="4"/>
  <c r="R11" i="4"/>
  <c r="R12" i="4"/>
  <c r="R13" i="4"/>
  <c r="R14" i="4"/>
  <c r="R15" i="4"/>
  <c r="R16" i="4"/>
  <c r="R17" i="4"/>
  <c r="R18" i="4"/>
  <c r="R19" i="4"/>
  <c r="R20" i="4"/>
  <c r="R5" i="4"/>
  <c r="R21" i="4"/>
  <c r="R22" i="4"/>
  <c r="R23" i="4"/>
  <c r="R6" i="3"/>
  <c r="R5" i="3"/>
  <c r="R7" i="3"/>
  <c r="R8" i="3"/>
  <c r="R9" i="3"/>
  <c r="R10" i="3"/>
  <c r="R11" i="3"/>
  <c r="AB6" i="3"/>
  <c r="AB7" i="3"/>
  <c r="AB8" i="3"/>
  <c r="AB9" i="3"/>
  <c r="AB10" i="3"/>
  <c r="AB5" i="3"/>
  <c r="AB11" i="3"/>
  <c r="Z5" i="3"/>
  <c r="Z6" i="3"/>
  <c r="Z7" i="3"/>
  <c r="Z8" i="3"/>
  <c r="Z9" i="3"/>
  <c r="Z10" i="3"/>
  <c r="Z11" i="3"/>
  <c r="X6" i="3"/>
  <c r="X7" i="3"/>
  <c r="X8" i="3"/>
  <c r="X9" i="3"/>
  <c r="X10" i="3"/>
  <c r="X11" i="3"/>
  <c r="X5" i="3"/>
  <c r="V5" i="3"/>
  <c r="V6" i="3"/>
  <c r="V7" i="3"/>
  <c r="V8" i="3"/>
  <c r="V9" i="3"/>
  <c r="V10" i="3"/>
  <c r="V11" i="3"/>
  <c r="T6" i="3"/>
  <c r="T7" i="3"/>
  <c r="T8" i="3"/>
  <c r="T9" i="3"/>
  <c r="T10" i="3"/>
  <c r="T11" i="3"/>
  <c r="T5" i="3"/>
  <c r="AC6" i="3"/>
  <c r="AC7" i="3"/>
  <c r="AC8" i="3"/>
  <c r="AC9" i="3"/>
  <c r="AC10" i="3"/>
  <c r="AC11" i="3"/>
  <c r="AC5" i="3"/>
  <c r="U6" i="3"/>
  <c r="U7" i="3"/>
  <c r="U8" i="3"/>
  <c r="U9" i="3"/>
  <c r="U10" i="3"/>
  <c r="U11" i="3"/>
  <c r="U5" i="3"/>
  <c r="AD9" i="4"/>
  <c r="AD6" i="4"/>
  <c r="AD11" i="4"/>
  <c r="AD15" i="4"/>
  <c r="AD19" i="4"/>
  <c r="AD23" i="4"/>
  <c r="AD10" i="4"/>
  <c r="AD14" i="4"/>
  <c r="AD18" i="4"/>
  <c r="AD22" i="4"/>
  <c r="AD5" i="4"/>
  <c r="AD8" i="4"/>
  <c r="AD13" i="4"/>
  <c r="AD17" i="4"/>
  <c r="AD21" i="4"/>
  <c r="AD7" i="4"/>
  <c r="AD12" i="4"/>
  <c r="AD16" i="4"/>
  <c r="AD20" i="4"/>
  <c r="P6" i="2"/>
  <c r="P7" i="2"/>
  <c r="P8" i="2"/>
  <c r="P9" i="2"/>
  <c r="P10" i="2"/>
  <c r="P11" i="2"/>
  <c r="P5" i="2"/>
  <c r="Q12" i="2"/>
  <c r="E12" i="2"/>
  <c r="F12" i="2"/>
  <c r="G12" i="2"/>
  <c r="H12" i="2"/>
  <c r="I12" i="2"/>
  <c r="J12" i="2"/>
  <c r="K12" i="2"/>
  <c r="L12" i="2"/>
  <c r="M12" i="2"/>
  <c r="N12" i="2"/>
  <c r="O12" i="2"/>
  <c r="D12" i="2"/>
  <c r="O14" i="3" l="1"/>
  <c r="O26" i="4" s="1"/>
  <c r="AC5" i="2"/>
  <c r="AC6" i="2"/>
  <c r="AC7" i="2"/>
  <c r="AC8" i="2"/>
  <c r="AC9" i="2"/>
  <c r="AC10" i="2"/>
  <c r="AC11" i="2"/>
  <c r="G14" i="3"/>
  <c r="G26" i="4" s="1"/>
  <c r="U5" i="2"/>
  <c r="U6" i="2"/>
  <c r="U7" i="2"/>
  <c r="U8" i="2"/>
  <c r="U9" i="2"/>
  <c r="U10" i="2"/>
  <c r="U11" i="2"/>
  <c r="R24" i="4"/>
  <c r="M14" i="3"/>
  <c r="M26" i="4" s="1"/>
  <c r="AA5" i="2"/>
  <c r="AA6" i="2"/>
  <c r="AA7" i="2"/>
  <c r="AA8" i="2"/>
  <c r="AA9" i="2"/>
  <c r="AA10" i="2"/>
  <c r="AA11" i="2"/>
  <c r="K14" i="3"/>
  <c r="K26" i="4" s="1"/>
  <c r="Y5" i="2"/>
  <c r="Y6" i="2"/>
  <c r="Y7" i="2"/>
  <c r="Y8" i="2"/>
  <c r="Y9" i="2"/>
  <c r="Y10" i="2"/>
  <c r="Y11" i="2"/>
  <c r="I14" i="3"/>
  <c r="I26" i="4" s="1"/>
  <c r="W5" i="2"/>
  <c r="W6" i="2"/>
  <c r="W7" i="2"/>
  <c r="W8" i="2"/>
  <c r="W9" i="2"/>
  <c r="W10" i="2"/>
  <c r="W11" i="2"/>
  <c r="E14" i="3"/>
  <c r="E26" i="4" s="1"/>
  <c r="S6" i="2"/>
  <c r="S7" i="2"/>
  <c r="S8" i="2"/>
  <c r="S9" i="2"/>
  <c r="S10" i="2"/>
  <c r="S11" i="2"/>
  <c r="S5" i="2"/>
  <c r="D14" i="3"/>
  <c r="D26" i="4" s="1"/>
  <c r="R6" i="2"/>
  <c r="R7" i="2"/>
  <c r="R8" i="2"/>
  <c r="R9" i="2"/>
  <c r="R10" i="2"/>
  <c r="R11" i="2"/>
  <c r="R5" i="2"/>
  <c r="N14" i="3"/>
  <c r="N26" i="4" s="1"/>
  <c r="AB6" i="2"/>
  <c r="AB7" i="2"/>
  <c r="AB8" i="2"/>
  <c r="AB9" i="2"/>
  <c r="AB10" i="2"/>
  <c r="AB11" i="2"/>
  <c r="AB5" i="2"/>
  <c r="L14" i="3"/>
  <c r="L26" i="4" s="1"/>
  <c r="Z6" i="2"/>
  <c r="Z7" i="2"/>
  <c r="Z8" i="2"/>
  <c r="Z9" i="2"/>
  <c r="Z10" i="2"/>
  <c r="Z11" i="2"/>
  <c r="Z5" i="2"/>
  <c r="J14" i="3"/>
  <c r="J26" i="4" s="1"/>
  <c r="X6" i="2"/>
  <c r="X7" i="2"/>
  <c r="X8" i="2"/>
  <c r="X9" i="2"/>
  <c r="X10" i="2"/>
  <c r="X11" i="2"/>
  <c r="X5" i="2"/>
  <c r="H14" i="3"/>
  <c r="H26" i="4" s="1"/>
  <c r="V6" i="2"/>
  <c r="V7" i="2"/>
  <c r="V8" i="2"/>
  <c r="V9" i="2"/>
  <c r="V10" i="2"/>
  <c r="V11" i="2"/>
  <c r="V5" i="2"/>
  <c r="F14" i="3"/>
  <c r="F26" i="4" s="1"/>
  <c r="T6" i="2"/>
  <c r="T7" i="2"/>
  <c r="T8" i="2"/>
  <c r="T9" i="2"/>
  <c r="T10" i="2"/>
  <c r="T11" i="2"/>
  <c r="T5" i="2"/>
  <c r="AD24" i="4"/>
  <c r="AD1" i="4"/>
  <c r="B1" i="4"/>
  <c r="B1" i="3"/>
  <c r="AD1" i="3"/>
  <c r="AD2" i="2"/>
  <c r="O3" i="4" s="1"/>
  <c r="B2" i="3"/>
  <c r="M3" i="4" l="1"/>
  <c r="N3" i="4"/>
  <c r="AB3" i="4" s="1"/>
  <c r="K3" i="4"/>
  <c r="Y3" i="4" s="1"/>
  <c r="L3" i="4"/>
  <c r="Z3" i="4" s="1"/>
  <c r="I3" i="4"/>
  <c r="W3" i="4" s="1"/>
  <c r="J3" i="4"/>
  <c r="X3" i="4" s="1"/>
  <c r="G3" i="4"/>
  <c r="H3" i="4"/>
  <c r="V3" i="4" s="1"/>
  <c r="F3" i="4"/>
  <c r="T3" i="4" s="1"/>
  <c r="D3" i="4"/>
  <c r="R3" i="4" s="1"/>
  <c r="E3" i="4"/>
  <c r="N3" i="3"/>
  <c r="AB3" i="3" s="1"/>
  <c r="O3" i="3"/>
  <c r="AC3" i="3" s="1"/>
  <c r="L3" i="3"/>
  <c r="Z3" i="3" s="1"/>
  <c r="M3" i="3"/>
  <c r="AA3" i="3" s="1"/>
  <c r="J3" i="3"/>
  <c r="X3" i="3" s="1"/>
  <c r="K3" i="3"/>
  <c r="Y3" i="3" s="1"/>
  <c r="H3" i="3"/>
  <c r="V3" i="3" s="1"/>
  <c r="I3" i="3"/>
  <c r="W3" i="3" s="1"/>
  <c r="F3" i="3"/>
  <c r="T3" i="3" s="1"/>
  <c r="G3" i="3"/>
  <c r="U3" i="3" s="1"/>
  <c r="D3" i="3"/>
  <c r="R3" i="3" s="1"/>
  <c r="E3" i="3"/>
  <c r="S3" i="3" s="1"/>
  <c r="N3" i="2"/>
  <c r="AB3" i="2" s="1"/>
  <c r="O3" i="2"/>
  <c r="AC3" i="2" s="1"/>
  <c r="L3" i="2"/>
  <c r="Z3" i="2" s="1"/>
  <c r="M3" i="2"/>
  <c r="AA3" i="2" s="1"/>
  <c r="J3" i="2"/>
  <c r="X3" i="2" s="1"/>
  <c r="K3" i="2"/>
  <c r="Y3" i="2" s="1"/>
  <c r="H3" i="2"/>
  <c r="V3" i="2" s="1"/>
  <c r="I3" i="2"/>
  <c r="W3" i="2" s="1"/>
  <c r="F3" i="2"/>
  <c r="T3" i="2" s="1"/>
  <c r="G3" i="2"/>
  <c r="U3" i="2" s="1"/>
  <c r="D3" i="2"/>
  <c r="R3" i="2" s="1"/>
  <c r="E3" i="2"/>
  <c r="S3" i="2" s="1"/>
  <c r="AC3" i="4"/>
  <c r="AA3" i="4"/>
  <c r="S3" i="4"/>
  <c r="U3" i="4"/>
  <c r="AD2" i="4"/>
  <c r="AC2" i="4"/>
  <c r="AD2" i="3"/>
  <c r="AC2" i="3"/>
  <c r="P12" i="2" l="1"/>
  <c r="P12" i="3"/>
  <c r="P14" i="3" l="1"/>
  <c r="P26" i="4" s="1"/>
  <c r="AD5" i="3"/>
  <c r="AD11" i="3"/>
  <c r="AD7" i="3"/>
  <c r="AD8" i="3"/>
  <c r="AD9" i="3"/>
  <c r="AD10" i="3"/>
  <c r="AD6" i="3"/>
  <c r="AD5" i="2"/>
  <c r="AD11" i="2"/>
  <c r="AD7" i="2"/>
  <c r="AD8" i="2"/>
  <c r="AD9" i="2"/>
  <c r="AD10" i="2"/>
  <c r="AD6" i="2"/>
  <c r="AB12" i="3"/>
  <c r="T12" i="3"/>
  <c r="X12" i="3"/>
  <c r="AC12" i="3"/>
  <c r="S12" i="3"/>
  <c r="AA12" i="3"/>
  <c r="W12" i="3"/>
  <c r="Z12" i="3" l="1"/>
  <c r="R12" i="3"/>
  <c r="U12" i="3"/>
  <c r="V12" i="3"/>
  <c r="Y12" i="3"/>
  <c r="R12" i="2"/>
  <c r="Z12" i="2"/>
  <c r="S12" i="2"/>
  <c r="W12" i="2"/>
  <c r="AA12" i="2"/>
  <c r="V12" i="2"/>
  <c r="X12" i="2"/>
  <c r="T12" i="2"/>
  <c r="AB12" i="2"/>
  <c r="U12" i="2"/>
  <c r="AC12" i="2"/>
  <c r="Y12" i="2"/>
  <c r="X26" i="4"/>
  <c r="Z14" i="3"/>
  <c r="AD12" i="3" l="1"/>
  <c r="AD12" i="2"/>
  <c r="T26" i="4"/>
  <c r="V26" i="4"/>
  <c r="AB26" i="4"/>
  <c r="U26" i="4"/>
  <c r="R26" i="4"/>
  <c r="AD26" i="4"/>
  <c r="S26" i="4"/>
  <c r="W26" i="4"/>
  <c r="AA26" i="4"/>
  <c r="AC26" i="4"/>
  <c r="Z26" i="4"/>
  <c r="Y26" i="4"/>
  <c r="AA14" i="3"/>
  <c r="U14" i="3"/>
  <c r="AD14" i="3"/>
  <c r="V14" i="3"/>
  <c r="T14" i="3"/>
  <c r="X14" i="3"/>
  <c r="W14" i="3"/>
  <c r="AB14" i="3"/>
  <c r="Y14" i="3"/>
  <c r="AC14" i="3"/>
  <c r="R14" i="3"/>
  <c r="S14" i="3"/>
</calcChain>
</file>

<file path=xl/sharedStrings.xml><?xml version="1.0" encoding="utf-8"?>
<sst xmlns="http://schemas.openxmlformats.org/spreadsheetml/2006/main" count="159" uniqueCount="78">
  <si>
    <t>Двенадцать месяцев</t>
  </si>
  <si>
    <t>ОЦЕНКА ПРИБЫЛЕЙ И УБЫТКОВ</t>
  </si>
  <si>
    <t>ДОХОДЫ (ПРОДАЖИ)</t>
  </si>
  <si>
    <t>Доход 1</t>
  </si>
  <si>
    <t>Доход 2</t>
  </si>
  <si>
    <t>Доход 3</t>
  </si>
  <si>
    <t>Доход 4</t>
  </si>
  <si>
    <t>Доход 5</t>
  </si>
  <si>
    <t>Доход 6</t>
  </si>
  <si>
    <t>Доход 7</t>
  </si>
  <si>
    <t>ОБЪЕМ ПРОДАЖ</t>
  </si>
  <si>
    <t>ТРЕНД</t>
  </si>
  <si>
    <t>Янв</t>
  </si>
  <si>
    <t>Фев</t>
  </si>
  <si>
    <t>Мар</t>
  </si>
  <si>
    <t>Апр</t>
  </si>
  <si>
    <t>Май</t>
  </si>
  <si>
    <t>Июн</t>
  </si>
  <si>
    <t>Июл</t>
  </si>
  <si>
    <t>Авг</t>
  </si>
  <si>
    <t>Сен</t>
  </si>
  <si>
    <t>Окт</t>
  </si>
  <si>
    <t>Ноя</t>
  </si>
  <si>
    <t>Дек</t>
  </si>
  <si>
    <t>ЗА ГОД</t>
  </si>
  <si>
    <t>За год</t>
  </si>
  <si>
    <t>ИНД (%)</t>
  </si>
  <si>
    <t>Индекс (%)</t>
  </si>
  <si>
    <t>Янв (%)</t>
  </si>
  <si>
    <t>Фев (%)</t>
  </si>
  <si>
    <t>Мар (%)</t>
  </si>
  <si>
    <t>Апр (%)</t>
  </si>
  <si>
    <t>Май (%)</t>
  </si>
  <si>
    <t>Июн (%)</t>
  </si>
  <si>
    <t>Июл (%)</t>
  </si>
  <si>
    <t>Авг (%)</t>
  </si>
  <si>
    <t>Сен (%)</t>
  </si>
  <si>
    <t>Окт (%)</t>
  </si>
  <si>
    <t>НАЧАЛО ФИН. ГОДА:</t>
  </si>
  <si>
    <t>Ноя (%)</t>
  </si>
  <si>
    <t>ЯНВ</t>
  </si>
  <si>
    <t>Дек (%)</t>
  </si>
  <si>
    <t>Название организации</t>
  </si>
  <si>
    <t>ГОД (%)</t>
  </si>
  <si>
    <t>Год (%)</t>
  </si>
  <si>
    <t>СЕБЕСТОИМОСТЬ ПРОДАЖ</t>
  </si>
  <si>
    <t>Себестоимость 1</t>
  </si>
  <si>
    <t>Себестоимость 2</t>
  </si>
  <si>
    <t>Себестоимость 3</t>
  </si>
  <si>
    <t>Себестоимость 4</t>
  </si>
  <si>
    <t>Себестоимость 5</t>
  </si>
  <si>
    <t>Себестоимость 6</t>
  </si>
  <si>
    <t>Себестоимость 7</t>
  </si>
  <si>
    <t>ОБЩАЯ СЕБЕСТОИМОСТЬ</t>
  </si>
  <si>
    <t>Валовая прибыль</t>
  </si>
  <si>
    <t>ФИНАНСОВЫЙ ГОД:</t>
  </si>
  <si>
    <t>РАСХОДЫ</t>
  </si>
  <si>
    <t xml:space="preserve">Расходы на заработную плату </t>
  </si>
  <si>
    <t xml:space="preserve">Расходы на оплату труда </t>
  </si>
  <si>
    <t>Сторонние услуги</t>
  </si>
  <si>
    <t>Расходные материалы (офисные и текущие)</t>
  </si>
  <si>
    <t>Ремонт и обслуживание</t>
  </si>
  <si>
    <t>Реклама</t>
  </si>
  <si>
    <t>Транспорт</t>
  </si>
  <si>
    <t>Аренда</t>
  </si>
  <si>
    <t>Телефонная связь</t>
  </si>
  <si>
    <t>Коммунальные услуги</t>
  </si>
  <si>
    <t>Страховка</t>
  </si>
  <si>
    <t>Налоги (на недвижимость и т. д.)</t>
  </si>
  <si>
    <t>Амортизация</t>
  </si>
  <si>
    <t>Прочие расходы (укажите)</t>
  </si>
  <si>
    <t>Прочие (без уточнения)</t>
  </si>
  <si>
    <t>ОБЩИЕ РАСХОДЫ</t>
  </si>
  <si>
    <t>Чистая прибыль</t>
  </si>
  <si>
    <t xml:space="preserve"> </t>
  </si>
  <si>
    <t>Столбец1</t>
  </si>
  <si>
    <t>Бухгалтерские и юридические услуги</t>
  </si>
  <si>
    <t>Проценты по кредиту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</si>
</sst>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42" formatCode="_-* #,##0\ &quot;₽&quot;_-;\-* #,##0\ &quot;₽&quot;_-;_-* &quot;-&quot;\ &quot;₽&quot;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* #,##0.00_);_(* \(#,##0.00\);_(* &quot;-&quot;??_);_(@_)"/>
    <numFmt numFmtId="167" formatCode=";;;"/>
    <numFmt numFmtId="168" formatCode="0%;;&quot;-&quot;;"/>
    <numFmt numFmtId="169" formatCode="[$-F419]yyyy\,\ mmmm;@"/>
  </numFmts>
  <fonts count="26" x14ac:knownFonts="1">
    <font>
      <sz val="11"/>
      <color theme="1"/>
      <name val="Century Gothic"/>
      <family val="2"/>
      <scheme val="minor"/>
    </font>
    <font>
      <sz val="11"/>
      <color theme="1"/>
      <name val="Century Gothic"/>
      <family val="2"/>
      <scheme val="minor"/>
    </font>
    <font>
      <b/>
      <sz val="12"/>
      <color theme="0"/>
      <name val="Century Gothic"/>
      <family val="2"/>
      <scheme val="minor"/>
    </font>
    <font>
      <b/>
      <sz val="12"/>
      <color theme="8"/>
      <name val="Bookman Old Style"/>
      <family val="1"/>
      <scheme val="major"/>
    </font>
    <font>
      <b/>
      <sz val="26"/>
      <color theme="3"/>
      <name val="Century Gothic"/>
      <family val="2"/>
      <scheme val="minor"/>
    </font>
    <font>
      <b/>
      <sz val="22"/>
      <color theme="3"/>
      <name val="Century Gothic"/>
      <family val="2"/>
      <scheme val="minor"/>
    </font>
    <font>
      <b/>
      <sz val="12"/>
      <color theme="3"/>
      <name val="Century Gothic"/>
      <family val="2"/>
      <scheme val="minor"/>
    </font>
    <font>
      <b/>
      <i/>
      <sz val="22"/>
      <color theme="7"/>
      <name val="Bookman Old Style"/>
      <family val="1"/>
      <scheme val="major"/>
    </font>
    <font>
      <b/>
      <sz val="11"/>
      <color theme="8"/>
      <name val="Century Gothic"/>
      <family val="2"/>
      <scheme val="minor"/>
    </font>
    <font>
      <b/>
      <sz val="11"/>
      <color theme="0"/>
      <name val="Century Gothic"/>
      <family val="2"/>
      <scheme val="minor"/>
    </font>
    <font>
      <sz val="11"/>
      <color theme="3"/>
      <name val="Bookman Old Style"/>
      <family val="1"/>
      <scheme val="major"/>
    </font>
    <font>
      <sz val="11"/>
      <name val="Century Gothic"/>
      <family val="2"/>
      <scheme val="minor"/>
    </font>
    <font>
      <b/>
      <i/>
      <sz val="16"/>
      <color theme="7" tint="-0.24994659260841701"/>
      <name val="Bookman Old Style"/>
      <family val="1"/>
      <scheme val="major"/>
    </font>
    <font>
      <b/>
      <i/>
      <sz val="22"/>
      <color theme="7" tint="-0.24994659260841701"/>
      <name val="Bookman Old Style"/>
      <family val="1"/>
      <scheme val="major"/>
    </font>
    <font>
      <sz val="11"/>
      <color theme="1"/>
      <name val="Century Gothic"/>
      <family val="2"/>
      <scheme val="minor"/>
    </font>
    <font>
      <b/>
      <i/>
      <sz val="16"/>
      <color theme="7" tint="-0.24994659260841701"/>
      <name val="Bookman Old Style"/>
      <family val="1"/>
      <scheme val="major"/>
    </font>
    <font>
      <b/>
      <i/>
      <sz val="22"/>
      <color theme="7"/>
      <name val="Bookman Old Style"/>
      <family val="1"/>
      <scheme val="major"/>
    </font>
    <font>
      <b/>
      <i/>
      <sz val="22"/>
      <color theme="7" tint="-0.24994659260841701"/>
      <name val="Bookman Old Style"/>
      <family val="1"/>
      <scheme val="major"/>
    </font>
    <font>
      <b/>
      <sz val="22"/>
      <color theme="3"/>
      <name val="Century Gothic"/>
      <family val="2"/>
      <scheme val="minor"/>
    </font>
    <font>
      <b/>
      <sz val="26"/>
      <color theme="3"/>
      <name val="Century Gothic"/>
      <family val="2"/>
      <scheme val="minor"/>
    </font>
    <font>
      <b/>
      <sz val="11"/>
      <color theme="8"/>
      <name val="Century Gothic"/>
      <family val="2"/>
      <scheme val="minor"/>
    </font>
    <font>
      <b/>
      <sz val="12"/>
      <color theme="8"/>
      <name val="Bookman Old Style"/>
      <family val="1"/>
      <scheme val="major"/>
    </font>
    <font>
      <sz val="11"/>
      <color theme="3"/>
      <name val="Bookman Old Style"/>
      <family val="1"/>
      <scheme val="major"/>
    </font>
    <font>
      <b/>
      <sz val="12"/>
      <color theme="3"/>
      <name val="Century Gothic"/>
      <family val="2"/>
      <scheme val="minor"/>
    </font>
    <font>
      <sz val="10"/>
      <color theme="1"/>
      <name val="Century Gothic"/>
      <family val="2"/>
      <scheme val="minor"/>
    </font>
    <font>
      <sz val="11"/>
      <name val="Century Gothic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CC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6" tint="0.39994506668294322"/>
        <bgColor indexed="64"/>
      </patternFill>
    </fill>
  </fills>
  <borders count="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tted">
        <color theme="3"/>
      </bottom>
      <diagonal/>
    </border>
    <border>
      <left/>
      <right/>
      <top style="thin">
        <color theme="0"/>
      </top>
      <bottom/>
      <diagonal/>
    </border>
  </borders>
  <cellStyleXfs count="19">
    <xf numFmtId="0" fontId="0" fillId="0" borderId="0"/>
    <xf numFmtId="9" fontId="11" fillId="0" borderId="0" applyFill="0" applyBorder="0" applyProtection="0">
      <alignment horizontal="right"/>
    </xf>
    <xf numFmtId="0" fontId="5" fillId="0" borderId="0" applyNumberFormat="0" applyFill="0" applyBorder="0" applyProtection="0">
      <alignment vertical="center"/>
    </xf>
    <xf numFmtId="0" fontId="12" fillId="0" borderId="3" applyProtection="0">
      <alignment vertical="center"/>
    </xf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2" fontId="11" fillId="0" borderId="0" applyFill="0" applyBorder="0" applyAlignment="0" applyProtection="0"/>
    <xf numFmtId="0" fontId="1" fillId="4" borderId="1" applyNumberFormat="0" applyFont="0" applyAlignment="0" applyProtection="0"/>
    <xf numFmtId="0" fontId="2" fillId="2" borderId="0">
      <alignment horizontal="right" vertical="center" indent="1"/>
    </xf>
    <xf numFmtId="42" fontId="9" fillId="2" borderId="0" applyBorder="0" applyAlignment="0" applyProtection="0"/>
    <xf numFmtId="9" fontId="9" fillId="2" borderId="0" applyBorder="0" applyAlignment="0" applyProtection="0"/>
    <xf numFmtId="0" fontId="1" fillId="0" borderId="0">
      <alignment horizontal="right" wrapText="1" indent="1"/>
    </xf>
    <xf numFmtId="0" fontId="13" fillId="0" borderId="0" applyFill="0" applyProtection="0">
      <alignment horizontal="right" vertical="center"/>
    </xf>
    <xf numFmtId="0" fontId="3" fillId="0" borderId="0" applyFill="0" applyProtection="0">
      <alignment horizontal="right" vertical="center"/>
    </xf>
    <xf numFmtId="169" fontId="10" fillId="0" borderId="2" applyFill="0" applyProtection="0">
      <alignment horizontal="center" vertical="center"/>
    </xf>
    <xf numFmtId="0" fontId="6" fillId="0" borderId="0">
      <alignment horizontal="right" indent="1"/>
    </xf>
    <xf numFmtId="164" fontId="1" fillId="5" borderId="4" applyNumberFormat="0" applyFont="0" applyAlignment="0">
      <alignment horizontal="center"/>
    </xf>
    <xf numFmtId="42" fontId="11" fillId="3" borderId="4" applyFont="0" applyAlignment="0"/>
    <xf numFmtId="164" fontId="11" fillId="6" borderId="4" applyNumberFormat="0" applyFont="0" applyAlignment="0"/>
  </cellStyleXfs>
  <cellXfs count="69">
    <xf numFmtId="0" fontId="0" fillId="0" borderId="0" xfId="0"/>
    <xf numFmtId="0" fontId="0" fillId="0" borderId="0" xfId="0" applyBorder="1"/>
    <xf numFmtId="0" fontId="0" fillId="0" borderId="0" xfId="0" applyAlignment="1"/>
    <xf numFmtId="0" fontId="4" fillId="0" borderId="0" xfId="0" applyFont="1" applyBorder="1" applyAlignment="1">
      <alignment vertical="center"/>
    </xf>
    <xf numFmtId="0" fontId="5" fillId="0" borderId="0" xfId="2" applyBorder="1" applyAlignment="1">
      <alignment vertical="center"/>
    </xf>
    <xf numFmtId="0" fontId="8" fillId="0" borderId="0" xfId="0" applyFont="1"/>
    <xf numFmtId="0" fontId="0" fillId="0" borderId="0" xfId="0" applyNumberFormat="1"/>
    <xf numFmtId="0" fontId="7" fillId="0" borderId="0" xfId="0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right" indent="1"/>
    </xf>
    <xf numFmtId="0" fontId="0" fillId="0" borderId="0" xfId="0" applyFont="1" applyFill="1" applyBorder="1" applyAlignment="1">
      <alignment horizontal="center"/>
    </xf>
    <xf numFmtId="0" fontId="0" fillId="0" borderId="0" xfId="0"/>
    <xf numFmtId="0" fontId="0" fillId="0" borderId="0" xfId="0" applyFont="1"/>
    <xf numFmtId="0" fontId="2" fillId="2" borderId="0" xfId="8">
      <alignment horizontal="right" vertical="center" indent="1"/>
    </xf>
    <xf numFmtId="42" fontId="9" fillId="2" borderId="0" xfId="9" applyFill="1" applyAlignment="1">
      <alignment horizontal="right" vertical="center" indent="1"/>
    </xf>
    <xf numFmtId="9" fontId="9" fillId="2" borderId="0" xfId="10" applyFill="1" applyAlignment="1">
      <alignment horizontal="right" vertical="center" indent="1"/>
    </xf>
    <xf numFmtId="0" fontId="1" fillId="0" borderId="0" xfId="11">
      <alignment horizontal="right" wrapText="1" indent="1"/>
    </xf>
    <xf numFmtId="0" fontId="0" fillId="0" borderId="0" xfId="0" applyAlignment="1">
      <alignment horizontal="center"/>
    </xf>
    <xf numFmtId="0" fontId="13" fillId="0" borderId="0" xfId="12">
      <alignment horizontal="right" vertical="center"/>
    </xf>
    <xf numFmtId="0" fontId="3" fillId="0" borderId="0" xfId="13">
      <alignment horizontal="right" vertical="center"/>
    </xf>
    <xf numFmtId="169" fontId="10" fillId="0" borderId="2" xfId="14">
      <alignment horizontal="center" vertical="center"/>
    </xf>
    <xf numFmtId="0" fontId="12" fillId="0" borderId="3" xfId="3">
      <alignment vertical="center"/>
    </xf>
    <xf numFmtId="167" fontId="0" fillId="0" borderId="0" xfId="0" applyNumberFormat="1" applyFont="1" applyFill="1" applyBorder="1" applyAlignment="1">
      <alignment horizontal="center"/>
    </xf>
    <xf numFmtId="167" fontId="0" fillId="0" borderId="0" xfId="0" applyNumberFormat="1" applyFont="1" applyFill="1" applyBorder="1" applyAlignment="1">
      <alignment horizontal="right"/>
    </xf>
    <xf numFmtId="0" fontId="0" fillId="0" borderId="0" xfId="11" applyFont="1" applyFill="1" applyBorder="1">
      <alignment horizontal="right" wrapText="1" indent="1"/>
    </xf>
    <xf numFmtId="42" fontId="0" fillId="0" borderId="0" xfId="6" applyFont="1" applyFill="1" applyBorder="1"/>
    <xf numFmtId="9" fontId="0" fillId="0" borderId="0" xfId="1" applyFont="1" applyFill="1" applyBorder="1" applyAlignment="1">
      <alignment horizontal="right"/>
    </xf>
    <xf numFmtId="0" fontId="0" fillId="0" borderId="0" xfId="0" applyFont="1" applyFill="1" applyBorder="1"/>
    <xf numFmtId="9" fontId="0" fillId="0" borderId="0" xfId="0" applyNumberFormat="1" applyFont="1" applyFill="1" applyBorder="1" applyAlignment="1">
      <alignment horizontal="right"/>
    </xf>
    <xf numFmtId="0" fontId="6" fillId="0" borderId="0" xfId="15">
      <alignment horizontal="right" indent="1"/>
    </xf>
    <xf numFmtId="0" fontId="5" fillId="0" borderId="0" xfId="2" applyBorder="1">
      <alignment vertical="center"/>
    </xf>
    <xf numFmtId="0" fontId="0" fillId="3" borderId="4" xfId="17" applyNumberFormat="1" applyFont="1"/>
    <xf numFmtId="0" fontId="0" fillId="6" borderId="4" xfId="18" applyNumberFormat="1" applyFont="1" applyAlignment="1">
      <alignment horizontal="center"/>
    </xf>
    <xf numFmtId="42" fontId="11" fillId="6" borderId="4" xfId="6" applyFill="1" applyBorder="1"/>
    <xf numFmtId="9" fontId="11" fillId="6" borderId="4" xfId="1" applyFill="1" applyBorder="1" applyAlignment="1">
      <alignment horizontal="right"/>
    </xf>
    <xf numFmtId="42" fontId="0" fillId="0" borderId="0" xfId="0" applyNumberFormat="1" applyFont="1" applyFill="1" applyBorder="1"/>
    <xf numFmtId="42" fontId="0" fillId="0" borderId="0" xfId="6" applyNumberFormat="1" applyFont="1" applyFill="1" applyBorder="1"/>
    <xf numFmtId="42" fontId="0" fillId="3" borderId="4" xfId="17" applyNumberFormat="1" applyFont="1"/>
    <xf numFmtId="42" fontId="9" fillId="2" borderId="0" xfId="9" applyNumberFormat="1" applyFill="1" applyAlignment="1">
      <alignment horizontal="right" vertical="center" indent="1"/>
    </xf>
    <xf numFmtId="168" fontId="0" fillId="0" borderId="0" xfId="0" applyNumberFormat="1" applyFont="1" applyFill="1" applyBorder="1" applyAlignment="1">
      <alignment horizontal="right"/>
    </xf>
    <xf numFmtId="9" fontId="11" fillId="3" borderId="4" xfId="17" applyNumberFormat="1" applyAlignment="1">
      <alignment horizontal="right"/>
    </xf>
    <xf numFmtId="169" fontId="10" fillId="0" borderId="2" xfId="14" applyNumberFormat="1">
      <alignment horizontal="center" vertical="center"/>
    </xf>
    <xf numFmtId="42" fontId="0" fillId="0" borderId="0" xfId="0" applyNumberFormat="1"/>
    <xf numFmtId="0" fontId="14" fillId="0" borderId="0" xfId="0" applyNumberFormat="1" applyFont="1"/>
    <xf numFmtId="0" fontId="15" fillId="0" borderId="3" xfId="3" applyFont="1">
      <alignment vertical="center"/>
    </xf>
    <xf numFmtId="0" fontId="14" fillId="0" borderId="0" xfId="0" applyFont="1"/>
    <xf numFmtId="0" fontId="14" fillId="0" borderId="0" xfId="0" applyFont="1" applyAlignment="1">
      <alignment horizontal="center"/>
    </xf>
    <xf numFmtId="0" fontId="16" fillId="0" borderId="0" xfId="0" applyFont="1" applyBorder="1" applyAlignment="1">
      <alignment horizontal="right" vertical="center"/>
    </xf>
    <xf numFmtId="0" fontId="17" fillId="0" borderId="0" xfId="12" applyFont="1">
      <alignment horizontal="right" vertical="center"/>
    </xf>
    <xf numFmtId="0" fontId="18" fillId="0" borderId="0" xfId="2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20" fillId="0" borderId="0" xfId="0" applyFont="1"/>
    <xf numFmtId="0" fontId="21" fillId="0" borderId="0" xfId="13" applyFont="1">
      <alignment horizontal="right" vertical="center"/>
    </xf>
    <xf numFmtId="0" fontId="21" fillId="0" borderId="0" xfId="13" applyNumberFormat="1" applyFont="1">
      <alignment horizontal="right" vertical="center"/>
    </xf>
    <xf numFmtId="169" fontId="22" fillId="0" borderId="2" xfId="14" applyNumberFormat="1" applyFont="1">
      <alignment horizontal="center" vertical="center"/>
    </xf>
    <xf numFmtId="0" fontId="23" fillId="0" borderId="0" xfId="15" applyFont="1">
      <alignment horizontal="right" indent="1"/>
    </xf>
    <xf numFmtId="167" fontId="14" fillId="0" borderId="0" xfId="0" applyNumberFormat="1" applyFont="1" applyFill="1" applyBorder="1" applyAlignment="1">
      <alignment horizontal="center"/>
    </xf>
    <xf numFmtId="167" fontId="14" fillId="0" borderId="0" xfId="0" applyNumberFormat="1" applyFont="1" applyFill="1" applyBorder="1" applyAlignment="1">
      <alignment horizontal="right"/>
    </xf>
    <xf numFmtId="0" fontId="14" fillId="0" borderId="0" xfId="11" applyFont="1">
      <alignment horizontal="right" wrapText="1" indent="1"/>
    </xf>
    <xf numFmtId="0" fontId="24" fillId="5" borderId="4" xfId="16" applyNumberFormat="1" applyFont="1" applyAlignment="1">
      <alignment horizontal="center"/>
    </xf>
    <xf numFmtId="42" fontId="25" fillId="0" borderId="0" xfId="6" applyNumberFormat="1" applyFont="1" applyFill="1" applyBorder="1"/>
    <xf numFmtId="42" fontId="25" fillId="5" borderId="4" xfId="6" applyNumberFormat="1" applyFont="1" applyFill="1" applyBorder="1" applyAlignment="1">
      <alignment horizontal="center"/>
    </xf>
    <xf numFmtId="9" fontId="25" fillId="0" borderId="0" xfId="1" applyFont="1" applyFill="1" applyBorder="1" applyAlignment="1">
      <alignment horizontal="right"/>
    </xf>
    <xf numFmtId="9" fontId="25" fillId="5" borderId="4" xfId="1" applyFont="1" applyFill="1" applyBorder="1" applyAlignment="1">
      <alignment horizontal="right"/>
    </xf>
    <xf numFmtId="9" fontId="25" fillId="5" borderId="4" xfId="1" applyFont="1" applyFill="1" applyBorder="1">
      <alignment horizontal="right"/>
    </xf>
    <xf numFmtId="0" fontId="14" fillId="0" borderId="0" xfId="0" applyFont="1" applyFill="1" applyBorder="1" applyAlignment="1">
      <alignment horizontal="right" indent="1"/>
    </xf>
    <xf numFmtId="0" fontId="14" fillId="0" borderId="0" xfId="0" applyFont="1" applyFill="1" applyBorder="1"/>
    <xf numFmtId="42" fontId="14" fillId="0" borderId="0" xfId="0" applyNumberFormat="1" applyFont="1" applyFill="1" applyBorder="1"/>
    <xf numFmtId="9" fontId="14" fillId="0" borderId="0" xfId="0" applyNumberFormat="1" applyFont="1" applyFill="1" applyBorder="1" applyAlignment="1">
      <alignment horizontal="right"/>
    </xf>
  </cellXfs>
  <cellStyles count="19">
    <cellStyle name="Данные таблицы" xfId="11" xr:uid="{00000000-0005-0000-0000-000000000000}"/>
    <cellStyle name="Денежный [0]" xfId="6" builtinId="7" customBuiltin="1"/>
    <cellStyle name="Заголовок 1" xfId="3" builtinId="16" customBuiltin="1"/>
    <cellStyle name="Заголовок 2" xfId="12" builtinId="17" customBuiltin="1"/>
    <cellStyle name="Заголовок 3" xfId="13" builtinId="18" customBuiltin="1"/>
    <cellStyle name="Заголовок 4" xfId="14" builtinId="19" customBuiltin="1"/>
    <cellStyle name="Заголовок таблицы 1" xfId="15" xr:uid="{00000000-0005-0000-0000-000006000000}"/>
    <cellStyle name="Заполнение доходов" xfId="16" xr:uid="{00000000-0005-0000-0000-000007000000}"/>
    <cellStyle name="Заполнение расходов" xfId="18" xr:uid="{00000000-0005-0000-0000-000008000000}"/>
    <cellStyle name="Заполнение себестоимости продаж" xfId="17" xr:uid="{00000000-0005-0000-0000-000009000000}"/>
    <cellStyle name="Название" xfId="2" builtinId="15" customBuiltin="1"/>
    <cellStyle name="Обычный" xfId="0" builtinId="0" customBuiltin="1"/>
    <cellStyle name="Прибыль" xfId="8" xr:uid="{00000000-0005-0000-0000-00000C000000}"/>
    <cellStyle name="Примечание" xfId="7" builtinId="10" customBuiltin="1"/>
    <cellStyle name="Процент прибыли" xfId="10" xr:uid="{00000000-0005-0000-0000-00000E000000}"/>
    <cellStyle name="Процентный" xfId="1" builtinId="5" customBuiltin="1"/>
    <cellStyle name="Сумма прибыли" xfId="9" xr:uid="{00000000-0005-0000-0000-000010000000}"/>
    <cellStyle name="Финансовый" xfId="4" builtinId="3" customBuiltin="1"/>
    <cellStyle name="Финансовый [0]" xfId="5" builtinId="6" customBuiltin="1"/>
  </cellStyles>
  <dxfs count="13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32" formatCode="_-* #,##0\ &quot;₽&quot;_-;\-* #,##0\ &quot;₽&quot;_-;_-* &quot;-&quot;\ &quot;₽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32" formatCode="_-* #,##0\ &quot;₽&quot;_-;\-* #,##0\ &quot;₽&quot;_-;_-* &quot;-&quot;\ &quot;₽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32" formatCode="_-* #,##0\ &quot;₽&quot;_-;\-* #,##0\ &quot;₽&quot;_-;_-* &quot;-&quot;\ &quot;₽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32" formatCode="_-* #,##0\ &quot;₽&quot;_-;\-* #,##0\ &quot;₽&quot;_-;_-* &quot;-&quot;\ &quot;₽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32" formatCode="_-* #,##0\ &quot;₽&quot;_-;\-* #,##0\ &quot;₽&quot;_-;_-* &quot;-&quot;\ &quot;₽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32" formatCode="_-* #,##0\ &quot;₽&quot;_-;\-* #,##0\ &quot;₽&quot;_-;_-* &quot;-&quot;\ &quot;₽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32" formatCode="_-* #,##0\ &quot;₽&quot;_-;\-* #,##0\ &quot;₽&quot;_-;_-* &quot;-&quot;\ &quot;₽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32" formatCode="_-* #,##0\ &quot;₽&quot;_-;\-* #,##0\ &quot;₽&quot;_-;_-* &quot;-&quot;\ &quot;₽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32" formatCode="_-* #,##0\ &quot;₽&quot;_-;\-* #,##0\ &quot;₽&quot;_-;_-* &quot;-&quot;\ &quot;₽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32" formatCode="_-* #,##0\ &quot;₽&quot;_-;\-* #,##0\ &quot;₽&quot;_-;_-* &quot;-&quot;\ &quot;₽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32" formatCode="_-* #,##0\ &quot;₽&quot;_-;\-* #,##0\ &quot;₽&quot;_-;_-* &quot;-&quot;\ &quot;₽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32" formatCode="_-* #,##0\ &quot;₽&quot;_-;\-* #,##0\ &quot;₽&quot;_-;_-* &quot;-&quot;\ &quot;₽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32" formatCode="_-* #,##0\ &quot;₽&quot;_-;\-* #,##0\ &quot;₽&quot;_-;_-* &quot;-&quot;\ &quot;₽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68" formatCode="0%;;&quot;-&quot;;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32" formatCode="_-* #,##0\ &quot;₽&quot;_-;\-* #,##0\ &quot;₽&quot;_-;_-* &quot;-&quot;\ &quot;₽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32" formatCode="_-* #,##0\ &quot;₽&quot;_-;\-* #,##0\ &quot;₽&quot;_-;_-* &quot;-&quot;\ &quot;₽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32" formatCode="_-* #,##0\ &quot;₽&quot;_-;\-* #,##0\ &quot;₽&quot;_-;_-* &quot;-&quot;\ &quot;₽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32" formatCode="_-* #,##0\ &quot;₽&quot;_-;\-* #,##0\ &quot;₽&quot;_-;_-* &quot;-&quot;\ &quot;₽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32" formatCode="_-* #,##0\ &quot;₽&quot;_-;\-* #,##0\ &quot;₽&quot;_-;_-* &quot;-&quot;\ &quot;₽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32" formatCode="_-* #,##0\ &quot;₽&quot;_-;\-* #,##0\ &quot;₽&quot;_-;_-* &quot;-&quot;\ &quot;₽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32" formatCode="_-* #,##0\ &quot;₽&quot;_-;\-* #,##0\ &quot;₽&quot;_-;_-* &quot;-&quot;\ &quot;₽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32" formatCode="_-* #,##0\ &quot;₽&quot;_-;\-* #,##0\ &quot;₽&quot;_-;_-* &quot;-&quot;\ &quot;₽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32" formatCode="_-* #,##0\ &quot;₽&quot;_-;\-* #,##0\ &quot;₽&quot;_-;_-* &quot;-&quot;\ &quot;₽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32" formatCode="_-* #,##0\ &quot;₽&quot;_-;\-* #,##0\ &quot;₽&quot;_-;_-* &quot;-&quot;\ &quot;₽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32" formatCode="_-* #,##0\ &quot;₽&quot;_-;\-* #,##0\ &quot;₽&quot;_-;_-* &quot;-&quot;\ &quot;₽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32" formatCode="_-* #,##0\ &quot;₽&quot;_-;\-* #,##0\ &quot;₽&quot;_-;_-* &quot;-&quot;\ &quot;₽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32" formatCode="_-* #,##0\ &quot;₽&quot;_-;\-* #,##0\ &quot;₽&quot;_-;_-* &quot;-&quot;\ &quot;₽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32" formatCode="_-* #,##0\ &quot;₽&quot;_-;\-* #,##0\ &quot;₽&quot;_-;_-* &quot;-&quot;\ &quot;₽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32" formatCode="_-* #,##0\ &quot;₽&quot;_-;\-* #,##0\ &quot;₽&quot;_-;_-* &quot;-&quot;\ &quot;₽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32" formatCode="_-* #,##0\ &quot;₽&quot;_-;\-* #,##0\ &quot;₽&quot;_-;_-* &quot;-&quot;\ &quot;₽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32" formatCode="_-* #,##0\ &quot;₽&quot;_-;\-* #,##0\ &quot;₽&quot;_-;_-* &quot;-&quot;\ &quot;₽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32" formatCode="_-* #,##0\ &quot;₽&quot;_-;\-* #,##0\ &quot;₽&quot;_-;_-* &quot;-&quot;\ &quot;₽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32" formatCode="_-* #,##0\ &quot;₽&quot;_-;\-* #,##0\ &quot;₽&quot;_-;_-* &quot;-&quot;\ &quot;₽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32" formatCode="_-* #,##0\ &quot;₽&quot;_-;\-* #,##0\ &quot;₽&quot;_-;_-* &quot;-&quot;\ &quot;₽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32" formatCode="_-* #,##0\ &quot;₽&quot;_-;\-* #,##0\ &quot;₽&quot;_-;_-* &quot;-&quot;\ &quot;₽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32" formatCode="_-* #,##0\ &quot;₽&quot;_-;\-* #,##0\ &quot;₽&quot;_-;_-* &quot;-&quot;\ &quot;₽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32" formatCode="_-* #,##0\ &quot;₽&quot;_-;\-* #,##0\ &quot;₽&quot;_-;_-* &quot;-&quot;\ &quot;₽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32" formatCode="_-* #,##0\ &quot;₽&quot;_-;\-* #,##0\ &quot;₽&quot;_-;_-* &quot;-&quot;\ &quot;₽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32" formatCode="_-* #,##0\ &quot;₽&quot;_-;\-* #,##0\ &quot;₽&quot;_-;_-* &quot;-&quot;\ &quot;₽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32" formatCode="_-* #,##0\ &quot;₽&quot;_-;\-* #,##0\ &quot;₽&quot;_-;_-* &quot;-&quot;\ &quot;₽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32" formatCode="_-* #,##0\ &quot;₽&quot;_-;\-* #,##0\ &quot;₽&quot;_-;_-* &quot;-&quot;\ &quot;₽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32" formatCode="_-* #,##0\ &quot;₽&quot;_-;\-* #,##0\ &quot;₽&quot;_-;_-* &quot;-&quot;\ &quot;₽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32" formatCode="_-* #,##0\ &quot;₽&quot;_-;\-* #,##0\ &quot;₽&quot;_-;_-* &quot;-&quot;\ &quot;₽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32" formatCode="_-* #,##0\ &quot;₽&quot;_-;\-* #,##0\ &quot;₽&quot;_-;_-* &quot;-&quot;\ &quot;₽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32" formatCode="_-* #,##0\ &quot;₽&quot;_-;\-* #,##0\ &quot;₽&quot;_-;_-* &quot;-&quot;\ &quot;₽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32" formatCode="_-* #,##0\ &quot;₽&quot;_-;\-* #,##0\ &quot;₽&quot;_-;_-* &quot;-&quot;\ &quot;₽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32" formatCode="_-* #,##0\ &quot;₽&quot;_-;\-* #,##0\ &quot;₽&quot;_-;_-* &quot;-&quot;\ &quot;₽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32" formatCode="_-* #,##0\ &quot;₽&quot;_-;\-* #,##0\ &quot;₽&quot;_-;_-* &quot;-&quot;\ &quot;₽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32" formatCode="_-* #,##0\ &quot;₽&quot;_-;\-* #,##0\ &quot;₽&quot;_-;_-* &quot;-&quot;\ &quot;₽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32" formatCode="_-* #,##0\ &quot;₽&quot;_-;\-* #,##0\ &quot;₽&quot;_-;_-* &quot;-&quot;\ &quot;₽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32" formatCode="_-* #,##0\ &quot;₽&quot;_-;\-* #,##0\ &quot;₽&quot;_-;_-* &quot;-&quot;\ &quot;₽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32" formatCode="_-* #,##0\ &quot;₽&quot;_-;\-* #,##0\ &quot;₽&quot;_-;_-* &quot;-&quot;\ &quot;₽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32" formatCode="_-* #,##0\ &quot;₽&quot;_-;\-* #,##0\ &quot;₽&quot;_-;_-* &quot;-&quot;\ &quot;₽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32" formatCode="_-* #,##0\ &quot;₽&quot;_-;\-* #,##0\ &quot;₽&quot;_-;_-* &quot;-&quot;\ &quot;₽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32" formatCode="_-* #,##0\ &quot;₽&quot;_-;\-* #,##0\ &quot;₽&quot;_-;_-* &quot;-&quot;\ &quot;₽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32" formatCode="_-* #,##0\ &quot;₽&quot;_-;\-* #,##0\ &quot;₽&quot;_-;_-* &quot;-&quot;\ &quot;₽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32" formatCode="_-* #,##0\ &quot;₽&quot;_-;\-* #,##0\ &quot;₽&quot;_-;_-* &quot;-&quot;\ &quot;₽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32" formatCode="_-* #,##0\ &quot;₽&quot;_-;\-* #,##0\ &quot;₽&quot;_-;_-* &quot;-&quot;\ &quot;₽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32" formatCode="_-* #,##0\ &quot;₽&quot;_-;\-* #,##0\ &quot;₽&quot;_-;_-* &quot;-&quot;\ &quot;₽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32" formatCode="_-* #,##0\ &quot;₽&quot;_-;\-* #,##0\ &quot;₽&quot;_-;_-* &quot;-&quot;\ &quot;₽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32" formatCode="_-* #,##0\ &quot;₽&quot;_-;\-* #,##0\ &quot;₽&quot;_-;_-* &quot;-&quot;\ &quot;₽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32" formatCode="_-* #,##0\ &quot;₽&quot;_-;\-* #,##0\ &quot;₽&quot;_-;_-* &quot;-&quot;\ &quot;₽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32" formatCode="_-* #,##0\ &quot;₽&quot;_-;\-* #,##0\ &quot;₽&quot;_-;_-* &quot;-&quot;\ &quot;₽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32" formatCode="_-* #,##0\ &quot;₽&quot;_-;\-* #,##0\ &quot;₽&quot;_-;_-* &quot;-&quot;\ &quot;₽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32" formatCode="_-* #,##0\ &quot;₽&quot;_-;\-* #,##0\ &quot;₽&quot;_-;_-* &quot;-&quot;\ &quot;₽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32" formatCode="_-* #,##0\ &quot;₽&quot;_-;\-* #,##0\ &quot;₽&quot;_-;_-* &quot;-&quot;\ &quot;₽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border>
        <left/>
        <right style="dotted">
          <color theme="4" tint="0.39994506668294322"/>
        </right>
        <top style="thin">
          <color theme="4" tint="0.39994506668294322"/>
        </top>
        <bottom style="thin">
          <color theme="4" tint="0.39994506668294322"/>
        </bottom>
        <vertical style="dotted">
          <color theme="4" tint="0.39994506668294322"/>
        </vertical>
        <horizontal style="thin">
          <color theme="4" tint="0.39994506668294322"/>
        </horizontal>
      </border>
    </dxf>
    <dxf>
      <border>
        <left/>
        <right style="dotted">
          <color theme="4" tint="0.39994506668294322"/>
        </right>
        <top style="thin">
          <color theme="4" tint="0.39994506668294322"/>
        </top>
        <bottom style="thin">
          <color theme="4" tint="0.39994506668294322"/>
        </bottom>
        <vertical style="dotted">
          <color theme="4" tint="0.39994506668294322"/>
        </vertical>
        <horizontal/>
      </border>
    </dxf>
    <dxf>
      <font>
        <b/>
        <i val="0"/>
        <color theme="3"/>
      </font>
      <fill>
        <patternFill patternType="none">
          <bgColor auto="1"/>
        </patternFill>
      </fill>
      <border>
        <vertical/>
        <horizontal/>
      </border>
    </dxf>
    <dxf>
      <font>
        <b/>
        <i val="0"/>
        <color theme="3"/>
      </font>
      <fill>
        <patternFill patternType="none">
          <bgColor auto="1"/>
        </patternFill>
      </fill>
      <border diagonalUp="0" diagonalDown="0">
        <left/>
        <right/>
        <top/>
        <bottom/>
        <vertical/>
        <horizontal/>
      </border>
    </dxf>
    <dxf>
      <border>
        <vertical/>
        <horizontal/>
      </border>
    </dxf>
    <dxf>
      <border>
        <left/>
        <right style="dotted">
          <color theme="5" tint="0.39991454817346722"/>
        </right>
        <top style="thin">
          <color theme="5" tint="0.39994506668294322"/>
        </top>
        <bottom style="thin">
          <color theme="5" tint="0.39994506668294322"/>
        </bottom>
        <vertical style="dotted">
          <color theme="5" tint="0.39994506668294322"/>
        </vertical>
        <horizontal style="thin">
          <color theme="5" tint="0.39994506668294322"/>
        </horizontal>
      </border>
    </dxf>
    <dxf>
      <border>
        <left/>
        <right style="dotted">
          <color theme="5" tint="0.39991454817346722"/>
        </right>
        <top style="thin">
          <color theme="5" tint="0.39994506668294322"/>
        </top>
        <bottom style="thin">
          <color theme="5" tint="0.39994506668294322"/>
        </bottom>
        <vertical style="dotted">
          <color theme="5" tint="0.39991454817346722"/>
        </vertical>
        <horizontal/>
      </border>
    </dxf>
    <dxf>
      <font>
        <b/>
        <i val="0"/>
        <color theme="3"/>
      </font>
      <fill>
        <patternFill patternType="none">
          <bgColor auto="1"/>
        </patternFill>
      </fill>
      <border>
        <vertical/>
        <horizontal/>
      </border>
    </dxf>
    <dxf>
      <font>
        <b/>
        <i val="0"/>
        <color theme="3"/>
      </font>
      <fill>
        <patternFill patternType="none">
          <bgColor auto="1"/>
        </patternFill>
      </fill>
      <border diagonalUp="0" diagonalDown="0">
        <left/>
        <right/>
        <top/>
        <bottom/>
        <vertical/>
        <horizontal/>
      </border>
    </dxf>
    <dxf>
      <border>
        <vertical/>
        <horizontal/>
      </border>
    </dxf>
    <dxf>
      <border>
        <left/>
        <right style="dotted">
          <color theme="6" tint="0.39994506668294322"/>
        </right>
        <top style="thin">
          <color theme="6" tint="0.39994506668294322"/>
        </top>
        <bottom style="thin">
          <color theme="6" tint="0.39994506668294322"/>
        </bottom>
        <vertical style="dotted">
          <color theme="6" tint="0.39994506668294322"/>
        </vertical>
        <horizontal style="thin">
          <color theme="6" tint="0.39994506668294322"/>
        </horizontal>
      </border>
    </dxf>
    <dxf>
      <border>
        <left/>
        <right style="dotted">
          <color theme="6" tint="0.39994506668294322"/>
        </right>
        <top style="thin">
          <color theme="6" tint="0.39994506668294322"/>
        </top>
        <bottom style="thin">
          <color theme="6" tint="0.39994506668294322"/>
        </bottom>
        <vertical style="dotted">
          <color theme="6" tint="0.39994506668294322"/>
        </vertical>
        <horizontal/>
      </border>
    </dxf>
    <dxf>
      <font>
        <b/>
        <i val="0"/>
        <color theme="3"/>
      </font>
      <fill>
        <patternFill patternType="none">
          <bgColor auto="1"/>
        </patternFill>
      </fill>
      <border>
        <vertical/>
        <horizontal/>
      </border>
    </dxf>
    <dxf>
      <font>
        <b/>
        <i val="0"/>
        <color theme="3"/>
      </font>
      <fill>
        <patternFill patternType="none">
          <bgColor auto="1"/>
        </patternFill>
      </fill>
      <border diagonalUp="0" diagonalDown="0">
        <left/>
        <right/>
        <top/>
        <bottom/>
        <vertical/>
        <horizontal/>
      </border>
    </dxf>
    <dxf>
      <border>
        <vertical/>
        <horizontal/>
      </border>
    </dxf>
  </dxfs>
  <tableStyles count="3" defaultTableStyle="Прибыли и убытки — доходы" defaultPivotStyle="PivotStyleLight16">
    <tableStyle name="Прибыли и убытки — расходы" pivot="0" count="5" xr9:uid="{00000000-0011-0000-FFFF-FFFF00000000}">
      <tableStyleElement type="wholeTable" dxfId="130"/>
      <tableStyleElement type="headerRow" dxfId="129"/>
      <tableStyleElement type="totalRow" dxfId="128"/>
      <tableStyleElement type="firstRowStripe" dxfId="127"/>
      <tableStyleElement type="secondRowStripe" dxfId="126"/>
    </tableStyle>
    <tableStyle name="Прибыли и убытки — доходы" pivot="0" count="5" xr9:uid="{00000000-0011-0000-FFFF-FFFF01000000}">
      <tableStyleElement type="wholeTable" dxfId="125"/>
      <tableStyleElement type="headerRow" dxfId="124"/>
      <tableStyleElement type="totalRow" dxfId="123"/>
      <tableStyleElement type="firstRowStripe" dxfId="122"/>
      <tableStyleElement type="secondRowStripe" dxfId="121"/>
    </tableStyle>
    <tableStyle name="Прибыли и убытки — продажи" pivot="0" count="5" xr9:uid="{00000000-0011-0000-FFFF-FFFF02000000}">
      <tableStyleElement type="wholeTable" dxfId="120"/>
      <tableStyleElement type="headerRow" dxfId="119"/>
      <tableStyleElement type="totalRow" dxfId="118"/>
      <tableStyleElement type="firstRowStripe" dxfId="117"/>
      <tableStyleElement type="secondRowStripe" dxfId="11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/xl/worksheets/sheet31.xml" Id="rId3" /><Relationship Type="http://schemas.openxmlformats.org/officeDocument/2006/relationships/calcChain" Target="/xl/calcChain.xml" Id="rId7" /><Relationship Type="http://schemas.openxmlformats.org/officeDocument/2006/relationships/worksheet" Target="/xl/worksheets/sheet22.xml" Id="rId2" /><Relationship Type="http://schemas.openxmlformats.org/officeDocument/2006/relationships/worksheet" Target="/xl/worksheets/sheet13.xml" Id="rId1" /><Relationship Type="http://schemas.openxmlformats.org/officeDocument/2006/relationships/sharedStrings" Target="/xl/sharedStrings.xml" Id="rId6" /><Relationship Type="http://schemas.openxmlformats.org/officeDocument/2006/relationships/styles" Target="/xl/styles.xml" Id="rId5" /><Relationship Type="http://schemas.openxmlformats.org/officeDocument/2006/relationships/theme" Target="/xl/theme/theme11.xml" Id="rId4" /></Relationships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Доходы" displayName="Доходы" ref="B4:AD12" totalsRowCount="1">
  <autoFilter ref="B4:AD11" xr:uid="{00000000-0009-0000-0100-000003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</autoFilter>
  <tableColumns count="29">
    <tableColumn id="1" xr3:uid="{00000000-0010-0000-0000-000001000000}" name="ДОХОДЫ (ПРОДАЖИ)" totalsRowLabel="ОБЪЕМ ПРОДАЖ" totalsRowDxfId="115"/>
    <tableColumn id="29" xr3:uid="{00000000-0010-0000-0000-00001D000000}" name="ТРЕНД" dataDxfId="114" totalsRowDxfId="113" dataCellStyle="Заполнение доходов"/>
    <tableColumn id="2" xr3:uid="{00000000-0010-0000-0000-000002000000}" name="Янв" totalsRowFunction="sum" dataDxfId="112" totalsRowDxfId="111"/>
    <tableColumn id="3" xr3:uid="{00000000-0010-0000-0000-000003000000}" name="Фев" totalsRowFunction="sum" dataDxfId="110" totalsRowDxfId="109"/>
    <tableColumn id="4" xr3:uid="{00000000-0010-0000-0000-000004000000}" name="Мар" totalsRowFunction="sum" dataDxfId="108" totalsRowDxfId="107"/>
    <tableColumn id="5" xr3:uid="{00000000-0010-0000-0000-000005000000}" name="Апр" totalsRowFunction="sum" dataDxfId="106" totalsRowDxfId="105"/>
    <tableColumn id="6" xr3:uid="{00000000-0010-0000-0000-000006000000}" name="Май" totalsRowFunction="sum" dataDxfId="104" totalsRowDxfId="103"/>
    <tableColumn id="7" xr3:uid="{00000000-0010-0000-0000-000007000000}" name="Июн" totalsRowFunction="sum" dataDxfId="102" totalsRowDxfId="101"/>
    <tableColumn id="8" xr3:uid="{00000000-0010-0000-0000-000008000000}" name="Июл" totalsRowFunction="sum" dataDxfId="100" totalsRowDxfId="99"/>
    <tableColumn id="9" xr3:uid="{00000000-0010-0000-0000-000009000000}" name="Авг" totalsRowFunction="sum" dataDxfId="98" totalsRowDxfId="97"/>
    <tableColumn id="10" xr3:uid="{00000000-0010-0000-0000-00000A000000}" name="Сен" totalsRowFunction="sum" dataDxfId="96" totalsRowDxfId="95"/>
    <tableColumn id="11" xr3:uid="{00000000-0010-0000-0000-00000B000000}" name="Окт" totalsRowFunction="sum" dataDxfId="94" totalsRowDxfId="93"/>
    <tableColumn id="12" xr3:uid="{00000000-0010-0000-0000-00000C000000}" name="Ноя" totalsRowFunction="sum" dataDxfId="92" totalsRowDxfId="91"/>
    <tableColumn id="13" xr3:uid="{00000000-0010-0000-0000-00000D000000}" name="Дек" totalsRowFunction="sum" dataDxfId="90" totalsRowDxfId="89"/>
    <tableColumn id="14" xr3:uid="{00000000-0010-0000-0000-00000E000000}" name="За год" totalsRowFunction="sum" dataDxfId="88" totalsRowDxfId="87">
      <calculatedColumnFormula>SUM(Доходы[[#This Row],[Янв]:[Дек]])</calculatedColumnFormula>
    </tableColumn>
    <tableColumn id="15" xr3:uid="{00000000-0010-0000-0000-00000F000000}" name="Индекс (%)" totalsRowFunction="sum" totalsRowDxfId="86"/>
    <tableColumn id="16" xr3:uid="{00000000-0010-0000-0000-000010000000}" name="Янв (%)" totalsRowFunction="sum" totalsRowDxfId="85">
      <calculatedColumnFormula>IFERROR(Доходы[[#This Row],[Янв]]/Доходы[[#Totals],[Янв]],"-")</calculatedColumnFormula>
    </tableColumn>
    <tableColumn id="17" xr3:uid="{00000000-0010-0000-0000-000011000000}" name="Фев (%)" totalsRowFunction="sum" totalsRowDxfId="84">
      <calculatedColumnFormula>IFERROR(Доходы[[#This Row],[Фев]]/Доходы[[#Totals],[Фев]],"-")</calculatedColumnFormula>
    </tableColumn>
    <tableColumn id="18" xr3:uid="{00000000-0010-0000-0000-000012000000}" name="Мар (%)" totalsRowFunction="sum" totalsRowDxfId="83">
      <calculatedColumnFormula>IFERROR(Доходы[[#This Row],[Мар]]/Доходы[[#Totals],[Мар]],"-")</calculatedColumnFormula>
    </tableColumn>
    <tableColumn id="19" xr3:uid="{00000000-0010-0000-0000-000013000000}" name="Апр (%)" totalsRowFunction="sum" totalsRowDxfId="82">
      <calculatedColumnFormula>IFERROR(Доходы[[#This Row],[Апр]]/Доходы[[#Totals],[Апр]],"-")</calculatedColumnFormula>
    </tableColumn>
    <tableColumn id="20" xr3:uid="{00000000-0010-0000-0000-000014000000}" name="Май (%)" totalsRowFunction="sum" totalsRowDxfId="81">
      <calculatedColumnFormula>IFERROR(Доходы[[#This Row],[Май]]/Доходы[[#Totals],[Май]],"-")</calculatedColumnFormula>
    </tableColumn>
    <tableColumn id="21" xr3:uid="{00000000-0010-0000-0000-000015000000}" name="Июн (%)" totalsRowFunction="sum" totalsRowDxfId="80">
      <calculatedColumnFormula>IFERROR(Доходы[[#This Row],[Июн]]/Доходы[[#Totals],[Июн]],"-")</calculatedColumnFormula>
    </tableColumn>
    <tableColumn id="22" xr3:uid="{00000000-0010-0000-0000-000016000000}" name="Июл (%)" totalsRowFunction="sum" totalsRowDxfId="79">
      <calculatedColumnFormula>IFERROR(Доходы[[#This Row],[Июл]]/Доходы[[#Totals],[Июл]],"-")</calculatedColumnFormula>
    </tableColumn>
    <tableColumn id="23" xr3:uid="{00000000-0010-0000-0000-000017000000}" name="Авг (%)" totalsRowFunction="sum" totalsRowDxfId="78">
      <calculatedColumnFormula>IFERROR(Доходы[[#This Row],[Авг]]/Доходы[[#Totals],[Авг]],"-")</calculatedColumnFormula>
    </tableColumn>
    <tableColumn id="24" xr3:uid="{00000000-0010-0000-0000-000018000000}" name="Сен (%)" totalsRowFunction="sum" totalsRowDxfId="77">
      <calculatedColumnFormula>IFERROR(Доходы[[#This Row],[Сен]]/Доходы[[#Totals],[Сен]],"-")</calculatedColumnFormula>
    </tableColumn>
    <tableColumn id="25" xr3:uid="{00000000-0010-0000-0000-000019000000}" name="Окт (%)" totalsRowFunction="sum" totalsRowDxfId="76">
      <calculatedColumnFormula>IFERROR(Доходы[[#This Row],[Окт]]/Доходы[[#Totals],[Окт]],"-")</calculatedColumnFormula>
    </tableColumn>
    <tableColumn id="26" xr3:uid="{00000000-0010-0000-0000-00001A000000}" name="Ноя (%)" totalsRowFunction="sum" totalsRowDxfId="75">
      <calculatedColumnFormula>IFERROR(Доходы[[#This Row],[Ноя]]/Доходы[[#Totals],[Ноя]],"-")</calculatedColumnFormula>
    </tableColumn>
    <tableColumn id="27" xr3:uid="{00000000-0010-0000-0000-00001B000000}" name="Дек (%)" totalsRowFunction="sum" totalsRowDxfId="74">
      <calculatedColumnFormula>IFERROR(Доходы[[#This Row],[Дек]]/Доходы[[#Totals],[Дек]],"-")</calculatedColumnFormula>
    </tableColumn>
    <tableColumn id="28" xr3:uid="{00000000-0010-0000-0000-00001C000000}" name="Год (%)" totalsRowFunction="sum" totalsRowDxfId="73">
      <calculatedColumnFormula>IFERROR(Доходы[[#This Row],[За год]]/Доходы[[#Totals],[За год]],"-")</calculatedColumnFormula>
    </tableColumn>
  </tableColumns>
  <tableStyleInfo name="Прибыли и убытки — доходы" showFirstColumn="0" showLastColumn="0" showRowStripes="1" showColumnStripes="0"/>
  <extLst>
    <ext xmlns:x14="http://schemas.microsoft.com/office/spreadsheetml/2009/9/main" uri="{504A1905-F514-4f6f-8877-14C23A59335A}">
      <x14:table altTextSummary="Сводка ежемесячных продаж, годовой итог и помесячный процент по каждой статье доходов"/>
    </ext>
  </extLst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Себестоимость_продаж" displayName="Себестоимость_продаж" ref="B4:AD12" totalsRowCount="1">
  <tableColumns count="29">
    <tableColumn id="1" xr3:uid="{00000000-0010-0000-0100-000001000000}" name="СЕБЕСТОИМОСТЬ ПРОДАЖ" totalsRowLabel="ОБЩАЯ СЕБЕСТОИМОСТЬ" totalsRowDxfId="72"/>
    <tableColumn id="2" xr3:uid="{00000000-0010-0000-0100-000002000000}" name="ТРЕНД" dataDxfId="71" totalsRowDxfId="70" dataCellStyle="Заполнение себестоимости продаж"/>
    <tableColumn id="3" xr3:uid="{00000000-0010-0000-0100-000003000000}" name="Янв" totalsRowFunction="sum" dataDxfId="69" totalsRowDxfId="68"/>
    <tableColumn id="4" xr3:uid="{00000000-0010-0000-0100-000004000000}" name="Фев" totalsRowFunction="sum" dataDxfId="67" totalsRowDxfId="66"/>
    <tableColumn id="5" xr3:uid="{00000000-0010-0000-0100-000005000000}" name="Мар" totalsRowFunction="sum" dataDxfId="65" totalsRowDxfId="64"/>
    <tableColumn id="6" xr3:uid="{00000000-0010-0000-0100-000006000000}" name="Апр" totalsRowFunction="sum" dataDxfId="63" totalsRowDxfId="62"/>
    <tableColumn id="7" xr3:uid="{00000000-0010-0000-0100-000007000000}" name="Май" totalsRowFunction="sum" dataDxfId="61" totalsRowDxfId="60"/>
    <tableColumn id="8" xr3:uid="{00000000-0010-0000-0100-000008000000}" name="Июн" totalsRowFunction="sum" dataDxfId="59" totalsRowDxfId="58"/>
    <tableColumn id="9" xr3:uid="{00000000-0010-0000-0100-000009000000}" name="Июл" totalsRowFunction="sum" dataDxfId="57" totalsRowDxfId="56"/>
    <tableColumn id="10" xr3:uid="{00000000-0010-0000-0100-00000A000000}" name="Авг" totalsRowFunction="sum" dataDxfId="55" totalsRowDxfId="54"/>
    <tableColumn id="11" xr3:uid="{00000000-0010-0000-0100-00000B000000}" name="Сен" totalsRowFunction="sum" dataDxfId="53" totalsRowDxfId="52"/>
    <tableColumn id="12" xr3:uid="{00000000-0010-0000-0100-00000C000000}" name="Окт" totalsRowFunction="sum" dataDxfId="51" totalsRowDxfId="50"/>
    <tableColumn id="13" xr3:uid="{00000000-0010-0000-0100-00000D000000}" name="Ноя" totalsRowFunction="sum" dataDxfId="49" totalsRowDxfId="48"/>
    <tableColumn id="14" xr3:uid="{00000000-0010-0000-0100-00000E000000}" name="Дек" totalsRowFunction="sum" dataDxfId="47" totalsRowDxfId="46"/>
    <tableColumn id="15" xr3:uid="{00000000-0010-0000-0100-00000F000000}" name="За год" totalsRowFunction="sum" dataDxfId="45" totalsRowDxfId="44">
      <calculatedColumnFormula>SUM(Себестоимость_продаж[[#This Row],[Янв]:[Дек]])</calculatedColumnFormula>
    </tableColumn>
    <tableColumn id="16" xr3:uid="{00000000-0010-0000-0100-000010000000}" name="Индекс (%)" totalsRowFunction="sum" totalsRowDxfId="43"/>
    <tableColumn id="17" xr3:uid="{00000000-0010-0000-0100-000011000000}" name="Янв (%)" totalsRowFunction="sum" totalsRowDxfId="42" dataCellStyle="Заполнение себестоимости продаж">
      <calculatedColumnFormula>IFERROR(Себестоимость_продаж[[#This Row],[Янв]]/Себестоимость_продаж[[#Totals],[Янв]],"-")</calculatedColumnFormula>
    </tableColumn>
    <tableColumn id="18" xr3:uid="{00000000-0010-0000-0100-000012000000}" name="Фев (%)" totalsRowFunction="sum" totalsRowDxfId="41" dataCellStyle="Заполнение себестоимости продаж">
      <calculatedColumnFormula>IFERROR(Себестоимость_продаж[[#This Row],[Фев]]/Себестоимость_продаж[[#Totals],[Фев]],"-")</calculatedColumnFormula>
    </tableColumn>
    <tableColumn id="19" xr3:uid="{00000000-0010-0000-0100-000013000000}" name="Мар (%)" totalsRowFunction="sum" totalsRowDxfId="40" dataCellStyle="Заполнение себестоимости продаж">
      <calculatedColumnFormula>IFERROR(Себестоимость_продаж[[#This Row],[Мар]]/Себестоимость_продаж[[#Totals],[Мар]],"-")</calculatedColumnFormula>
    </tableColumn>
    <tableColumn id="20" xr3:uid="{00000000-0010-0000-0100-000014000000}" name="Апр (%)" totalsRowFunction="sum" totalsRowDxfId="39" dataCellStyle="Заполнение себестоимости продаж">
      <calculatedColumnFormula>IFERROR(Себестоимость_продаж[[#This Row],[Апр]]/Себестоимость_продаж[[#Totals],[Апр]],"-")</calculatedColumnFormula>
    </tableColumn>
    <tableColumn id="21" xr3:uid="{00000000-0010-0000-0100-000015000000}" name="Май (%)" totalsRowFunction="sum" totalsRowDxfId="38" dataCellStyle="Заполнение себестоимости продаж">
      <calculatedColumnFormula>IFERROR(Себестоимость_продаж[[#This Row],[Май]]/Себестоимость_продаж[[#Totals],[Май]],"-")</calculatedColumnFormula>
    </tableColumn>
    <tableColumn id="22" xr3:uid="{00000000-0010-0000-0100-000016000000}" name="Июн (%)" totalsRowFunction="sum" totalsRowDxfId="37" dataCellStyle="Заполнение себестоимости продаж">
      <calculatedColumnFormula>IFERROR(Себестоимость_продаж[[#This Row],[Июн]]/Себестоимость_продаж[[#Totals],[Июн]],"-")</calculatedColumnFormula>
    </tableColumn>
    <tableColumn id="23" xr3:uid="{00000000-0010-0000-0100-000017000000}" name="Июл (%)" totalsRowFunction="sum" totalsRowDxfId="36" dataCellStyle="Заполнение себестоимости продаж">
      <calculatedColumnFormula>IFERROR(Себестоимость_продаж[[#This Row],[Июл]]/Себестоимость_продаж[[#Totals],[Июл]],"-")</calculatedColumnFormula>
    </tableColumn>
    <tableColumn id="24" xr3:uid="{00000000-0010-0000-0100-000018000000}" name="Авг (%)" totalsRowFunction="sum" totalsRowDxfId="35" dataCellStyle="Заполнение себестоимости продаж">
      <calculatedColumnFormula>IFERROR(Себестоимость_продаж[[#This Row],[Авг]]/Себестоимость_продаж[[#Totals],[Авг]],"-")</calculatedColumnFormula>
    </tableColumn>
    <tableColumn id="25" xr3:uid="{00000000-0010-0000-0100-000019000000}" name="Сен (%)" totalsRowFunction="sum" totalsRowDxfId="34" dataCellStyle="Заполнение себестоимости продаж">
      <calculatedColumnFormula>IFERROR(Себестоимость_продаж[[#This Row],[Сен]]/Себестоимость_продаж[[#Totals],[Сен]],"-")</calculatedColumnFormula>
    </tableColumn>
    <tableColumn id="26" xr3:uid="{00000000-0010-0000-0100-00001A000000}" name="Окт (%)" totalsRowFunction="sum" totalsRowDxfId="33" dataCellStyle="Заполнение себестоимости продаж">
      <calculatedColumnFormula>IFERROR(Себестоимость_продаж[[#This Row],[Окт]]/Себестоимость_продаж[[#Totals],[Окт]],"-")</calculatedColumnFormula>
    </tableColumn>
    <tableColumn id="27" xr3:uid="{00000000-0010-0000-0100-00001B000000}" name="Ноя (%)" totalsRowFunction="sum" totalsRowDxfId="32" dataCellStyle="Заполнение себестоимости продаж">
      <calculatedColumnFormula>IFERROR(Себестоимость_продаж[[#This Row],[Ноя]]/Себестоимость_продаж[[#Totals],[Ноя]],"-")</calculatedColumnFormula>
    </tableColumn>
    <tableColumn id="28" xr3:uid="{00000000-0010-0000-0100-00001C000000}" name="Дек (%)" totalsRowFunction="sum" totalsRowDxfId="31" dataCellStyle="Заполнение себестоимости продаж">
      <calculatedColumnFormula>IFERROR(Себестоимость_продаж[[#This Row],[Дек]]/Себестоимость_продаж[[#Totals],[Дек]],"-")</calculatedColumnFormula>
    </tableColumn>
    <tableColumn id="29" xr3:uid="{00000000-0010-0000-0100-00001D000000}" name="Год (%)" totalsRowFunction="sum" totalsRowDxfId="30" dataCellStyle="Заполнение себестоимости продаж">
      <calculatedColumnFormula>IFERROR(Себестоимость_продаж[[#This Row],[За год]]/Себестоимость_продаж[[#Totals],[За год]],"-")</calculatedColumnFormula>
    </tableColumn>
  </tableColumns>
  <tableStyleInfo name="Прибыли и убытки — продажи" showFirstColumn="0" showLastColumn="0" showRowStripes="1" showColumnStripes="0"/>
  <extLst>
    <ext xmlns:x14="http://schemas.microsoft.com/office/spreadsheetml/2009/9/main" uri="{504A1905-F514-4f6f-8877-14C23A59335A}">
      <x14:table altTextSummary="Сводка себестоимости продаж, годовой итог и помесячный процент по каждой статье затрат"/>
    </ext>
  </extLst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2000000}" name="tblExpenses" displayName="tblExpenses" ref="B4:AD24" totalsRowCount="1">
  <tableColumns count="29">
    <tableColumn id="1" xr3:uid="{00000000-0010-0000-0200-000001000000}" name="РАСХОДЫ" totalsRowLabel="ОБЩИЕ РАСХОДЫ" totalsRowDxfId="29"/>
    <tableColumn id="2" xr3:uid="{00000000-0010-0000-0200-000002000000}" name="ТРЕНД" totalsRowLabel=" " dataDxfId="28" totalsRowDxfId="27" dataCellStyle="Заполнение расходов"/>
    <tableColumn id="3" xr3:uid="{00000000-0010-0000-0200-000003000000}" name="Столбец1" totalsRowFunction="sum" totalsRowDxfId="26"/>
    <tableColumn id="4" xr3:uid="{00000000-0010-0000-0200-000004000000}" name="Фев" totalsRowFunction="sum" totalsRowDxfId="25"/>
    <tableColumn id="5" xr3:uid="{00000000-0010-0000-0200-000005000000}" name="Мар" totalsRowFunction="sum" totalsRowDxfId="24"/>
    <tableColumn id="6" xr3:uid="{00000000-0010-0000-0200-000006000000}" name="Апр" totalsRowFunction="sum" totalsRowDxfId="23"/>
    <tableColumn id="7" xr3:uid="{00000000-0010-0000-0200-000007000000}" name="Май" totalsRowFunction="sum" totalsRowDxfId="22"/>
    <tableColumn id="8" xr3:uid="{00000000-0010-0000-0200-000008000000}" name="Июн" totalsRowFunction="sum" totalsRowDxfId="21"/>
    <tableColumn id="9" xr3:uid="{00000000-0010-0000-0200-000009000000}" name="Июл" totalsRowFunction="sum" totalsRowDxfId="20"/>
    <tableColumn id="10" xr3:uid="{00000000-0010-0000-0200-00000A000000}" name="Авг" totalsRowFunction="sum" totalsRowDxfId="19"/>
    <tableColumn id="11" xr3:uid="{00000000-0010-0000-0200-00000B000000}" name="Сен" totalsRowFunction="sum" totalsRowDxfId="18"/>
    <tableColumn id="12" xr3:uid="{00000000-0010-0000-0200-00000C000000}" name="Окт" totalsRowFunction="sum" totalsRowDxfId="17"/>
    <tableColumn id="13" xr3:uid="{00000000-0010-0000-0200-00000D000000}" name="Ноя" totalsRowFunction="sum" totalsRowDxfId="16"/>
    <tableColumn id="14" xr3:uid="{00000000-0010-0000-0200-00000E000000}" name="Дек" totalsRowFunction="sum" totalsRowDxfId="15"/>
    <tableColumn id="15" xr3:uid="{00000000-0010-0000-0200-00000F000000}" name="За год" totalsRowFunction="sum" totalsRowDxfId="14">
      <calculatedColumnFormula>SUM(tblExpenses[[#This Row],[Столбец1]:[Дек]])</calculatedColumnFormula>
    </tableColumn>
    <tableColumn id="16" xr3:uid="{00000000-0010-0000-0200-000010000000}" name="Индекс (%)" totalsRowFunction="sum" totalsRowDxfId="13"/>
    <tableColumn id="17" xr3:uid="{00000000-0010-0000-0200-000011000000}" name="Янв (%)" totalsRowFunction="sum" totalsRowDxfId="12">
      <calculatedColumnFormula>tblExpenses[[#This Row],[Столбец1]]/tblExpenses[[#Totals],[Столбец1]]</calculatedColumnFormula>
    </tableColumn>
    <tableColumn id="18" xr3:uid="{00000000-0010-0000-0200-000012000000}" name="Фев (%)" totalsRowFunction="sum" totalsRowDxfId="11">
      <calculatedColumnFormula>tblExpenses[[#This Row],[Фев]]/tblExpenses[[#Totals],[Фев]]</calculatedColumnFormula>
    </tableColumn>
    <tableColumn id="19" xr3:uid="{00000000-0010-0000-0200-000013000000}" name="Мар (%)" totalsRowFunction="sum" totalsRowDxfId="10">
      <calculatedColumnFormula>tblExpenses[[#This Row],[Мар]]/tblExpenses[[#Totals],[Мар]]</calculatedColumnFormula>
    </tableColumn>
    <tableColumn id="20" xr3:uid="{00000000-0010-0000-0200-000014000000}" name="Апр (%)" totalsRowFunction="sum" totalsRowDxfId="9">
      <calculatedColumnFormula>tblExpenses[[#This Row],[Апр]]/tblExpenses[[#Totals],[Апр]]</calculatedColumnFormula>
    </tableColumn>
    <tableColumn id="21" xr3:uid="{00000000-0010-0000-0200-000015000000}" name="Май (%)" totalsRowFunction="sum" totalsRowDxfId="8">
      <calculatedColumnFormula>tblExpenses[[#This Row],[Май]]/tblExpenses[[#Totals],[Май]]</calculatedColumnFormula>
    </tableColumn>
    <tableColumn id="22" xr3:uid="{00000000-0010-0000-0200-000016000000}" name="Июн (%)" totalsRowFunction="sum" totalsRowDxfId="7">
      <calculatedColumnFormula>tblExpenses[[#This Row],[Июн]]/tblExpenses[[#Totals],[Июн]]</calculatedColumnFormula>
    </tableColumn>
    <tableColumn id="23" xr3:uid="{00000000-0010-0000-0200-000017000000}" name="Июл (%)" totalsRowFunction="sum" totalsRowDxfId="6">
      <calculatedColumnFormula>tblExpenses[[#This Row],[Июл]]/tblExpenses[[#Totals],[Июл]]</calculatedColumnFormula>
    </tableColumn>
    <tableColumn id="24" xr3:uid="{00000000-0010-0000-0200-000018000000}" name="Авг (%)" totalsRowFunction="sum" totalsRowDxfId="5">
      <calculatedColumnFormula>tblExpenses[[#This Row],[Авг]]/tblExpenses[[#Totals],[Авг]]</calculatedColumnFormula>
    </tableColumn>
    <tableColumn id="25" xr3:uid="{00000000-0010-0000-0200-000019000000}" name="Сен (%)" totalsRowFunction="sum" totalsRowDxfId="4">
      <calculatedColumnFormula>tblExpenses[[#This Row],[Сен]]/tblExpenses[[#Totals],[Сен]]</calculatedColumnFormula>
    </tableColumn>
    <tableColumn id="26" xr3:uid="{00000000-0010-0000-0200-00001A000000}" name="Окт (%)" totalsRowFunction="sum" totalsRowDxfId="3">
      <calculatedColumnFormula>tblExpenses[[#This Row],[Окт]]/tblExpenses[[#Totals],[Окт]]</calculatedColumnFormula>
    </tableColumn>
    <tableColumn id="27" xr3:uid="{00000000-0010-0000-0200-00001B000000}" name="Ноя (%)" totalsRowFunction="sum" totalsRowDxfId="2">
      <calculatedColumnFormula>tblExpenses[[#This Row],[Ноя]]/tblExpenses[[#Totals],[Ноя]]</calculatedColumnFormula>
    </tableColumn>
    <tableColumn id="28" xr3:uid="{00000000-0010-0000-0200-00001C000000}" name="Дек (%)" totalsRowFunction="sum" totalsRowDxfId="1">
      <calculatedColumnFormula>tblExpenses[[#This Row],[Дек]]/tblExpenses[[#Totals],[Дек]]</calculatedColumnFormula>
    </tableColumn>
    <tableColumn id="29" xr3:uid="{00000000-0010-0000-0200-00001D000000}" name="Год (%)" totalsRowFunction="sum" totalsRowDxfId="0">
      <calculatedColumnFormula>tblExpenses[[#This Row],[За год]]/tblExpenses[[#Totals],[За год]]</calculatedColumnFormula>
    </tableColumn>
  </tableColumns>
  <tableStyleInfo name="Прибыли и убытки — расходы" showFirstColumn="0" showLastColumn="0" showRowStripes="1" showColumnStripes="0"/>
  <extLst>
    <ext xmlns:x14="http://schemas.microsoft.com/office/spreadsheetml/2009/9/main" uri="{504A1905-F514-4f6f-8877-14C23A59335A}">
      <x14:table altTextSummary="Сводка расходов, годовой итог и помесячный процент по каждой статье расходов"/>
    </ext>
  </extLst>
</table>
</file>

<file path=xl/theme/theme11.xml><?xml version="1.0" encoding="utf-8"?>
<a:theme xmlns:a="http://schemas.openxmlformats.org/drawingml/2006/main" name="Office Theme">
  <a:themeElements>
    <a:clrScheme name="Profit and Loss">
      <a:dk1>
        <a:sysClr val="windowText" lastClr="000000"/>
      </a:dk1>
      <a:lt1>
        <a:srgbClr val="FFFFFF"/>
      </a:lt1>
      <a:dk2>
        <a:srgbClr val="38321C"/>
      </a:dk2>
      <a:lt2>
        <a:srgbClr val="FFFFFF"/>
      </a:lt2>
      <a:accent1>
        <a:srgbClr val="DE8D26"/>
      </a:accent1>
      <a:accent2>
        <a:srgbClr val="2F7B6A"/>
      </a:accent2>
      <a:accent3>
        <a:srgbClr val="3BA0D6"/>
      </a:accent3>
      <a:accent4>
        <a:srgbClr val="8E9ACA"/>
      </a:accent4>
      <a:accent5>
        <a:srgbClr val="6F6857"/>
      </a:accent5>
      <a:accent6>
        <a:srgbClr val="F79646"/>
      </a:accent6>
      <a:hlink>
        <a:srgbClr val="0000FF"/>
      </a:hlink>
      <a:folHlink>
        <a:srgbClr val="800080"/>
      </a:folHlink>
    </a:clrScheme>
    <a:fontScheme name="Profit Loss Statement">
      <a:majorFont>
        <a:latin typeface="Bookman Old Style"/>
        <a:ea typeface=""/>
        <a:cs typeface=""/>
      </a:majorFont>
      <a:minorFont>
        <a:latin typeface="Century Gothic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3.xml.rels>&#65279;<?xml version="1.0" encoding="utf-8"?><Relationships xmlns="http://schemas.openxmlformats.org/package/2006/relationships"><Relationship Type="http://schemas.openxmlformats.org/officeDocument/2006/relationships/table" Target="/xl/tables/table13.xml" Id="rId2" /><Relationship Type="http://schemas.openxmlformats.org/officeDocument/2006/relationships/printerSettings" Target="/xl/printerSettings/printerSettings13.bin" Id="rId1" /></Relationships>
</file>

<file path=xl/worksheets/_rels/sheet22.xml.rels>&#65279;<?xml version="1.0" encoding="utf-8"?><Relationships xmlns="http://schemas.openxmlformats.org/package/2006/relationships"><Relationship Type="http://schemas.openxmlformats.org/officeDocument/2006/relationships/table" Target="/xl/tables/table22.xml" Id="rId2" /><Relationship Type="http://schemas.openxmlformats.org/officeDocument/2006/relationships/printerSettings" Target="/xl/printerSettings/printerSettings22.bin" Id="rId1" /></Relationships>
</file>

<file path=xl/worksheets/_rels/sheet31.xml.rels>&#65279;<?xml version="1.0" encoding="utf-8"?><Relationships xmlns="http://schemas.openxmlformats.org/package/2006/relationships"><Relationship Type="http://schemas.openxmlformats.org/officeDocument/2006/relationships/table" Target="/xl/tables/table31.xml" Id="rId2" /><Relationship Type="http://schemas.openxmlformats.org/officeDocument/2006/relationships/printerSettings" Target="/xl/printerSettings/printerSettings31.bin" Id="rId1" /></Relationships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39997558519241921"/>
    <pageSetUpPr autoPageBreaks="0" fitToPage="1"/>
  </sheetPr>
  <dimension ref="A1:AD12"/>
  <sheetViews>
    <sheetView showGridLines="0" tabSelected="1" zoomScaleNormal="100" workbookViewId="0">
      <pane ySplit="3" topLeftCell="A4" activePane="bottomLeft" state="frozen"/>
      <selection activeCell="P1" sqref="P1:P1048576"/>
      <selection pane="bottomLeft"/>
    </sheetView>
  </sheetViews>
  <sheetFormatPr defaultRowHeight="30" customHeight="1" x14ac:dyDescent="0.3"/>
  <cols>
    <col min="1" max="1" width="2.625" style="45" customWidth="1"/>
    <col min="2" max="2" width="32.875" style="45" customWidth="1"/>
    <col min="3" max="3" width="12.625" style="45" customWidth="1"/>
    <col min="4" max="15" width="10.875" style="45" customWidth="1"/>
    <col min="16" max="16" width="12.125" style="45" customWidth="1"/>
    <col min="17" max="17" width="9.25" style="45" bestFit="1" customWidth="1"/>
    <col min="18" max="29" width="8.75" style="45" customWidth="1"/>
    <col min="30" max="30" width="9.875" style="45" customWidth="1"/>
    <col min="31" max="31" width="2.625" style="45" customWidth="1"/>
    <col min="32" max="16384" width="9" style="45"/>
  </cols>
  <sheetData>
    <row r="1" spans="1:30" ht="35.1" customHeight="1" x14ac:dyDescent="0.3">
      <c r="A1" s="43"/>
      <c r="B1" s="44" t="s">
        <v>0</v>
      </c>
      <c r="J1" s="46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8" t="s">
        <v>42</v>
      </c>
    </row>
    <row r="2" spans="1:30" ht="60" customHeight="1" x14ac:dyDescent="0.3">
      <c r="B2" s="49" t="s">
        <v>1</v>
      </c>
      <c r="E2" s="50"/>
      <c r="G2" s="50"/>
      <c r="K2" s="50"/>
      <c r="L2" s="50"/>
      <c r="M2" s="50"/>
      <c r="N2" s="50"/>
      <c r="O2" s="50"/>
      <c r="X2" s="51"/>
      <c r="Y2" s="51"/>
      <c r="Z2" s="51"/>
      <c r="AA2" s="51"/>
      <c r="AB2" s="52" t="s">
        <v>38</v>
      </c>
      <c r="AC2" s="52" t="s">
        <v>40</v>
      </c>
      <c r="AD2" s="53">
        <f ca="1">YEAR(TODAY())</f>
        <v>2017</v>
      </c>
    </row>
    <row r="3" spans="1:30" ht="20.100000000000001" customHeight="1" x14ac:dyDescent="0.3">
      <c r="D3" s="54" t="str">
        <f ca="1">UPPER(TEXT(DATE(FYStartYear,FYMonthNo,1),"ГГ МММ"))</f>
        <v>17 ЯНВ</v>
      </c>
      <c r="E3" s="54" t="str">
        <f ca="1">UPPER(TEXT(DATE(FYStartYear,FYMonthNo+1,1),"ГГ МММ"))</f>
        <v>17 ФЕВ</v>
      </c>
      <c r="F3" s="54" t="str">
        <f ca="1">UPPER(TEXT(DATE(FYStartYear,FYMonthNo+2,1),"ГГ МММ"))</f>
        <v>17 МАР</v>
      </c>
      <c r="G3" s="54" t="str">
        <f ca="1">UPPER(TEXT(DATE(FYStartYear,FYMonthNo+3,1),"ГГ МММ"))</f>
        <v>17 АПР</v>
      </c>
      <c r="H3" s="54" t="str">
        <f ca="1">UPPER(TEXT(DATE(FYStartYear,FYMonthNo+4,1),"ГГ МММ"))</f>
        <v>17 МАЙ</v>
      </c>
      <c r="I3" s="54" t="str">
        <f ca="1">UPPER(TEXT(DATE(FYStartYear,FYMonthNo+5,1),"ГГ МММ"))</f>
        <v>17 ИЮН</v>
      </c>
      <c r="J3" s="54" t="str">
        <f ca="1">UPPER(TEXT(DATE(FYStartYear,FYMonthNo+6,1),"ГГ МММ"))</f>
        <v>17 ИЮЛ</v>
      </c>
      <c r="K3" s="54" t="str">
        <f ca="1">UPPER(TEXT(DATE(FYStartYear,FYMonthNo+7,1),"ГГ МММ"))</f>
        <v>17 АВГ</v>
      </c>
      <c r="L3" s="54" t="str">
        <f ca="1">UPPER(TEXT(DATE(FYStartYear,FYMonthNo+8,1),"ГГ МММ"))</f>
        <v>17 СЕН</v>
      </c>
      <c r="M3" s="54" t="str">
        <f ca="1">UPPER(TEXT(DATE(FYStartYear,FYMonthNo+9,1),"ГГ МММ"))</f>
        <v>17 ОКТ</v>
      </c>
      <c r="N3" s="54" t="str">
        <f ca="1">UPPER(TEXT(DATE(FYStartYear,FYMonthNo+10,1),"ГГ МММ"))</f>
        <v>17 НОЯ</v>
      </c>
      <c r="O3" s="54" t="str">
        <f ca="1">UPPER(TEXT(DATE(FYStartYear,FYMonthNo+11,1),"ГГ МММ"))</f>
        <v>17 ДЕК</v>
      </c>
      <c r="P3" s="54" t="s">
        <v>24</v>
      </c>
      <c r="Q3" s="54" t="s">
        <v>26</v>
      </c>
      <c r="R3" s="54" t="str">
        <f ca="1">RIGHT(D3,3)&amp;" %"</f>
        <v>ЯНВ %</v>
      </c>
      <c r="S3" s="54" t="str">
        <f ca="1">RIGHT(E3,3)&amp;" %"</f>
        <v>ФЕВ %</v>
      </c>
      <c r="T3" s="54" t="str">
        <f ca="1">RIGHT(F3,3)&amp;" %"</f>
        <v>МАР %</v>
      </c>
      <c r="U3" s="54" t="str">
        <f ca="1">RIGHT(G3,3)&amp;" %"</f>
        <v>АПР %</v>
      </c>
      <c r="V3" s="54" t="str">
        <f t="shared" ref="V3:AC3" ca="1" si="0">RIGHT(H3,3)&amp;" %"</f>
        <v>МАЙ %</v>
      </c>
      <c r="W3" s="54" t="str">
        <f t="shared" ca="1" si="0"/>
        <v>ИЮН %</v>
      </c>
      <c r="X3" s="54" t="str">
        <f t="shared" ca="1" si="0"/>
        <v>ИЮЛ %</v>
      </c>
      <c r="Y3" s="54" t="str">
        <f t="shared" ca="1" si="0"/>
        <v>АВГ %</v>
      </c>
      <c r="Z3" s="54" t="str">
        <f t="shared" ca="1" si="0"/>
        <v>СЕН %</v>
      </c>
      <c r="AA3" s="54" t="str">
        <f t="shared" ca="1" si="0"/>
        <v>ОКТ %</v>
      </c>
      <c r="AB3" s="54" t="str">
        <f t="shared" ca="1" si="0"/>
        <v>НОЯ %</v>
      </c>
      <c r="AC3" s="54" t="str">
        <f t="shared" ca="1" si="0"/>
        <v>ДЕК %</v>
      </c>
      <c r="AD3" s="54" t="s">
        <v>43</v>
      </c>
    </row>
    <row r="4" spans="1:30" ht="30" customHeight="1" x14ac:dyDescent="0.3">
      <c r="B4" s="55" t="s">
        <v>2</v>
      </c>
      <c r="C4" s="55" t="s">
        <v>11</v>
      </c>
      <c r="D4" s="56" t="s">
        <v>12</v>
      </c>
      <c r="E4" s="56" t="s">
        <v>13</v>
      </c>
      <c r="F4" s="56" t="s">
        <v>14</v>
      </c>
      <c r="G4" s="56" t="s">
        <v>15</v>
      </c>
      <c r="H4" s="56" t="s">
        <v>16</v>
      </c>
      <c r="I4" s="56" t="s">
        <v>17</v>
      </c>
      <c r="J4" s="56" t="s">
        <v>18</v>
      </c>
      <c r="K4" s="56" t="s">
        <v>19</v>
      </c>
      <c r="L4" s="56" t="s">
        <v>20</v>
      </c>
      <c r="M4" s="56" t="s">
        <v>21</v>
      </c>
      <c r="N4" s="56" t="s">
        <v>22</v>
      </c>
      <c r="O4" s="56" t="s">
        <v>23</v>
      </c>
      <c r="P4" s="56" t="s">
        <v>25</v>
      </c>
      <c r="Q4" s="57" t="s">
        <v>27</v>
      </c>
      <c r="R4" s="57" t="s">
        <v>28</v>
      </c>
      <c r="S4" s="57" t="s">
        <v>29</v>
      </c>
      <c r="T4" s="57" t="s">
        <v>30</v>
      </c>
      <c r="U4" s="57" t="s">
        <v>31</v>
      </c>
      <c r="V4" s="57" t="s">
        <v>32</v>
      </c>
      <c r="W4" s="57" t="s">
        <v>33</v>
      </c>
      <c r="X4" s="57" t="s">
        <v>34</v>
      </c>
      <c r="Y4" s="57" t="s">
        <v>35</v>
      </c>
      <c r="Z4" s="57" t="s">
        <v>36</v>
      </c>
      <c r="AA4" s="57" t="s">
        <v>37</v>
      </c>
      <c r="AB4" s="57" t="s">
        <v>39</v>
      </c>
      <c r="AC4" s="57" t="s">
        <v>41</v>
      </c>
      <c r="AD4" s="56" t="s">
        <v>44</v>
      </c>
    </row>
    <row r="5" spans="1:30" ht="30" customHeight="1" x14ac:dyDescent="0.3">
      <c r="B5" s="58" t="s">
        <v>3</v>
      </c>
      <c r="C5" s="59"/>
      <c r="D5" s="60">
        <v>18600</v>
      </c>
      <c r="E5" s="60">
        <v>10800</v>
      </c>
      <c r="F5" s="60">
        <v>9200</v>
      </c>
      <c r="G5" s="60">
        <v>12200</v>
      </c>
      <c r="H5" s="60">
        <v>19000</v>
      </c>
      <c r="I5" s="60">
        <v>7100</v>
      </c>
      <c r="J5" s="60">
        <v>2100</v>
      </c>
      <c r="K5" s="60">
        <v>3700</v>
      </c>
      <c r="L5" s="60">
        <v>2400</v>
      </c>
      <c r="M5" s="60">
        <v>17800</v>
      </c>
      <c r="N5" s="60">
        <v>9200</v>
      </c>
      <c r="O5" s="60">
        <v>9700</v>
      </c>
      <c r="P5" s="61">
        <f>SUM(Доходы[[#This Row],[Янв]:[Дек]])</f>
        <v>121800</v>
      </c>
      <c r="Q5" s="62">
        <v>0.12</v>
      </c>
      <c r="R5" s="63">
        <f>IFERROR(Доходы[[#This Row],[Янв]]/Доходы[[#Totals],[Янв]],"-")</f>
        <v>0.29807692307692307</v>
      </c>
      <c r="S5" s="63">
        <f>IFERROR(Доходы[[#This Row],[Фев]]/Доходы[[#Totals],[Фев]],"-")</f>
        <v>0.14673913043478262</v>
      </c>
      <c r="T5" s="63">
        <f>IFERROR(Доходы[[#This Row],[Мар]]/Доходы[[#Totals],[Мар]],"-")</f>
        <v>0.11219512195121951</v>
      </c>
      <c r="U5" s="63">
        <f>IFERROR(Доходы[[#This Row],[Апр]]/Доходы[[#Totals],[Апр]],"-")</f>
        <v>0.19967266775777415</v>
      </c>
      <c r="V5" s="63">
        <f>IFERROR(Доходы[[#This Row],[Май]]/Доходы[[#Totals],[Май]],"-")</f>
        <v>0.23399014778325122</v>
      </c>
      <c r="W5" s="63">
        <f>IFERROR(Доходы[[#This Row],[Июн]]/Доходы[[#Totals],[Июн]],"-")</f>
        <v>0.12283737024221453</v>
      </c>
      <c r="X5" s="63">
        <f>IFERROR(Доходы[[#This Row],[Июл]]/Доходы[[#Totals],[Июл]],"-")</f>
        <v>3.5175879396984924E-2</v>
      </c>
      <c r="Y5" s="63">
        <f>IFERROR(Доходы[[#This Row],[Авг]]/Доходы[[#Totals],[Авг]],"-")</f>
        <v>5.4814814814814816E-2</v>
      </c>
      <c r="Z5" s="63">
        <f>IFERROR(Доходы[[#This Row],[Сен]]/Доходы[[#Totals],[Сен]],"-")</f>
        <v>3.2258064516129031E-2</v>
      </c>
      <c r="AA5" s="63">
        <f>IFERROR(Доходы[[#This Row],[Окт]]/Доходы[[#Totals],[Окт]],"-")</f>
        <v>0.26138032305433184</v>
      </c>
      <c r="AB5" s="63">
        <f>IFERROR(Доходы[[#This Row],[Ноя]]/Доходы[[#Totals],[Ноя]],"-")</f>
        <v>0.12449255751014884</v>
      </c>
      <c r="AC5" s="63">
        <f>IFERROR(Доходы[[#This Row],[Дек]]/Доходы[[#Totals],[Дек]],"-")</f>
        <v>9.3000958772770856E-2</v>
      </c>
      <c r="AD5" s="64">
        <f>IFERROR(Доходы[[#This Row],[За год]]/Доходы[[#Totals],[За год]],"-")</f>
        <v>0.14064665127020784</v>
      </c>
    </row>
    <row r="6" spans="1:30" ht="30" customHeight="1" x14ac:dyDescent="0.3">
      <c r="B6" s="58" t="s">
        <v>4</v>
      </c>
      <c r="C6" s="59"/>
      <c r="D6" s="60">
        <v>1500</v>
      </c>
      <c r="E6" s="60">
        <v>1600</v>
      </c>
      <c r="F6" s="60">
        <v>19800</v>
      </c>
      <c r="G6" s="60">
        <v>4400</v>
      </c>
      <c r="H6" s="60">
        <v>2500</v>
      </c>
      <c r="I6" s="60">
        <v>6800</v>
      </c>
      <c r="J6" s="60">
        <v>4300</v>
      </c>
      <c r="K6" s="60">
        <v>11900</v>
      </c>
      <c r="L6" s="60">
        <v>3700</v>
      </c>
      <c r="M6" s="60">
        <v>11800</v>
      </c>
      <c r="N6" s="60">
        <v>2900</v>
      </c>
      <c r="O6" s="60">
        <v>17100</v>
      </c>
      <c r="P6" s="61">
        <f>SUM(Доходы[[#This Row],[Янв]:[Дек]])</f>
        <v>88300</v>
      </c>
      <c r="Q6" s="62">
        <v>0.18</v>
      </c>
      <c r="R6" s="63">
        <f>IFERROR(Доходы[[#This Row],[Янв]]/Доходы[[#Totals],[Янв]],"-")</f>
        <v>2.403846153846154E-2</v>
      </c>
      <c r="S6" s="63">
        <f>IFERROR(Доходы[[#This Row],[Фев]]/Доходы[[#Totals],[Фев]],"-")</f>
        <v>2.1739130434782608E-2</v>
      </c>
      <c r="T6" s="63">
        <f>IFERROR(Доходы[[#This Row],[Мар]]/Доходы[[#Totals],[Мар]],"-")</f>
        <v>0.24146341463414633</v>
      </c>
      <c r="U6" s="63">
        <f>IFERROR(Доходы[[#This Row],[Апр]]/Доходы[[#Totals],[Апр]],"-")</f>
        <v>7.2013093289689037E-2</v>
      </c>
      <c r="V6" s="63">
        <f>IFERROR(Доходы[[#This Row],[Май]]/Доходы[[#Totals],[Май]],"-")</f>
        <v>3.0788177339901478E-2</v>
      </c>
      <c r="W6" s="63">
        <f>IFERROR(Доходы[[#This Row],[Июн]]/Доходы[[#Totals],[Июн]],"-")</f>
        <v>0.11764705882352941</v>
      </c>
      <c r="X6" s="63">
        <f>IFERROR(Доходы[[#This Row],[Июл]]/Доходы[[#Totals],[Июл]],"-")</f>
        <v>7.2026800670016752E-2</v>
      </c>
      <c r="Y6" s="63">
        <f>IFERROR(Доходы[[#This Row],[Авг]]/Доходы[[#Totals],[Авг]],"-")</f>
        <v>0.17629629629629628</v>
      </c>
      <c r="Z6" s="63">
        <f>IFERROR(Доходы[[#This Row],[Сен]]/Доходы[[#Totals],[Сен]],"-")</f>
        <v>4.9731182795698922E-2</v>
      </c>
      <c r="AA6" s="63">
        <f>IFERROR(Доходы[[#This Row],[Окт]]/Доходы[[#Totals],[Окт]],"-")</f>
        <v>0.17327459618208516</v>
      </c>
      <c r="AB6" s="63">
        <f>IFERROR(Доходы[[#This Row],[Ноя]]/Доходы[[#Totals],[Ноя]],"-")</f>
        <v>3.9242219215155617E-2</v>
      </c>
      <c r="AC6" s="63">
        <f>IFERROR(Доходы[[#This Row],[Дек]]/Доходы[[#Totals],[Дек]],"-")</f>
        <v>0.16395014381591563</v>
      </c>
      <c r="AD6" s="64">
        <f>IFERROR(Доходы[[#This Row],[За год]]/Доходы[[#Totals],[За год]],"-")</f>
        <v>0.10196304849884527</v>
      </c>
    </row>
    <row r="7" spans="1:30" ht="30" customHeight="1" x14ac:dyDescent="0.3">
      <c r="B7" s="58" t="s">
        <v>5</v>
      </c>
      <c r="C7" s="59"/>
      <c r="D7" s="60">
        <v>16600</v>
      </c>
      <c r="E7" s="60">
        <v>18500</v>
      </c>
      <c r="F7" s="60">
        <v>8900</v>
      </c>
      <c r="G7" s="60">
        <v>17000</v>
      </c>
      <c r="H7" s="60">
        <v>13100</v>
      </c>
      <c r="I7" s="60">
        <v>7000</v>
      </c>
      <c r="J7" s="60">
        <v>5000</v>
      </c>
      <c r="K7" s="60">
        <v>14900</v>
      </c>
      <c r="L7" s="60">
        <v>17900</v>
      </c>
      <c r="M7" s="60">
        <v>10400</v>
      </c>
      <c r="N7" s="60">
        <v>11900</v>
      </c>
      <c r="O7" s="60">
        <v>18700</v>
      </c>
      <c r="P7" s="61">
        <f>SUM(Доходы[[#This Row],[Янв]:[Дек]])</f>
        <v>159900</v>
      </c>
      <c r="Q7" s="62">
        <v>0.19</v>
      </c>
      <c r="R7" s="63">
        <f>IFERROR(Доходы[[#This Row],[Янв]]/Доходы[[#Totals],[Янв]],"-")</f>
        <v>0.26602564102564102</v>
      </c>
      <c r="S7" s="63">
        <f>IFERROR(Доходы[[#This Row],[Фев]]/Доходы[[#Totals],[Фев]],"-")</f>
        <v>0.25135869565217389</v>
      </c>
      <c r="T7" s="63">
        <f>IFERROR(Доходы[[#This Row],[Мар]]/Доходы[[#Totals],[Мар]],"-")</f>
        <v>0.10853658536585366</v>
      </c>
      <c r="U7" s="63">
        <f>IFERROR(Доходы[[#This Row],[Апр]]/Доходы[[#Totals],[Апр]],"-")</f>
        <v>0.27823240589198034</v>
      </c>
      <c r="V7" s="63">
        <f>IFERROR(Доходы[[#This Row],[Май]]/Доходы[[#Totals],[Май]],"-")</f>
        <v>0.16133004926108374</v>
      </c>
      <c r="W7" s="63">
        <f>IFERROR(Доходы[[#This Row],[Июн]]/Доходы[[#Totals],[Июн]],"-")</f>
        <v>0.12110726643598616</v>
      </c>
      <c r="X7" s="63">
        <f>IFERROR(Доходы[[#This Row],[Июл]]/Доходы[[#Totals],[Июл]],"-")</f>
        <v>8.3752093802345065E-2</v>
      </c>
      <c r="Y7" s="63">
        <f>IFERROR(Доходы[[#This Row],[Авг]]/Доходы[[#Totals],[Авг]],"-")</f>
        <v>0.22074074074074074</v>
      </c>
      <c r="Z7" s="63">
        <f>IFERROR(Доходы[[#This Row],[Сен]]/Доходы[[#Totals],[Сен]],"-")</f>
        <v>0.24059139784946237</v>
      </c>
      <c r="AA7" s="63">
        <f>IFERROR(Доходы[[#This Row],[Окт]]/Доходы[[#Totals],[Окт]],"-")</f>
        <v>0.1527165932452276</v>
      </c>
      <c r="AB7" s="63">
        <f>IFERROR(Доходы[[#This Row],[Ноя]]/Доходы[[#Totals],[Ноя]],"-")</f>
        <v>0.16102841677943167</v>
      </c>
      <c r="AC7" s="63">
        <f>IFERROR(Доходы[[#This Row],[Дек]]/Доходы[[#Totals],[Дек]],"-")</f>
        <v>0.17929050814956854</v>
      </c>
      <c r="AD7" s="64">
        <f>IFERROR(Доходы[[#This Row],[За год]]/Доходы[[#Totals],[За год]],"-")</f>
        <v>0.18464203233256352</v>
      </c>
    </row>
    <row r="8" spans="1:30" ht="30" customHeight="1" x14ac:dyDescent="0.3">
      <c r="B8" s="58" t="s">
        <v>6</v>
      </c>
      <c r="C8" s="59"/>
      <c r="D8" s="60">
        <v>2100</v>
      </c>
      <c r="E8" s="60">
        <v>11300</v>
      </c>
      <c r="F8" s="60">
        <v>8300</v>
      </c>
      <c r="G8" s="60">
        <v>1700</v>
      </c>
      <c r="H8" s="60">
        <v>13000</v>
      </c>
      <c r="I8" s="60">
        <v>2600</v>
      </c>
      <c r="J8" s="60">
        <v>16700</v>
      </c>
      <c r="K8" s="60">
        <v>10200</v>
      </c>
      <c r="L8" s="60">
        <v>8200</v>
      </c>
      <c r="M8" s="60">
        <v>3300</v>
      </c>
      <c r="N8" s="60">
        <v>8800</v>
      </c>
      <c r="O8" s="60">
        <v>19300</v>
      </c>
      <c r="P8" s="61">
        <f>SUM(Доходы[[#This Row],[Янв]:[Дек]])</f>
        <v>105500</v>
      </c>
      <c r="Q8" s="62">
        <v>0.11</v>
      </c>
      <c r="R8" s="63">
        <f>IFERROR(Доходы[[#This Row],[Янв]]/Доходы[[#Totals],[Янв]],"-")</f>
        <v>3.3653846153846152E-2</v>
      </c>
      <c r="S8" s="63">
        <f>IFERROR(Доходы[[#This Row],[Фев]]/Доходы[[#Totals],[Фев]],"-")</f>
        <v>0.15353260869565216</v>
      </c>
      <c r="T8" s="63">
        <f>IFERROR(Доходы[[#This Row],[Мар]]/Доходы[[#Totals],[Мар]],"-")</f>
        <v>0.10121951219512196</v>
      </c>
      <c r="U8" s="63">
        <f>IFERROR(Доходы[[#This Row],[Апр]]/Доходы[[#Totals],[Апр]],"-")</f>
        <v>2.7823240589198037E-2</v>
      </c>
      <c r="V8" s="63">
        <f>IFERROR(Доходы[[#This Row],[Май]]/Доходы[[#Totals],[Май]],"-")</f>
        <v>0.16009852216748768</v>
      </c>
      <c r="W8" s="63">
        <f>IFERROR(Доходы[[#This Row],[Июн]]/Доходы[[#Totals],[Июн]],"-")</f>
        <v>4.4982698961937718E-2</v>
      </c>
      <c r="X8" s="63">
        <f>IFERROR(Доходы[[#This Row],[Июл]]/Доходы[[#Totals],[Июл]],"-")</f>
        <v>0.2797319932998325</v>
      </c>
      <c r="Y8" s="63">
        <f>IFERROR(Доходы[[#This Row],[Авг]]/Доходы[[#Totals],[Авг]],"-")</f>
        <v>0.15111111111111111</v>
      </c>
      <c r="Z8" s="63">
        <f>IFERROR(Доходы[[#This Row],[Сен]]/Доходы[[#Totals],[Сен]],"-")</f>
        <v>0.11021505376344086</v>
      </c>
      <c r="AA8" s="63">
        <f>IFERROR(Доходы[[#This Row],[Окт]]/Доходы[[#Totals],[Окт]],"-")</f>
        <v>4.8458149779735685E-2</v>
      </c>
      <c r="AB8" s="63">
        <f>IFERROR(Доходы[[#This Row],[Ноя]]/Доходы[[#Totals],[Ноя]],"-")</f>
        <v>0.11907983761840325</v>
      </c>
      <c r="AC8" s="63">
        <f>IFERROR(Доходы[[#This Row],[Дек]]/Доходы[[#Totals],[Дек]],"-")</f>
        <v>0.18504314477468839</v>
      </c>
      <c r="AD8" s="64">
        <f>IFERROR(Доходы[[#This Row],[За год]]/Доходы[[#Totals],[За год]],"-")</f>
        <v>0.12182448036951501</v>
      </c>
    </row>
    <row r="9" spans="1:30" ht="30" customHeight="1" x14ac:dyDescent="0.3">
      <c r="B9" s="58" t="s">
        <v>7</v>
      </c>
      <c r="C9" s="59"/>
      <c r="D9" s="60">
        <v>7000</v>
      </c>
      <c r="E9" s="60">
        <v>16000</v>
      </c>
      <c r="F9" s="60">
        <v>12500</v>
      </c>
      <c r="G9" s="60">
        <v>8400</v>
      </c>
      <c r="H9" s="60">
        <v>19100</v>
      </c>
      <c r="I9" s="60">
        <v>9700</v>
      </c>
      <c r="J9" s="60">
        <v>5200</v>
      </c>
      <c r="K9" s="60">
        <v>4500</v>
      </c>
      <c r="L9" s="60">
        <v>17300</v>
      </c>
      <c r="M9" s="60">
        <v>13600</v>
      </c>
      <c r="N9" s="60">
        <v>14400</v>
      </c>
      <c r="O9" s="60">
        <v>16700</v>
      </c>
      <c r="P9" s="61">
        <f>SUM(Доходы[[#This Row],[Янв]:[Дек]])</f>
        <v>144400</v>
      </c>
      <c r="Q9" s="62">
        <v>0.2</v>
      </c>
      <c r="R9" s="63">
        <f>IFERROR(Доходы[[#This Row],[Янв]]/Доходы[[#Totals],[Янв]],"-")</f>
        <v>0.11217948717948718</v>
      </c>
      <c r="S9" s="63">
        <f>IFERROR(Доходы[[#This Row],[Фев]]/Доходы[[#Totals],[Фев]],"-")</f>
        <v>0.21739130434782608</v>
      </c>
      <c r="T9" s="63">
        <f>IFERROR(Доходы[[#This Row],[Мар]]/Доходы[[#Totals],[Мар]],"-")</f>
        <v>0.1524390243902439</v>
      </c>
      <c r="U9" s="63">
        <f>IFERROR(Доходы[[#This Row],[Апр]]/Доходы[[#Totals],[Апр]],"-")</f>
        <v>0.13747954173486088</v>
      </c>
      <c r="V9" s="63">
        <f>IFERROR(Доходы[[#This Row],[Май]]/Доходы[[#Totals],[Май]],"-")</f>
        <v>0.23522167487684728</v>
      </c>
      <c r="W9" s="63">
        <f>IFERROR(Доходы[[#This Row],[Июн]]/Доходы[[#Totals],[Июн]],"-")</f>
        <v>0.16782006920415224</v>
      </c>
      <c r="X9" s="63">
        <f>IFERROR(Доходы[[#This Row],[Июл]]/Доходы[[#Totals],[Июл]],"-")</f>
        <v>8.7102177554438859E-2</v>
      </c>
      <c r="Y9" s="63">
        <f>IFERROR(Доходы[[#This Row],[Авг]]/Доходы[[#Totals],[Авг]],"-")</f>
        <v>6.6666666666666666E-2</v>
      </c>
      <c r="Z9" s="63">
        <f>IFERROR(Доходы[[#This Row],[Сен]]/Доходы[[#Totals],[Сен]],"-")</f>
        <v>0.2325268817204301</v>
      </c>
      <c r="AA9" s="63">
        <f>IFERROR(Доходы[[#This Row],[Окт]]/Доходы[[#Totals],[Окт]],"-")</f>
        <v>0.19970631424375918</v>
      </c>
      <c r="AB9" s="63">
        <f>IFERROR(Доходы[[#This Row],[Ноя]]/Доходы[[#Totals],[Ноя]],"-")</f>
        <v>0.19485791610284167</v>
      </c>
      <c r="AC9" s="63">
        <f>IFERROR(Доходы[[#This Row],[Дек]]/Доходы[[#Totals],[Дек]],"-")</f>
        <v>0.1601150527325024</v>
      </c>
      <c r="AD9" s="64">
        <f>IFERROR(Доходы[[#This Row],[За год]]/Доходы[[#Totals],[За год]],"-")</f>
        <v>0.16674364896073904</v>
      </c>
    </row>
    <row r="10" spans="1:30" ht="30" customHeight="1" x14ac:dyDescent="0.3">
      <c r="B10" s="58" t="s">
        <v>8</v>
      </c>
      <c r="C10" s="59"/>
      <c r="D10" s="60">
        <v>6100</v>
      </c>
      <c r="E10" s="60">
        <v>9900</v>
      </c>
      <c r="F10" s="60">
        <v>7000</v>
      </c>
      <c r="G10" s="60">
        <v>16200</v>
      </c>
      <c r="H10" s="60">
        <v>2800</v>
      </c>
      <c r="I10" s="60">
        <v>16300</v>
      </c>
      <c r="J10" s="60">
        <v>10100</v>
      </c>
      <c r="K10" s="60">
        <v>10300</v>
      </c>
      <c r="L10" s="60">
        <v>7800</v>
      </c>
      <c r="M10" s="60">
        <v>3300</v>
      </c>
      <c r="N10" s="60">
        <v>16200</v>
      </c>
      <c r="O10" s="60">
        <v>15900</v>
      </c>
      <c r="P10" s="61">
        <f>SUM(Доходы[[#This Row],[Янв]:[Дек]])</f>
        <v>121900</v>
      </c>
      <c r="Q10" s="62">
        <v>0.1</v>
      </c>
      <c r="R10" s="63">
        <f>IFERROR(Доходы[[#This Row],[Янв]]/Доходы[[#Totals],[Янв]],"-")</f>
        <v>9.7756410256410256E-2</v>
      </c>
      <c r="S10" s="63">
        <f>IFERROR(Доходы[[#This Row],[Фев]]/Доходы[[#Totals],[Фев]],"-")</f>
        <v>0.13451086956521738</v>
      </c>
      <c r="T10" s="63">
        <f>IFERROR(Доходы[[#This Row],[Мар]]/Доходы[[#Totals],[Мар]],"-")</f>
        <v>8.5365853658536592E-2</v>
      </c>
      <c r="U10" s="63">
        <f>IFERROR(Доходы[[#This Row],[Апр]]/Доходы[[#Totals],[Апр]],"-")</f>
        <v>0.265139116202946</v>
      </c>
      <c r="V10" s="63">
        <f>IFERROR(Доходы[[#This Row],[Май]]/Доходы[[#Totals],[Май]],"-")</f>
        <v>3.4482758620689655E-2</v>
      </c>
      <c r="W10" s="63">
        <f>IFERROR(Доходы[[#This Row],[Июн]]/Доходы[[#Totals],[Июн]],"-")</f>
        <v>0.2820069204152249</v>
      </c>
      <c r="X10" s="63">
        <f>IFERROR(Доходы[[#This Row],[Июл]]/Доходы[[#Totals],[Июл]],"-")</f>
        <v>0.16917922948073702</v>
      </c>
      <c r="Y10" s="63">
        <f>IFERROR(Доходы[[#This Row],[Авг]]/Доходы[[#Totals],[Авг]],"-")</f>
        <v>0.15259259259259259</v>
      </c>
      <c r="Z10" s="63">
        <f>IFERROR(Доходы[[#This Row],[Сен]]/Доходы[[#Totals],[Сен]],"-")</f>
        <v>0.10483870967741936</v>
      </c>
      <c r="AA10" s="63">
        <f>IFERROR(Доходы[[#This Row],[Окт]]/Доходы[[#Totals],[Окт]],"-")</f>
        <v>4.8458149779735685E-2</v>
      </c>
      <c r="AB10" s="63">
        <f>IFERROR(Доходы[[#This Row],[Ноя]]/Доходы[[#Totals],[Ноя]],"-")</f>
        <v>0.21921515561569688</v>
      </c>
      <c r="AC10" s="63">
        <f>IFERROR(Доходы[[#This Row],[Дек]]/Доходы[[#Totals],[Дек]],"-")</f>
        <v>0.15244487056567593</v>
      </c>
      <c r="AD10" s="64">
        <f>IFERROR(Доходы[[#This Row],[За год]]/Доходы[[#Totals],[За год]],"-")</f>
        <v>0.14076212471131641</v>
      </c>
    </row>
    <row r="11" spans="1:30" ht="30" customHeight="1" x14ac:dyDescent="0.3">
      <c r="B11" s="58" t="s">
        <v>9</v>
      </c>
      <c r="C11" s="59"/>
      <c r="D11" s="60">
        <v>10500</v>
      </c>
      <c r="E11" s="60">
        <v>5500</v>
      </c>
      <c r="F11" s="60">
        <v>16300</v>
      </c>
      <c r="G11" s="60">
        <v>1200</v>
      </c>
      <c r="H11" s="60">
        <v>11700</v>
      </c>
      <c r="I11" s="60">
        <v>8300</v>
      </c>
      <c r="J11" s="60">
        <v>16300</v>
      </c>
      <c r="K11" s="60">
        <v>12000</v>
      </c>
      <c r="L11" s="60">
        <v>17100</v>
      </c>
      <c r="M11" s="60">
        <v>7900</v>
      </c>
      <c r="N11" s="60">
        <v>10500</v>
      </c>
      <c r="O11" s="60">
        <v>6900</v>
      </c>
      <c r="P11" s="61">
        <f>SUM(Доходы[[#This Row],[Янв]:[Дек]])</f>
        <v>124200</v>
      </c>
      <c r="Q11" s="62">
        <v>0.1</v>
      </c>
      <c r="R11" s="63">
        <f>IFERROR(Доходы[[#This Row],[Янв]]/Доходы[[#Totals],[Янв]],"-")</f>
        <v>0.16826923076923078</v>
      </c>
      <c r="S11" s="63">
        <f>IFERROR(Доходы[[#This Row],[Фев]]/Доходы[[#Totals],[Фев]],"-")</f>
        <v>7.4728260869565216E-2</v>
      </c>
      <c r="T11" s="63">
        <f>IFERROR(Доходы[[#This Row],[Мар]]/Доходы[[#Totals],[Мар]],"-")</f>
        <v>0.19878048780487806</v>
      </c>
      <c r="U11" s="63">
        <f>IFERROR(Доходы[[#This Row],[Апр]]/Доходы[[#Totals],[Апр]],"-")</f>
        <v>1.9639934533551555E-2</v>
      </c>
      <c r="V11" s="63">
        <f>IFERROR(Доходы[[#This Row],[Май]]/Доходы[[#Totals],[Май]],"-")</f>
        <v>0.14408866995073891</v>
      </c>
      <c r="W11" s="63">
        <f>IFERROR(Доходы[[#This Row],[Июн]]/Доходы[[#Totals],[Июн]],"-")</f>
        <v>0.14359861591695502</v>
      </c>
      <c r="X11" s="63">
        <f>IFERROR(Доходы[[#This Row],[Июл]]/Доходы[[#Totals],[Июл]],"-")</f>
        <v>0.27303182579564489</v>
      </c>
      <c r="Y11" s="63">
        <f>IFERROR(Доходы[[#This Row],[Авг]]/Доходы[[#Totals],[Авг]],"-")</f>
        <v>0.17777777777777778</v>
      </c>
      <c r="Z11" s="63">
        <f>IFERROR(Доходы[[#This Row],[Сен]]/Доходы[[#Totals],[Сен]],"-")</f>
        <v>0.22983870967741934</v>
      </c>
      <c r="AA11" s="63">
        <f>IFERROR(Доходы[[#This Row],[Окт]]/Доходы[[#Totals],[Окт]],"-")</f>
        <v>0.11600587371512482</v>
      </c>
      <c r="AB11" s="63">
        <f>IFERROR(Доходы[[#This Row],[Ноя]]/Доходы[[#Totals],[Ноя]],"-")</f>
        <v>0.14208389715832206</v>
      </c>
      <c r="AC11" s="63">
        <f>IFERROR(Доходы[[#This Row],[Дек]]/Доходы[[#Totals],[Дек]],"-")</f>
        <v>6.6155321188878236E-2</v>
      </c>
      <c r="AD11" s="64">
        <f>IFERROR(Доходы[[#This Row],[За год]]/Доходы[[#Totals],[За год]],"-")</f>
        <v>0.14341801385681294</v>
      </c>
    </row>
    <row r="12" spans="1:30" ht="30" customHeight="1" x14ac:dyDescent="0.3">
      <c r="B12" s="65" t="s">
        <v>10</v>
      </c>
      <c r="C12" s="66"/>
      <c r="D12" s="67">
        <f>SUBTOTAL(109,Доходы[Янв])</f>
        <v>62400</v>
      </c>
      <c r="E12" s="67">
        <f>SUBTOTAL(109,Доходы[Фев])</f>
        <v>73600</v>
      </c>
      <c r="F12" s="67">
        <f>SUBTOTAL(109,Доходы[Мар])</f>
        <v>82000</v>
      </c>
      <c r="G12" s="67">
        <f>SUBTOTAL(109,Доходы[Апр])</f>
        <v>61100</v>
      </c>
      <c r="H12" s="67">
        <f>SUBTOTAL(109,Доходы[Май])</f>
        <v>81200</v>
      </c>
      <c r="I12" s="67">
        <f>SUBTOTAL(109,Доходы[Июн])</f>
        <v>57800</v>
      </c>
      <c r="J12" s="67">
        <f>SUBTOTAL(109,Доходы[Июл])</f>
        <v>59700</v>
      </c>
      <c r="K12" s="67">
        <f>SUBTOTAL(109,Доходы[Авг])</f>
        <v>67500</v>
      </c>
      <c r="L12" s="67">
        <f>SUBTOTAL(109,Доходы[Сен])</f>
        <v>74400</v>
      </c>
      <c r="M12" s="67">
        <f>SUBTOTAL(109,Доходы[Окт])</f>
        <v>68100</v>
      </c>
      <c r="N12" s="67">
        <f>SUBTOTAL(109,Доходы[Ноя])</f>
        <v>73900</v>
      </c>
      <c r="O12" s="67">
        <f>SUBTOTAL(109,Доходы[Дек])</f>
        <v>104300</v>
      </c>
      <c r="P12" s="67">
        <f>SUBTOTAL(109,Доходы[За год])</f>
        <v>866000</v>
      </c>
      <c r="Q12" s="68">
        <f>SUBTOTAL(109,Доходы[Индекс (%)])</f>
        <v>1</v>
      </c>
      <c r="R12" s="68">
        <f>SUBTOTAL(109,Доходы[Янв (%)])</f>
        <v>1</v>
      </c>
      <c r="S12" s="68">
        <f>SUBTOTAL(109,Доходы[Фев (%)])</f>
        <v>1</v>
      </c>
      <c r="T12" s="68">
        <f>SUBTOTAL(109,Доходы[Мар (%)])</f>
        <v>1</v>
      </c>
      <c r="U12" s="68">
        <f>SUBTOTAL(109,Доходы[Апр (%)])</f>
        <v>0.99999999999999989</v>
      </c>
      <c r="V12" s="68">
        <f>SUBTOTAL(109,Доходы[Май (%)])</f>
        <v>0.99999999999999989</v>
      </c>
      <c r="W12" s="68">
        <f>SUBTOTAL(109,Доходы[Июн (%)])</f>
        <v>1</v>
      </c>
      <c r="X12" s="68">
        <f>SUBTOTAL(109,Доходы[Июл (%)])</f>
        <v>1</v>
      </c>
      <c r="Y12" s="68">
        <f>SUBTOTAL(109,Доходы[Авг (%)])</f>
        <v>1</v>
      </c>
      <c r="Z12" s="68">
        <f>SUBTOTAL(109,Доходы[Сен (%)])</f>
        <v>1</v>
      </c>
      <c r="AA12" s="68">
        <f>SUBTOTAL(109,Доходы[Окт (%)])</f>
        <v>1</v>
      </c>
      <c r="AB12" s="68">
        <f>SUBTOTAL(109,Доходы[Ноя (%)])</f>
        <v>1</v>
      </c>
      <c r="AC12" s="68">
        <f>SUBTOTAL(109,Доходы[Дек (%)])</f>
        <v>0.99999999999999989</v>
      </c>
      <c r="AD12" s="68">
        <f>SUBTOTAL(109,Доходы[Год (%)])</f>
        <v>1</v>
      </c>
    </row>
  </sheetData>
  <dataValidations count="18">
    <dataValidation type="list" errorStyle="warning" allowBlank="1" showInputMessage="1" showErrorMessage="1" error="Выберите месяц в раскрывающемся списке. Выберите &quot;Отмена&quot;, затем нажмите клавиши ALT+СТРЕЛКА ВНИЗ. Нажмите клавишу ВВОД, чтобы выбрать месяц." prompt="Выберите месяц в этой ячейке. Нажмите клавиши ALT+СТРЕЛКА ВНИЗ, чтобы открыть раскрывающийся список, а затем — клавишу ВВОД, чтобы выбрать месяц." sqref="AC2" xr:uid="{00000000-0002-0000-0000-000000000000}">
      <formula1>"ЯНВ, ФЕВ, МАР, АПР, МАЙ, ИЮН, ИЮЛ, АВГ, СЕН, ОКТ, НОЯ, ДЕК"</formula1>
    </dataValidation>
    <dataValidation errorStyle="information" allowBlank="1" showInputMessage="1" errorTitle="Неизвестный год" error="Выберите год в раскрывающемся списке. Чтобы добавить или удалить год в списке, на вкладке &quot;Данные&quot; в группе &quot;Работа с данными&quot; нажмите кнопку &quot;Проверка данных&quot;." prompt="Введите год в этой ячейке." sqref="AD2" xr:uid="{00000000-0002-0000-0000-000001000000}"/>
    <dataValidation allowBlank="1" showInputMessage="1" showErrorMessage="1" prompt="Выберите первый месяц финансового года в ячейке AC2 и введите год в ячейке AD2 справа от этой подписи." sqref="AB2" xr:uid="{00000000-0002-0000-0000-000002000000}"/>
    <dataValidation allowBlank="1" showInputMessage="1" showErrorMessage="1" prompt="В этом столбце автоматически вычисляется годовой доход." sqref="P3" xr:uid="{00000000-0002-0000-0000-000003000000}"/>
    <dataValidation allowBlank="1" showInputMessage="1" showErrorMessage="1" prompt="Введите заголовок прогнозного периода, за который вычисляется общий объем продаж." sqref="B1" xr:uid="{00000000-0002-0000-0000-000004000000}"/>
    <dataValidation allowBlank="1" showInputMessage="1" showErrorMessage="1" prompt="Эта ячейка содержит заголовок прогноза. Для вычисления общего объема продаж введите значения в таблицу &quot;Доходы&quot; ниже." sqref="B2" xr:uid="{00000000-0002-0000-0000-000005000000}"/>
    <dataValidation allowBlank="1" showInputMessage="1" showErrorMessage="1" prompt="Введите в этой ячейке название организации." sqref="AD1" xr:uid="{00000000-0002-0000-0000-000006000000}"/>
    <dataValidation allowBlank="1" showInputMessage="1" showErrorMessage="1" prompt="Даты в этой строке обновляются автоматически в зависимости от первого месяца финансового года. Первый месяц можно изменить в ячейке AC2." sqref="D3" xr:uid="{00000000-0002-0000-0000-000007000000}"/>
    <dataValidation allowBlank="1" showInputMessage="1" showErrorMessage="1" prompt="Введите в этом столбце процентный индекс." sqref="Q4" xr:uid="{00000000-0002-0000-0000-000008000000}"/>
    <dataValidation allowBlank="1" showInputMessage="1" showErrorMessage="1" prompt="На этом листе вычисляется общий объем продаж за каждый месяц и год, а также общий годовой объем продаж из разных источников. Выберите первый месяц финансового года в ячейке AC2 и год в ячейке AD2." sqref="A2 A4:A12" xr:uid="{00000000-0002-0000-0000-000009000000}"/>
    <dataValidation allowBlank="1" showInputMessage="1" showErrorMessage="1" prompt="На этом листе вычисляется общий объем продаж за каждый месяц и год, а также общий годовой объем продаж из разных источников. Введите первый месяц финансового года в ячейке AC2 и год в ячейке AD2." sqref="A1" xr:uid="{00000000-0002-0000-0000-00000A000000}"/>
    <dataValidation allowBlank="1" showInputMessage="1" showErrorMessage="1" prompt="Автоматически обновляемый месяц" sqref="E3:O3" xr:uid="{00000000-0002-0000-0000-00000B000000}"/>
    <dataValidation allowBlank="1" showInputMessage="1" showErrorMessage="1" prompt="В этом столбце автоматически вычисляется доля продаж из разных источников в общем объеме продаж за месяц в этой ячейке." sqref="R3:AC3" xr:uid="{00000000-0002-0000-0000-00000C000000}"/>
    <dataValidation allowBlank="1" showInputMessage="1" showErrorMessage="1" prompt="В этом столбце автоматически вычисляется доля продаж из разных источников в общем объеме продаж за год." sqref="AD3" xr:uid="{00000000-0002-0000-0000-00000D000000}"/>
    <dataValidation allowBlank="1" showInputMessage="1" showErrorMessage="1" prompt="Введите в этом столбце доходы от продаж." sqref="B4" xr:uid="{00000000-0002-0000-0000-00000E000000}"/>
    <dataValidation allowBlank="1" showInputMessage="1" showErrorMessage="1" prompt="Этот столбец содержит диаграмму изменения доходов по времени." sqref="C4" xr:uid="{00000000-0002-0000-0000-00000F000000}"/>
    <dataValidation allowBlank="1" showInputMessage="1" showErrorMessage="1" prompt="Введите в этом столбце доходы из источников, указанных в столбце B." sqref="D4:O4" xr:uid="{00000000-0002-0000-0000-000010000000}"/>
    <dataValidation allowBlank="1" showInputMessage="1" showErrorMessage="1" prompt="Этот столбец содержит процентный индекс." sqref="Q3" xr:uid="{00000000-0002-0000-0000-000011000000}"/>
  </dataValidations>
  <printOptions horizontalCentered="1"/>
  <pageMargins left="0.25" right="0.25" top="0.75" bottom="0.75" header="0.3" footer="0.3"/>
  <pageSetup paperSize="9" fitToHeight="0" orientation="landscape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05C60535-1F16-4fd2-B633-F4F36F0B64E0}">
      <x14:sparklineGroups xmlns:xm="http://schemas.microsoft.com/office/excel/2006/main">
        <x14:sparklineGroup lineWeight="1" displayEmptyCellsAs="gap" high="1" low="1" xr2:uid="{00000000-0003-0000-0000-000000000000}">
          <x14:colorSeries theme="3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1"/>
          <x14:colorLow theme="3"/>
          <x14:sparklines>
            <x14:sparkline>
              <xm:f>'Доходы (продажи)'!$D$5:$O$5</xm:f>
              <xm:sqref>C5</xm:sqref>
            </x14:sparkline>
            <x14:sparkline>
              <xm:f>'Доходы (продажи)'!$D$6:$O$6</xm:f>
              <xm:sqref>C6</xm:sqref>
            </x14:sparkline>
            <x14:sparkline>
              <xm:f>'Доходы (продажи)'!$D$7:$O$7</xm:f>
              <xm:sqref>C7</xm:sqref>
            </x14:sparkline>
            <x14:sparkline>
              <xm:f>'Доходы (продажи)'!$D$8:$O$8</xm:f>
              <xm:sqref>C8</xm:sqref>
            </x14:sparkline>
            <x14:sparkline>
              <xm:f>'Доходы (продажи)'!$D$9:$O$9</xm:f>
              <xm:sqref>C9</xm:sqref>
            </x14:sparkline>
            <x14:sparkline>
              <xm:f>'Доходы (продажи)'!$D$10:$O$10</xm:f>
              <xm:sqref>C10</xm:sqref>
            </x14:sparkline>
            <x14:sparkline>
              <xm:f>'Доходы (продажи)'!$D$11:$O$11</xm:f>
              <xm:sqref>C11</xm:sqref>
            </x14:sparkline>
          </x14:sparklines>
        </x14:sparklineGroup>
        <x14:sparklineGroup lineWeight="1" displayEmptyCellsAs="gap" high="1" low="1" xr2:uid="{00000000-0003-0000-0000-000001000000}">
          <x14:colorSeries theme="3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1"/>
          <x14:colorLow theme="3"/>
          <x14:sparklines>
            <x14:sparkline>
              <xm:f>'Доходы (продажи)'!D12:O12</xm:f>
              <xm:sqref>C12</xm:sqref>
            </x14:sparkline>
          </x14:sparklines>
        </x14:sparklineGroup>
      </x14:sparklineGroup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0.39997558519241921"/>
    <pageSetUpPr fitToPage="1"/>
  </sheetPr>
  <dimension ref="A1:AD18"/>
  <sheetViews>
    <sheetView showGridLines="0" zoomScaleNormal="100" workbookViewId="0">
      <pane ySplit="3" topLeftCell="A4" activePane="bottomLeft" state="frozen"/>
      <selection activeCell="P1" sqref="P1:P1048576"/>
      <selection pane="bottomLeft"/>
    </sheetView>
  </sheetViews>
  <sheetFormatPr defaultRowHeight="30" customHeight="1" x14ac:dyDescent="0.3"/>
  <cols>
    <col min="1" max="1" width="2.625" customWidth="1"/>
    <col min="2" max="2" width="32.875" customWidth="1"/>
    <col min="3" max="3" width="12.625" customWidth="1"/>
    <col min="4" max="15" width="10.875" customWidth="1"/>
    <col min="16" max="16" width="12.125" customWidth="1"/>
    <col min="17" max="17" width="9.25" customWidth="1"/>
    <col min="18" max="29" width="8.75" customWidth="1"/>
    <col min="30" max="30" width="9.875" customWidth="1"/>
    <col min="31" max="31" width="2.625" customWidth="1"/>
  </cols>
  <sheetData>
    <row r="1" spans="1:30" ht="35.1" customHeight="1" x14ac:dyDescent="0.3">
      <c r="A1" s="6"/>
      <c r="B1" s="21" t="str">
        <f>Projection_Period_Title</f>
        <v>Двенадцать месяцев</v>
      </c>
      <c r="C1" s="11"/>
      <c r="J1" s="8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18" t="str">
        <f>Название_организации</f>
        <v>Название организации</v>
      </c>
    </row>
    <row r="2" spans="1:30" ht="60" customHeight="1" x14ac:dyDescent="0.3">
      <c r="B2" s="30" t="str">
        <f>Wksht_Title</f>
        <v>ОЦЕНКА ПРИБЫЛЕЙ И УБЫТКОВ</v>
      </c>
      <c r="E2" s="3"/>
      <c r="G2" s="3"/>
      <c r="K2" s="3"/>
      <c r="L2" s="3"/>
      <c r="M2" s="3"/>
      <c r="N2" s="3"/>
      <c r="O2" s="3"/>
      <c r="X2" s="5"/>
      <c r="Y2" s="5"/>
      <c r="Z2" s="5"/>
      <c r="AA2" s="5"/>
      <c r="AB2" s="19" t="s">
        <v>55</v>
      </c>
      <c r="AC2" s="19" t="str">
        <f>FYMonthStart</f>
        <v>ЯНВ</v>
      </c>
      <c r="AD2" s="19">
        <f ca="1">FYStartYear</f>
        <v>2017</v>
      </c>
    </row>
    <row r="3" spans="1:30" ht="20.100000000000001" customHeight="1" x14ac:dyDescent="0.3">
      <c r="D3" s="41" t="str">
        <f ca="1">UPPER(TEXT(DATE(FYStartYear,FYMonthNo,1),"ГГ МММ"))</f>
        <v>17 ЯНВ</v>
      </c>
      <c r="E3" s="41" t="str">
        <f ca="1">UPPER(TEXT(DATE(FYStartYear,FYMonthNo+1,1),"ГГ МММ"))</f>
        <v>17 ФЕВ</v>
      </c>
      <c r="F3" s="41" t="str">
        <f ca="1">UPPER(TEXT(DATE(FYStartYear,FYMonthNo+2,1),"ГГ МММ"))</f>
        <v>17 МАР</v>
      </c>
      <c r="G3" s="41" t="str">
        <f ca="1">UPPER(TEXT(DATE(FYStartYear,FYMonthNo+3,1),"ГГ МММ"))</f>
        <v>17 АПР</v>
      </c>
      <c r="H3" s="41" t="str">
        <f ca="1">UPPER(TEXT(DATE(FYStartYear,FYMonthNo+4,1),"ГГ МММ"))</f>
        <v>17 МАЙ</v>
      </c>
      <c r="I3" s="41" t="str">
        <f ca="1">UPPER(TEXT(DATE(FYStartYear,FYMonthNo+5,1),"ГГ МММ"))</f>
        <v>17 ИЮН</v>
      </c>
      <c r="J3" s="41" t="str">
        <f ca="1">UPPER(TEXT(DATE(FYStartYear,FYMonthNo+6,1),"ГГ МММ"))</f>
        <v>17 ИЮЛ</v>
      </c>
      <c r="K3" s="41" t="str">
        <f ca="1">UPPER(TEXT(DATE(FYStartYear,FYMonthNo+7,1),"ГГ МММ"))</f>
        <v>17 АВГ</v>
      </c>
      <c r="L3" s="41" t="str">
        <f ca="1">UPPER(TEXT(DATE(FYStartYear,FYMonthNo+8,1),"ГГ МММ"))</f>
        <v>17 СЕН</v>
      </c>
      <c r="M3" s="41" t="str">
        <f ca="1">UPPER(TEXT(DATE(FYStartYear,FYMonthNo+9,1),"ГГ МММ"))</f>
        <v>17 ОКТ</v>
      </c>
      <c r="N3" s="41" t="str">
        <f ca="1">UPPER(TEXT(DATE(FYStartYear,FYMonthNo+10,1),"ГГ МММ"))</f>
        <v>17 НОЯ</v>
      </c>
      <c r="O3" s="41" t="str">
        <f ca="1">UPPER(TEXT(DATE(FYStartYear,FYMonthNo+11,1),"ГГ МММ"))</f>
        <v>17 ДЕК</v>
      </c>
      <c r="P3" s="41" t="s">
        <v>24</v>
      </c>
      <c r="Q3" s="41" t="s">
        <v>26</v>
      </c>
      <c r="R3" s="41" t="str">
        <f ca="1">RIGHT(D3,3)&amp;" %"</f>
        <v>ЯНВ %</v>
      </c>
      <c r="S3" s="41" t="str">
        <f t="shared" ref="S3:AC3" ca="1" si="0">RIGHT(E3,3)&amp;" %"</f>
        <v>ФЕВ %</v>
      </c>
      <c r="T3" s="41" t="str">
        <f t="shared" ca="1" si="0"/>
        <v>МАР %</v>
      </c>
      <c r="U3" s="41" t="str">
        <f t="shared" ca="1" si="0"/>
        <v>АПР %</v>
      </c>
      <c r="V3" s="41" t="str">
        <f t="shared" ca="1" si="0"/>
        <v>МАЙ %</v>
      </c>
      <c r="W3" s="41" t="str">
        <f t="shared" ca="1" si="0"/>
        <v>ИЮН %</v>
      </c>
      <c r="X3" s="41" t="str">
        <f t="shared" ca="1" si="0"/>
        <v>ИЮЛ %</v>
      </c>
      <c r="Y3" s="41" t="str">
        <f t="shared" ca="1" si="0"/>
        <v>АВГ %</v>
      </c>
      <c r="Z3" s="41" t="str">
        <f t="shared" ca="1" si="0"/>
        <v>СЕН %</v>
      </c>
      <c r="AA3" s="41" t="str">
        <f t="shared" ca="1" si="0"/>
        <v>ОКТ %</v>
      </c>
      <c r="AB3" s="41" t="str">
        <f t="shared" ca="1" si="0"/>
        <v>НОЯ %</v>
      </c>
      <c r="AC3" s="41" t="str">
        <f t="shared" ca="1" si="0"/>
        <v>ДЕК %</v>
      </c>
      <c r="AD3" s="41" t="s">
        <v>43</v>
      </c>
    </row>
    <row r="4" spans="1:30" ht="30" customHeight="1" x14ac:dyDescent="0.3">
      <c r="B4" s="29" t="s">
        <v>45</v>
      </c>
      <c r="C4" s="29" t="s">
        <v>11</v>
      </c>
      <c r="D4" s="22" t="s">
        <v>12</v>
      </c>
      <c r="E4" s="22" t="s">
        <v>13</v>
      </c>
      <c r="F4" s="22" t="s">
        <v>14</v>
      </c>
      <c r="G4" s="22" t="s">
        <v>15</v>
      </c>
      <c r="H4" s="22" t="s">
        <v>16</v>
      </c>
      <c r="I4" s="22" t="s">
        <v>17</v>
      </c>
      <c r="J4" s="22" t="s">
        <v>18</v>
      </c>
      <c r="K4" s="22" t="s">
        <v>19</v>
      </c>
      <c r="L4" s="22" t="s">
        <v>20</v>
      </c>
      <c r="M4" s="22" t="s">
        <v>21</v>
      </c>
      <c r="N4" s="22" t="s">
        <v>22</v>
      </c>
      <c r="O4" s="22" t="s">
        <v>23</v>
      </c>
      <c r="P4" s="22" t="s">
        <v>25</v>
      </c>
      <c r="Q4" s="23" t="s">
        <v>27</v>
      </c>
      <c r="R4" s="23" t="s">
        <v>28</v>
      </c>
      <c r="S4" s="23" t="s">
        <v>29</v>
      </c>
      <c r="T4" s="23" t="s">
        <v>30</v>
      </c>
      <c r="U4" s="23" t="s">
        <v>31</v>
      </c>
      <c r="V4" s="23" t="s">
        <v>32</v>
      </c>
      <c r="W4" s="23" t="s">
        <v>33</v>
      </c>
      <c r="X4" s="23" t="s">
        <v>34</v>
      </c>
      <c r="Y4" s="23" t="s">
        <v>35</v>
      </c>
      <c r="Z4" s="23" t="s">
        <v>36</v>
      </c>
      <c r="AA4" s="23" t="s">
        <v>37</v>
      </c>
      <c r="AB4" s="23" t="s">
        <v>39</v>
      </c>
      <c r="AC4" s="23" t="s">
        <v>41</v>
      </c>
      <c r="AD4" s="22" t="s">
        <v>44</v>
      </c>
    </row>
    <row r="5" spans="1:30" ht="30" customHeight="1" x14ac:dyDescent="0.3">
      <c r="B5" s="24" t="s">
        <v>46</v>
      </c>
      <c r="C5" s="31"/>
      <c r="D5" s="36">
        <v>6100</v>
      </c>
      <c r="E5" s="36">
        <v>7800</v>
      </c>
      <c r="F5" s="36">
        <v>6500</v>
      </c>
      <c r="G5" s="36">
        <v>2900</v>
      </c>
      <c r="H5" s="36">
        <v>12500</v>
      </c>
      <c r="I5" s="36">
        <v>4900</v>
      </c>
      <c r="J5" s="36">
        <v>1400</v>
      </c>
      <c r="K5" s="36">
        <v>2600</v>
      </c>
      <c r="L5" s="36">
        <v>1400</v>
      </c>
      <c r="M5" s="36">
        <v>12900</v>
      </c>
      <c r="N5" s="36">
        <v>6000</v>
      </c>
      <c r="O5" s="36">
        <v>6500</v>
      </c>
      <c r="P5" s="37">
        <f>SUM(Себестоимость_продаж[[#This Row],[Янв]:[Дек]])</f>
        <v>71500</v>
      </c>
      <c r="Q5" s="26">
        <v>0.12</v>
      </c>
      <c r="R5" s="40">
        <f>IFERROR(Себестоимость_продаж[[#This Row],[Янв]]/Себестоимость_продаж[[#Totals],[Янв]],"-")</f>
        <v>0.23018867924528302</v>
      </c>
      <c r="S5" s="40">
        <f>IFERROR(Себестоимость_продаж[[#This Row],[Фев]]/Себестоимость_продаж[[#Totals],[Фев]],"-")</f>
        <v>0.21910112359550563</v>
      </c>
      <c r="T5" s="40">
        <f>IFERROR(Себестоимость_продаж[[#This Row],[Мар]]/Себестоимость_продаж[[#Totals],[Мар]],"-")</f>
        <v>0.20634920634920634</v>
      </c>
      <c r="U5" s="40">
        <f>IFERROR(Себестоимость_продаж[[#This Row],[Апр]]/Себестоимость_продаж[[#Totals],[Апр]],"-")</f>
        <v>0.12033195020746888</v>
      </c>
      <c r="V5" s="40">
        <f>IFERROR(Себестоимость_продаж[[#This Row],[Май]]/Себестоимость_продаж[[#Totals],[Май]],"-")</f>
        <v>0.31328320802005011</v>
      </c>
      <c r="W5" s="40">
        <f>IFERROR(Себестоимость_продаж[[#This Row],[Июн]]/Себестоимость_продаж[[#Totals],[Июн]],"-")</f>
        <v>0.15705128205128205</v>
      </c>
      <c r="X5" s="40">
        <f>IFERROR(Себестоимость_продаж[[#This Row],[Июл]]/Себестоимость_продаж[[#Totals],[Июл]],"-")</f>
        <v>4.6822742474916385E-2</v>
      </c>
      <c r="Y5" s="40">
        <f>IFERROR(Себестоимость_продаж[[#This Row],[Авг]]/Себестоимость_продаж[[#Totals],[Авг]],"-")</f>
        <v>0.11504424778761062</v>
      </c>
      <c r="Z5" s="40">
        <f>IFERROR(Себестоимость_продаж[[#This Row],[Сен]]/Себестоимость_продаж[[#Totals],[Сен]],"-")</f>
        <v>3.3816425120772944E-2</v>
      </c>
      <c r="AA5" s="40">
        <f>IFERROR(Себестоимость_продаж[[#This Row],[Окт]]/Себестоимость_продаж[[#Totals],[Окт]],"-")</f>
        <v>0.47080291970802918</v>
      </c>
      <c r="AB5" s="40">
        <f>IFERROR(Себестоимость_продаж[[#This Row],[Ноя]]/Себестоимость_продаж[[#Totals],[Ноя]],"-")</f>
        <v>0.22727272727272727</v>
      </c>
      <c r="AC5" s="40">
        <f>IFERROR(Себестоимость_продаж[[#This Row],[Дек]]/Себестоимость_продаж[[#Totals],[Дек]],"-")</f>
        <v>0.14348785871964681</v>
      </c>
      <c r="AD5" s="40">
        <f>IFERROR(Себестоимость_продаж[[#This Row],[За год]]/Себестоимость_продаж[[#Totals],[За год]],"-")</f>
        <v>0.18727082242011525</v>
      </c>
    </row>
    <row r="6" spans="1:30" ht="30" customHeight="1" x14ac:dyDescent="0.3">
      <c r="B6" s="24" t="s">
        <v>47</v>
      </c>
      <c r="C6" s="31"/>
      <c r="D6" s="36">
        <v>700</v>
      </c>
      <c r="E6" s="36">
        <v>500</v>
      </c>
      <c r="F6" s="36">
        <v>6900</v>
      </c>
      <c r="G6" s="36">
        <v>3200</v>
      </c>
      <c r="H6" s="36">
        <v>1100</v>
      </c>
      <c r="I6" s="36">
        <v>3000</v>
      </c>
      <c r="J6" s="36">
        <v>2700</v>
      </c>
      <c r="K6" s="36">
        <v>3200</v>
      </c>
      <c r="L6" s="36">
        <v>1000</v>
      </c>
      <c r="M6" s="36">
        <v>4100</v>
      </c>
      <c r="N6" s="36">
        <v>1300</v>
      </c>
      <c r="O6" s="36">
        <v>10500</v>
      </c>
      <c r="P6" s="37">
        <f>SUM(Себестоимость_продаж[[#This Row],[Янв]:[Дек]])</f>
        <v>38200</v>
      </c>
      <c r="Q6" s="26">
        <v>0.18</v>
      </c>
      <c r="R6" s="40">
        <f>IFERROR(Себестоимость_продаж[[#This Row],[Янв]]/Себестоимость_продаж[[#Totals],[Янв]],"-")</f>
        <v>2.6415094339622643E-2</v>
      </c>
      <c r="S6" s="40">
        <f>IFERROR(Себестоимость_продаж[[#This Row],[Фев]]/Себестоимость_продаж[[#Totals],[Фев]],"-")</f>
        <v>1.4044943820224719E-2</v>
      </c>
      <c r="T6" s="40">
        <f>IFERROR(Себестоимость_продаж[[#This Row],[Мар]]/Себестоимость_продаж[[#Totals],[Мар]],"-")</f>
        <v>0.21904761904761905</v>
      </c>
      <c r="U6" s="40">
        <f>IFERROR(Себестоимость_продаж[[#This Row],[Апр]]/Себестоимость_продаж[[#Totals],[Апр]],"-")</f>
        <v>0.13278008298755187</v>
      </c>
      <c r="V6" s="40">
        <f>IFERROR(Себестоимость_продаж[[#This Row],[Май]]/Себестоимость_продаж[[#Totals],[Май]],"-")</f>
        <v>2.7568922305764409E-2</v>
      </c>
      <c r="W6" s="40">
        <f>IFERROR(Себестоимость_продаж[[#This Row],[Июн]]/Себестоимость_продаж[[#Totals],[Июн]],"-")</f>
        <v>9.6153846153846159E-2</v>
      </c>
      <c r="X6" s="40">
        <f>IFERROR(Себестоимость_продаж[[#This Row],[Июл]]/Себестоимость_продаж[[#Totals],[Июл]],"-")</f>
        <v>9.0301003344481601E-2</v>
      </c>
      <c r="Y6" s="40">
        <f>IFERROR(Себестоимость_продаж[[#This Row],[Авг]]/Себестоимость_продаж[[#Totals],[Авг]],"-")</f>
        <v>0.1415929203539823</v>
      </c>
      <c r="Z6" s="40">
        <f>IFERROR(Себестоимость_продаж[[#This Row],[Сен]]/Себестоимость_продаж[[#Totals],[Сен]],"-")</f>
        <v>2.4154589371980676E-2</v>
      </c>
      <c r="AA6" s="40">
        <f>IFERROR(Себестоимость_продаж[[#This Row],[Окт]]/Себестоимость_продаж[[#Totals],[Окт]],"-")</f>
        <v>0.14963503649635038</v>
      </c>
      <c r="AB6" s="40">
        <f>IFERROR(Себестоимость_продаж[[#This Row],[Ноя]]/Себестоимость_продаж[[#Totals],[Ноя]],"-")</f>
        <v>4.924242424242424E-2</v>
      </c>
      <c r="AC6" s="40">
        <f>IFERROR(Себестоимость_продаж[[#This Row],[Дек]]/Себестоимость_продаж[[#Totals],[Дек]],"-")</f>
        <v>0.23178807947019867</v>
      </c>
      <c r="AD6" s="40">
        <f>IFERROR(Себестоимость_продаж[[#This Row],[За год]]/Себестоимость_продаж[[#Totals],[За год]],"-")</f>
        <v>0.1000523834468308</v>
      </c>
    </row>
    <row r="7" spans="1:30" ht="30" customHeight="1" x14ac:dyDescent="0.3">
      <c r="B7" s="24" t="s">
        <v>48</v>
      </c>
      <c r="C7" s="31"/>
      <c r="D7" s="36">
        <v>9900</v>
      </c>
      <c r="E7" s="36">
        <v>9500</v>
      </c>
      <c r="F7" s="36">
        <v>5100</v>
      </c>
      <c r="G7" s="36">
        <v>9000</v>
      </c>
      <c r="H7" s="36">
        <v>2100</v>
      </c>
      <c r="I7" s="36">
        <v>3400</v>
      </c>
      <c r="J7" s="36">
        <v>3000</v>
      </c>
      <c r="K7" s="36">
        <v>2400</v>
      </c>
      <c r="L7" s="36">
        <v>10900</v>
      </c>
      <c r="M7" s="36">
        <v>1600</v>
      </c>
      <c r="N7" s="36">
        <v>2100</v>
      </c>
      <c r="O7" s="36">
        <v>5200</v>
      </c>
      <c r="P7" s="37">
        <f>SUM(Себестоимость_продаж[[#This Row],[Янв]:[Дек]])</f>
        <v>64200</v>
      </c>
      <c r="Q7" s="26">
        <v>0.19</v>
      </c>
      <c r="R7" s="40">
        <f>IFERROR(Себестоимость_продаж[[#This Row],[Янв]]/Себестоимость_продаж[[#Totals],[Янв]],"-")</f>
        <v>0.37358490566037733</v>
      </c>
      <c r="S7" s="40">
        <f>IFERROR(Себестоимость_продаж[[#This Row],[Фев]]/Себестоимость_продаж[[#Totals],[Фев]],"-")</f>
        <v>0.26685393258426965</v>
      </c>
      <c r="T7" s="40">
        <f>IFERROR(Себестоимость_продаж[[#This Row],[Мар]]/Себестоимость_продаж[[#Totals],[Мар]],"-")</f>
        <v>0.16190476190476191</v>
      </c>
      <c r="U7" s="40">
        <f>IFERROR(Себестоимость_продаж[[#This Row],[Апр]]/Себестоимость_продаж[[#Totals],[Апр]],"-")</f>
        <v>0.37344398340248963</v>
      </c>
      <c r="V7" s="40">
        <f>IFERROR(Себестоимость_продаж[[#This Row],[Май]]/Себестоимость_продаж[[#Totals],[Май]],"-")</f>
        <v>5.2631578947368418E-2</v>
      </c>
      <c r="W7" s="40">
        <f>IFERROR(Себестоимость_продаж[[#This Row],[Июн]]/Себестоимость_продаж[[#Totals],[Июн]],"-")</f>
        <v>0.10897435897435898</v>
      </c>
      <c r="X7" s="40">
        <f>IFERROR(Себестоимость_продаж[[#This Row],[Июл]]/Себестоимость_продаж[[#Totals],[Июл]],"-")</f>
        <v>0.10033444816053512</v>
      </c>
      <c r="Y7" s="40">
        <f>IFERROR(Себестоимость_продаж[[#This Row],[Авг]]/Себестоимость_продаж[[#Totals],[Авг]],"-")</f>
        <v>0.10619469026548672</v>
      </c>
      <c r="Z7" s="40">
        <f>IFERROR(Себестоимость_продаж[[#This Row],[Сен]]/Себестоимость_продаж[[#Totals],[Сен]],"-")</f>
        <v>0.26328502415458938</v>
      </c>
      <c r="AA7" s="40">
        <f>IFERROR(Себестоимость_продаж[[#This Row],[Окт]]/Себестоимость_продаж[[#Totals],[Окт]],"-")</f>
        <v>5.8394160583941604E-2</v>
      </c>
      <c r="AB7" s="40">
        <f>IFERROR(Себестоимость_продаж[[#This Row],[Ноя]]/Себестоимость_продаж[[#Totals],[Ноя]],"-")</f>
        <v>7.9545454545454544E-2</v>
      </c>
      <c r="AC7" s="40">
        <f>IFERROR(Себестоимость_продаж[[#This Row],[Дек]]/Себестоимость_продаж[[#Totals],[Дек]],"-")</f>
        <v>0.11479028697571744</v>
      </c>
      <c r="AD7" s="40">
        <f>IFERROR(Себестоимость_продаж[[#This Row],[За год]]/Себестоимость_продаж[[#Totals],[За год]],"-")</f>
        <v>0.16815086432687271</v>
      </c>
    </row>
    <row r="8" spans="1:30" ht="30" customHeight="1" x14ac:dyDescent="0.3">
      <c r="B8" s="24" t="s">
        <v>49</v>
      </c>
      <c r="C8" s="31"/>
      <c r="D8" s="36">
        <v>1300</v>
      </c>
      <c r="E8" s="36">
        <v>2800</v>
      </c>
      <c r="F8" s="36">
        <v>1500</v>
      </c>
      <c r="G8" s="36">
        <v>800</v>
      </c>
      <c r="H8" s="36">
        <v>8400</v>
      </c>
      <c r="I8" s="36">
        <v>1200</v>
      </c>
      <c r="J8" s="36">
        <v>5400</v>
      </c>
      <c r="K8" s="36">
        <v>7200</v>
      </c>
      <c r="L8" s="36">
        <v>4900</v>
      </c>
      <c r="M8" s="36">
        <v>2400</v>
      </c>
      <c r="N8" s="36">
        <v>6000</v>
      </c>
      <c r="O8" s="36">
        <v>3900</v>
      </c>
      <c r="P8" s="37">
        <f>SUM(Себестоимость_продаж[[#This Row],[Янв]:[Дек]])</f>
        <v>45800</v>
      </c>
      <c r="Q8" s="26">
        <v>0.11</v>
      </c>
      <c r="R8" s="40">
        <f>IFERROR(Себестоимость_продаж[[#This Row],[Янв]]/Себестоимость_продаж[[#Totals],[Янв]],"-")</f>
        <v>4.9056603773584909E-2</v>
      </c>
      <c r="S8" s="40">
        <f>IFERROR(Себестоимость_продаж[[#This Row],[Фев]]/Себестоимость_продаж[[#Totals],[Фев]],"-")</f>
        <v>7.8651685393258425E-2</v>
      </c>
      <c r="T8" s="40">
        <f>IFERROR(Себестоимость_продаж[[#This Row],[Мар]]/Себестоимость_продаж[[#Totals],[Мар]],"-")</f>
        <v>4.7619047619047616E-2</v>
      </c>
      <c r="U8" s="40">
        <f>IFERROR(Себестоимость_продаж[[#This Row],[Апр]]/Себестоимость_продаж[[#Totals],[Апр]],"-")</f>
        <v>3.3195020746887967E-2</v>
      </c>
      <c r="V8" s="40">
        <f>IFERROR(Себестоимость_продаж[[#This Row],[Май]]/Себестоимость_продаж[[#Totals],[Май]],"-")</f>
        <v>0.21052631578947367</v>
      </c>
      <c r="W8" s="40">
        <f>IFERROR(Себестоимость_продаж[[#This Row],[Июн]]/Себестоимость_продаж[[#Totals],[Июн]],"-")</f>
        <v>3.8461538461538464E-2</v>
      </c>
      <c r="X8" s="40">
        <f>IFERROR(Себестоимость_продаж[[#This Row],[Июл]]/Себестоимость_продаж[[#Totals],[Июл]],"-")</f>
        <v>0.1806020066889632</v>
      </c>
      <c r="Y8" s="40">
        <f>IFERROR(Себестоимость_продаж[[#This Row],[Авг]]/Себестоимость_продаж[[#Totals],[Авг]],"-")</f>
        <v>0.31858407079646017</v>
      </c>
      <c r="Z8" s="40">
        <f>IFERROR(Себестоимость_продаж[[#This Row],[Сен]]/Себестоимость_продаж[[#Totals],[Сен]],"-")</f>
        <v>0.11835748792270531</v>
      </c>
      <c r="AA8" s="40">
        <f>IFERROR(Себестоимость_продаж[[#This Row],[Окт]]/Себестоимость_продаж[[#Totals],[Окт]],"-")</f>
        <v>8.7591240875912413E-2</v>
      </c>
      <c r="AB8" s="40">
        <f>IFERROR(Себестоимость_продаж[[#This Row],[Ноя]]/Себестоимость_продаж[[#Totals],[Ноя]],"-")</f>
        <v>0.22727272727272727</v>
      </c>
      <c r="AC8" s="40">
        <f>IFERROR(Себестоимость_продаж[[#This Row],[Дек]]/Себестоимость_продаж[[#Totals],[Дек]],"-")</f>
        <v>8.6092715231788075E-2</v>
      </c>
      <c r="AD8" s="40">
        <f>IFERROR(Себестоимость_продаж[[#This Row],[За год]]/Себестоимость_продаж[[#Totals],[За год]],"-")</f>
        <v>0.11995809324253535</v>
      </c>
    </row>
    <row r="9" spans="1:30" ht="30" customHeight="1" x14ac:dyDescent="0.3">
      <c r="B9" s="24" t="s">
        <v>50</v>
      </c>
      <c r="C9" s="31"/>
      <c r="D9" s="36">
        <v>3400</v>
      </c>
      <c r="E9" s="36">
        <v>7800</v>
      </c>
      <c r="F9" s="36">
        <v>4300</v>
      </c>
      <c r="G9" s="36">
        <v>3000</v>
      </c>
      <c r="H9" s="36">
        <v>7700</v>
      </c>
      <c r="I9" s="36">
        <v>5400</v>
      </c>
      <c r="J9" s="36">
        <v>2600</v>
      </c>
      <c r="K9" s="36">
        <v>1300</v>
      </c>
      <c r="L9" s="36">
        <v>5600</v>
      </c>
      <c r="M9" s="36">
        <v>3000</v>
      </c>
      <c r="N9" s="36">
        <v>4000</v>
      </c>
      <c r="O9" s="36">
        <v>6300</v>
      </c>
      <c r="P9" s="37">
        <f>SUM(Себестоимость_продаж[[#This Row],[Янв]:[Дек]])</f>
        <v>54400</v>
      </c>
      <c r="Q9" s="26">
        <v>0.2</v>
      </c>
      <c r="R9" s="40">
        <f>IFERROR(Себестоимость_продаж[[#This Row],[Янв]]/Себестоимость_продаж[[#Totals],[Янв]],"-")</f>
        <v>0.12830188679245283</v>
      </c>
      <c r="S9" s="40">
        <f>IFERROR(Себестоимость_продаж[[#This Row],[Фев]]/Себестоимость_продаж[[#Totals],[Фев]],"-")</f>
        <v>0.21910112359550563</v>
      </c>
      <c r="T9" s="40">
        <f>IFERROR(Себестоимость_продаж[[#This Row],[Мар]]/Себестоимость_продаж[[#Totals],[Мар]],"-")</f>
        <v>0.13650793650793649</v>
      </c>
      <c r="U9" s="40">
        <f>IFERROR(Себестоимость_продаж[[#This Row],[Апр]]/Себестоимость_продаж[[#Totals],[Апр]],"-")</f>
        <v>0.12448132780082988</v>
      </c>
      <c r="V9" s="40">
        <f>IFERROR(Себестоимость_продаж[[#This Row],[Май]]/Себестоимость_продаж[[#Totals],[Май]],"-")</f>
        <v>0.19298245614035087</v>
      </c>
      <c r="W9" s="40">
        <f>IFERROR(Себестоимость_продаж[[#This Row],[Июн]]/Себестоимость_продаж[[#Totals],[Июн]],"-")</f>
        <v>0.17307692307692307</v>
      </c>
      <c r="X9" s="40">
        <f>IFERROR(Себестоимость_продаж[[#This Row],[Июл]]/Себестоимость_продаж[[#Totals],[Июл]],"-")</f>
        <v>8.6956521739130432E-2</v>
      </c>
      <c r="Y9" s="40">
        <f>IFERROR(Себестоимость_продаж[[#This Row],[Авг]]/Себестоимость_продаж[[#Totals],[Авг]],"-")</f>
        <v>5.7522123893805309E-2</v>
      </c>
      <c r="Z9" s="40">
        <f>IFERROR(Себестоимость_продаж[[#This Row],[Сен]]/Себестоимость_продаж[[#Totals],[Сен]],"-")</f>
        <v>0.13526570048309178</v>
      </c>
      <c r="AA9" s="40">
        <f>IFERROR(Себестоимость_продаж[[#This Row],[Окт]]/Себестоимость_продаж[[#Totals],[Окт]],"-")</f>
        <v>0.10948905109489052</v>
      </c>
      <c r="AB9" s="40">
        <f>IFERROR(Себестоимость_продаж[[#This Row],[Ноя]]/Себестоимость_продаж[[#Totals],[Ноя]],"-")</f>
        <v>0.15151515151515152</v>
      </c>
      <c r="AC9" s="40">
        <f>IFERROR(Себестоимость_продаж[[#This Row],[Дек]]/Себестоимость_продаж[[#Totals],[Дек]],"-")</f>
        <v>0.13907284768211919</v>
      </c>
      <c r="AD9" s="40">
        <f>IFERROR(Себестоимость_продаж[[#This Row],[За год]]/Себестоимость_продаж[[#Totals],[За год]],"-")</f>
        <v>0.14248297537978</v>
      </c>
    </row>
    <row r="10" spans="1:30" ht="30" customHeight="1" x14ac:dyDescent="0.3">
      <c r="B10" s="24" t="s">
        <v>51</v>
      </c>
      <c r="C10" s="31"/>
      <c r="D10" s="36">
        <v>3300</v>
      </c>
      <c r="E10" s="36">
        <v>6100</v>
      </c>
      <c r="F10" s="36">
        <v>4200</v>
      </c>
      <c r="G10" s="36">
        <v>4300</v>
      </c>
      <c r="H10" s="36">
        <v>1900</v>
      </c>
      <c r="I10" s="36">
        <v>9400</v>
      </c>
      <c r="J10" s="36">
        <v>4600</v>
      </c>
      <c r="K10" s="36">
        <v>1500</v>
      </c>
      <c r="L10" s="36">
        <v>5500</v>
      </c>
      <c r="M10" s="36">
        <v>1500</v>
      </c>
      <c r="N10" s="36">
        <v>3700</v>
      </c>
      <c r="O10" s="36">
        <v>8900</v>
      </c>
      <c r="P10" s="37">
        <f>SUM(Себестоимость_продаж[[#This Row],[Янв]:[Дек]])</f>
        <v>54900</v>
      </c>
      <c r="Q10" s="26">
        <v>0.1</v>
      </c>
      <c r="R10" s="40">
        <f>IFERROR(Себестоимость_продаж[[#This Row],[Янв]]/Себестоимость_продаж[[#Totals],[Янв]],"-")</f>
        <v>0.12452830188679245</v>
      </c>
      <c r="S10" s="40">
        <f>IFERROR(Себестоимость_продаж[[#This Row],[Фев]]/Себестоимость_продаж[[#Totals],[Фев]],"-")</f>
        <v>0.17134831460674158</v>
      </c>
      <c r="T10" s="40">
        <f>IFERROR(Себестоимость_продаж[[#This Row],[Мар]]/Себестоимость_продаж[[#Totals],[Мар]],"-")</f>
        <v>0.13333333333333333</v>
      </c>
      <c r="U10" s="40">
        <f>IFERROR(Себестоимость_продаж[[#This Row],[Апр]]/Себестоимость_продаж[[#Totals],[Апр]],"-")</f>
        <v>0.17842323651452283</v>
      </c>
      <c r="V10" s="40">
        <f>IFERROR(Себестоимость_продаж[[#This Row],[Май]]/Себестоимость_продаж[[#Totals],[Май]],"-")</f>
        <v>4.7619047619047616E-2</v>
      </c>
      <c r="W10" s="40">
        <f>IFERROR(Себестоимость_продаж[[#This Row],[Июн]]/Себестоимость_продаж[[#Totals],[Июн]],"-")</f>
        <v>0.30128205128205127</v>
      </c>
      <c r="X10" s="40">
        <f>IFERROR(Себестоимость_продаж[[#This Row],[Июл]]/Себестоимость_продаж[[#Totals],[Июл]],"-")</f>
        <v>0.15384615384615385</v>
      </c>
      <c r="Y10" s="40">
        <f>IFERROR(Себестоимость_продаж[[#This Row],[Авг]]/Себестоимость_продаж[[#Totals],[Авг]],"-")</f>
        <v>6.637168141592921E-2</v>
      </c>
      <c r="Z10" s="40">
        <f>IFERROR(Себестоимость_продаж[[#This Row],[Сен]]/Себестоимость_продаж[[#Totals],[Сен]],"-")</f>
        <v>0.13285024154589373</v>
      </c>
      <c r="AA10" s="40">
        <f>IFERROR(Себестоимость_продаж[[#This Row],[Окт]]/Себестоимость_продаж[[#Totals],[Окт]],"-")</f>
        <v>5.4744525547445258E-2</v>
      </c>
      <c r="AB10" s="40">
        <f>IFERROR(Себестоимость_продаж[[#This Row],[Ноя]]/Себестоимость_продаж[[#Totals],[Ноя]],"-")</f>
        <v>0.14015151515151514</v>
      </c>
      <c r="AC10" s="40">
        <f>IFERROR(Себестоимость_продаж[[#This Row],[Дек]]/Себестоимость_продаж[[#Totals],[Дек]],"-")</f>
        <v>0.19646799116997793</v>
      </c>
      <c r="AD10" s="40">
        <f>IFERROR(Себестоимость_продаж[[#This Row],[За год]]/Себестоимость_продаж[[#Totals],[За год]],"-")</f>
        <v>0.14379256155055004</v>
      </c>
    </row>
    <row r="11" spans="1:30" ht="30" customHeight="1" x14ac:dyDescent="0.3">
      <c r="A11" s="2"/>
      <c r="B11" s="24" t="s">
        <v>52</v>
      </c>
      <c r="C11" s="31"/>
      <c r="D11" s="36">
        <v>1800</v>
      </c>
      <c r="E11" s="36">
        <v>1100</v>
      </c>
      <c r="F11" s="36">
        <v>3000</v>
      </c>
      <c r="G11" s="36">
        <v>900</v>
      </c>
      <c r="H11" s="36">
        <v>6200</v>
      </c>
      <c r="I11" s="36">
        <v>3900</v>
      </c>
      <c r="J11" s="36">
        <v>10200</v>
      </c>
      <c r="K11" s="36">
        <v>4400</v>
      </c>
      <c r="L11" s="36">
        <v>12100</v>
      </c>
      <c r="M11" s="36">
        <v>1900</v>
      </c>
      <c r="N11" s="36">
        <v>3300</v>
      </c>
      <c r="O11" s="36">
        <v>4000</v>
      </c>
      <c r="P11" s="37">
        <f>SUM(Себестоимость_продаж[[#This Row],[Янв]:[Дек]])</f>
        <v>52800</v>
      </c>
      <c r="Q11" s="26">
        <v>0.1</v>
      </c>
      <c r="R11" s="40">
        <f>IFERROR(Себестоимость_продаж[[#This Row],[Янв]]/Себестоимость_продаж[[#Totals],[Янв]],"-")</f>
        <v>6.7924528301886791E-2</v>
      </c>
      <c r="S11" s="40">
        <f>IFERROR(Себестоимость_продаж[[#This Row],[Фев]]/Себестоимость_продаж[[#Totals],[Фев]],"-")</f>
        <v>3.0898876404494381E-2</v>
      </c>
      <c r="T11" s="40">
        <f>IFERROR(Себестоимость_продаж[[#This Row],[Мар]]/Себестоимость_продаж[[#Totals],[Мар]],"-")</f>
        <v>9.5238095238095233E-2</v>
      </c>
      <c r="U11" s="40">
        <f>IFERROR(Себестоимость_продаж[[#This Row],[Апр]]/Себестоимость_продаж[[#Totals],[Апр]],"-")</f>
        <v>3.7344398340248962E-2</v>
      </c>
      <c r="V11" s="40">
        <f>IFERROR(Себестоимость_продаж[[#This Row],[Май]]/Себестоимость_продаж[[#Totals],[Май]],"-")</f>
        <v>0.15538847117794485</v>
      </c>
      <c r="W11" s="40">
        <f>IFERROR(Себестоимость_продаж[[#This Row],[Июн]]/Себестоимость_продаж[[#Totals],[Июн]],"-")</f>
        <v>0.125</v>
      </c>
      <c r="X11" s="40">
        <f>IFERROR(Себестоимость_продаж[[#This Row],[Июл]]/Себестоимость_продаж[[#Totals],[Июл]],"-")</f>
        <v>0.34113712374581939</v>
      </c>
      <c r="Y11" s="40">
        <f>IFERROR(Себестоимость_продаж[[#This Row],[Авг]]/Себестоимость_продаж[[#Totals],[Авг]],"-")</f>
        <v>0.19469026548672566</v>
      </c>
      <c r="Z11" s="40">
        <f>IFERROR(Себестоимость_продаж[[#This Row],[Сен]]/Себестоимость_продаж[[#Totals],[Сен]],"-")</f>
        <v>0.2922705314009662</v>
      </c>
      <c r="AA11" s="40">
        <f>IFERROR(Себестоимость_продаж[[#This Row],[Окт]]/Себестоимость_продаж[[#Totals],[Окт]],"-")</f>
        <v>6.9343065693430656E-2</v>
      </c>
      <c r="AB11" s="40">
        <f>IFERROR(Себестоимость_продаж[[#This Row],[Ноя]]/Себестоимость_продаж[[#Totals],[Ноя]],"-")</f>
        <v>0.125</v>
      </c>
      <c r="AC11" s="40">
        <f>IFERROR(Себестоимость_продаж[[#This Row],[Дек]]/Себестоимость_продаж[[#Totals],[Дек]],"-")</f>
        <v>8.8300220750551883E-2</v>
      </c>
      <c r="AD11" s="40">
        <f>IFERROR(Себестоимость_продаж[[#This Row],[За год]]/Себестоимость_продаж[[#Totals],[За год]],"-")</f>
        <v>0.13829229963331588</v>
      </c>
    </row>
    <row r="12" spans="1:30" ht="30" customHeight="1" x14ac:dyDescent="0.3">
      <c r="A12" s="12"/>
      <c r="B12" s="9" t="s">
        <v>53</v>
      </c>
      <c r="C12" s="27"/>
      <c r="D12" s="35">
        <f>SUBTOTAL(109,Себестоимость_продаж[Янв])</f>
        <v>26500</v>
      </c>
      <c r="E12" s="35">
        <f>SUBTOTAL(109,Себестоимость_продаж[Фев])</f>
        <v>35600</v>
      </c>
      <c r="F12" s="35">
        <f>SUBTOTAL(109,Себестоимость_продаж[Мар])</f>
        <v>31500</v>
      </c>
      <c r="G12" s="35">
        <f>SUBTOTAL(109,Себестоимость_продаж[Апр])</f>
        <v>24100</v>
      </c>
      <c r="H12" s="35">
        <f>SUBTOTAL(109,Себестоимость_продаж[Май])</f>
        <v>39900</v>
      </c>
      <c r="I12" s="35">
        <f>SUBTOTAL(109,Себестоимость_продаж[Июн])</f>
        <v>31200</v>
      </c>
      <c r="J12" s="35">
        <f>SUBTOTAL(109,Себестоимость_продаж[Июл])</f>
        <v>29900</v>
      </c>
      <c r="K12" s="35">
        <f>SUBTOTAL(109,Себестоимость_продаж[Авг])</f>
        <v>22600</v>
      </c>
      <c r="L12" s="35">
        <f>SUBTOTAL(109,Себестоимость_продаж[Сен])</f>
        <v>41400</v>
      </c>
      <c r="M12" s="35">
        <f>SUBTOTAL(109,Себестоимость_продаж[Окт])</f>
        <v>27400</v>
      </c>
      <c r="N12" s="35">
        <f>SUBTOTAL(109,Себестоимость_продаж[Ноя])</f>
        <v>26400</v>
      </c>
      <c r="O12" s="35">
        <f>SUBTOTAL(109,Себестоимость_продаж[Дек])</f>
        <v>45300</v>
      </c>
      <c r="P12" s="35">
        <f>SUBTOTAL(109,Себестоимость_продаж[За год])</f>
        <v>381800</v>
      </c>
      <c r="Q12" s="39">
        <f>SUBTOTAL(109,Себестоимость_продаж[Индекс (%)])</f>
        <v>1</v>
      </c>
      <c r="R12" s="28">
        <f>SUBTOTAL(109,Себестоимость_продаж[Янв (%)])</f>
        <v>0.99999999999999989</v>
      </c>
      <c r="S12" s="28">
        <f>SUBTOTAL(109,Себестоимость_продаж[Фев (%)])</f>
        <v>1</v>
      </c>
      <c r="T12" s="28">
        <f>SUBTOTAL(109,Себестоимость_продаж[Мар (%)])</f>
        <v>0.99999999999999989</v>
      </c>
      <c r="U12" s="28">
        <f>SUBTOTAL(109,Себестоимость_продаж[Апр (%)])</f>
        <v>1</v>
      </c>
      <c r="V12" s="28">
        <f>SUBTOTAL(109,Себестоимость_продаж[Май (%)])</f>
        <v>0.99999999999999989</v>
      </c>
      <c r="W12" s="28">
        <f>SUBTOTAL(109,Себестоимость_продаж[Июн (%)])</f>
        <v>1</v>
      </c>
      <c r="X12" s="28">
        <f>SUBTOTAL(109,Себестоимость_продаж[Июл (%)])</f>
        <v>1</v>
      </c>
      <c r="Y12" s="28">
        <f>SUBTOTAL(109,Себестоимость_продаж[Авг (%)])</f>
        <v>0.99999999999999989</v>
      </c>
      <c r="Z12" s="28">
        <f>SUBTOTAL(109,Себестоимость_продаж[Сен (%)])</f>
        <v>1</v>
      </c>
      <c r="AA12" s="28">
        <f>SUBTOTAL(109,Себестоимость_продаж[Окт (%)])</f>
        <v>1</v>
      </c>
      <c r="AB12" s="28">
        <f>SUBTOTAL(109,Себестоимость_продаж[Ноя (%)])</f>
        <v>0.99999999999999989</v>
      </c>
      <c r="AC12" s="28">
        <f>SUBTOTAL(109,Себестоимость_продаж[Дек (%)])</f>
        <v>1</v>
      </c>
      <c r="AD12" s="28">
        <f>SUBTOTAL(109,Себестоимость_продаж[Год (%)])</f>
        <v>0.99999999999999989</v>
      </c>
    </row>
    <row r="13" spans="1:30" ht="30" customHeight="1" x14ac:dyDescent="0.3"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</row>
    <row r="14" spans="1:30" ht="30" customHeight="1" x14ac:dyDescent="0.3">
      <c r="B14" s="13" t="s">
        <v>54</v>
      </c>
      <c r="C14" s="13"/>
      <c r="D14" s="38">
        <f>Доходы[[#Totals],[Янв]]-Себестоимость_продаж[[#Totals],[Янв]]</f>
        <v>35900</v>
      </c>
      <c r="E14" s="38">
        <f>Доходы[[#Totals],[Фев]]-Себестоимость_продаж[[#Totals],[Фев]]</f>
        <v>38000</v>
      </c>
      <c r="F14" s="38">
        <f>Доходы[[#Totals],[Мар]]-Себестоимость_продаж[[#Totals],[Мар]]</f>
        <v>50500</v>
      </c>
      <c r="G14" s="38">
        <f>Доходы[[#Totals],[Апр]]-Себестоимость_продаж[[#Totals],[Апр]]</f>
        <v>37000</v>
      </c>
      <c r="H14" s="38">
        <f>Доходы[[#Totals],[Май]]-Себестоимость_продаж[[#Totals],[Май]]</f>
        <v>41300</v>
      </c>
      <c r="I14" s="38">
        <f>Доходы[[#Totals],[Июн]]-Себестоимость_продаж[[#Totals],[Июн]]</f>
        <v>26600</v>
      </c>
      <c r="J14" s="38">
        <f>Доходы[[#Totals],[Июл]]-Себестоимость_продаж[[#Totals],[Июл]]</f>
        <v>29800</v>
      </c>
      <c r="K14" s="38">
        <f>Доходы[[#Totals],[Авг]]-Себестоимость_продаж[[#Totals],[Авг]]</f>
        <v>44900</v>
      </c>
      <c r="L14" s="38">
        <f>Доходы[[#Totals],[Сен]]-Себестоимость_продаж[[#Totals],[Сен]]</f>
        <v>33000</v>
      </c>
      <c r="M14" s="38">
        <f>Доходы[[#Totals],[Окт]]-Себестоимость_продаж[[#Totals],[Окт]]</f>
        <v>40700</v>
      </c>
      <c r="N14" s="38">
        <f>Доходы[[#Totals],[Ноя]]-Себестоимость_продаж[[#Totals],[Ноя]]</f>
        <v>47500</v>
      </c>
      <c r="O14" s="38">
        <f>Доходы[[#Totals],[Дек]]-Себестоимость_продаж[[#Totals],[Дек]]</f>
        <v>59000</v>
      </c>
      <c r="P14" s="38">
        <f>Доходы[[#Totals],[За год]]-Себестоимость_продаж[[#Totals],[За год]]</f>
        <v>484200</v>
      </c>
      <c r="Q14" s="13"/>
      <c r="R14" s="15">
        <f t="shared" ref="R14:AD14" si="1">D14/$P$14</f>
        <v>7.4142916150351096E-2</v>
      </c>
      <c r="S14" s="15">
        <f t="shared" si="1"/>
        <v>7.8479966955803393E-2</v>
      </c>
      <c r="T14" s="15">
        <f t="shared" si="1"/>
        <v>0.10429574555968608</v>
      </c>
      <c r="U14" s="15">
        <f t="shared" si="1"/>
        <v>7.6414704667492769E-2</v>
      </c>
      <c r="V14" s="15">
        <f t="shared" si="1"/>
        <v>8.5295332507228414E-2</v>
      </c>
      <c r="W14" s="15">
        <f t="shared" si="1"/>
        <v>5.4935976869062368E-2</v>
      </c>
      <c r="X14" s="15">
        <f t="shared" si="1"/>
        <v>6.1544816191656339E-2</v>
      </c>
      <c r="Y14" s="15">
        <f t="shared" si="1"/>
        <v>9.2730276745146639E-2</v>
      </c>
      <c r="Z14" s="15">
        <f t="shared" si="1"/>
        <v>6.8153655514250316E-2</v>
      </c>
      <c r="AA14" s="15">
        <f t="shared" si="1"/>
        <v>8.4056175134242045E-2</v>
      </c>
      <c r="AB14" s="15">
        <f t="shared" si="1"/>
        <v>9.8099958694754227E-2</v>
      </c>
      <c r="AC14" s="15">
        <f t="shared" si="1"/>
        <v>0.12185047501032631</v>
      </c>
      <c r="AD14" s="15">
        <f t="shared" si="1"/>
        <v>1</v>
      </c>
    </row>
    <row r="16" spans="1:30" ht="30" customHeight="1" x14ac:dyDescent="0.3"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</row>
    <row r="17" spans="3:18" ht="30" customHeight="1" x14ac:dyDescent="0.3"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</row>
    <row r="18" spans="3:18" ht="30" customHeight="1" x14ac:dyDescent="0.3"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</row>
  </sheetData>
  <dataValidations count="18">
    <dataValidation allowBlank="1" showInputMessage="1" showErrorMessage="1" prompt="В этой строке автоматически вычисляется валовая прибыль за каждый месяц и год, исходя из общего объема и общей себестоимости продаж." sqref="B14" xr:uid="{00000000-0002-0000-0100-000000000000}"/>
    <dataValidation allowBlank="1" showInputMessage="1" showErrorMessage="1" prompt="На этом листе вычисляется общая себестоимость продаж за каждый месяц и год, а также годовая себестоимость продаж по статьям. На основе записей автоматически вычисляется валовая прибыль." sqref="A1" xr:uid="{00000000-0002-0000-0100-000001000000}"/>
    <dataValidation allowBlank="1" showInputMessage="1" showErrorMessage="1" prompt="Эта ячейка обновляется автоматически в соответствии с заголовком прогнозного периода на листе &quot;Доходы (продажи)&quot;." sqref="B1" xr:uid="{00000000-0002-0000-0100-000002000000}"/>
    <dataValidation allowBlank="1" showInputMessage="1" showErrorMessage="1" prompt="Название организации обновляется автоматически на основе записи с листа &quot;Доходы (продажи)&quot;." sqref="AD1" xr:uid="{00000000-0002-0000-0100-000003000000}"/>
    <dataValidation allowBlank="1" showInputMessage="1" showErrorMessage="1" prompt="Автоматически обновляемый заголовок с листа &quot;Доходы (продажи)&quot;. Для вычисления общей себестоимости продаж введите значения в таблицу &quot;Себестоимость продаж&quot;." sqref="B2" xr:uid="{00000000-0002-0000-0100-000004000000}"/>
    <dataValidation allowBlank="1" showInputMessage="1" showErrorMessage="1" prompt="В ячейках справа автоматически обновляются месяц и год. Месяц или год можно изменить в ячейках AC2 и AD2 на листе &quot;Доходы (продажи)&quot;." sqref="AB2" xr:uid="{00000000-0002-0000-0100-000005000000}"/>
    <dataValidation allowBlank="1" showInputMessage="1" showErrorMessage="1" prompt="Введите в этом столбце процентный индекс." sqref="Q4" xr:uid="{00000000-0002-0000-0100-000006000000}"/>
    <dataValidation allowBlank="1" showInputMessage="1" showErrorMessage="1" prompt="Введите в этом столбце себестоимость источников, указанных в столбце B." sqref="D4:O4" xr:uid="{00000000-0002-0000-0100-000007000000}"/>
    <dataValidation allowBlank="1" showInputMessage="1" showErrorMessage="1" prompt="Этот столбец содержит диаграмму изменения затрат по времени." sqref="C4" xr:uid="{00000000-0002-0000-0100-000008000000}"/>
    <dataValidation allowBlank="1" showInputMessage="1" showErrorMessage="1" prompt="Введите в этом столбце себестоимость продаж." sqref="B4" xr:uid="{00000000-0002-0000-0100-000009000000}"/>
    <dataValidation allowBlank="1" showInputMessage="1" showErrorMessage="1" prompt="В этом столбце автоматически вычисляется доля себестоимости продаж из разных источников в общем объеме продаж за год." sqref="AD3" xr:uid="{00000000-0002-0000-0100-00000A000000}"/>
    <dataValidation allowBlank="1" showInputMessage="1" showErrorMessage="1" prompt="В этом столбце автоматически вычисляется доля себестоимости продаж из разных источников в общем объеме продаж за месяц в этой ячейке." sqref="R3:AC3" xr:uid="{00000000-0002-0000-0100-00000B000000}"/>
    <dataValidation allowBlank="1" showInputMessage="1" showErrorMessage="1" prompt="Автоматически обновляемый месяц" sqref="E3:O3" xr:uid="{00000000-0002-0000-0100-00000C000000}"/>
    <dataValidation allowBlank="1" showInputMessage="1" showErrorMessage="1" prompt="Даты в этой строке обновляются автоматически в зависимости от первого месяца финансового года. Первый месяц можно изменить в ячейке AC2 на листе &quot;Доходы (продажи)&quot;." sqref="D3" xr:uid="{00000000-0002-0000-0100-00000D000000}"/>
    <dataValidation allowBlank="1" showInputMessage="1" showErrorMessage="1" prompt="В этом столбце автоматически вычисляется годовая себестоимость." sqref="P3" xr:uid="{00000000-0002-0000-0100-00000E000000}"/>
    <dataValidation allowBlank="1" showInputMessage="1" showErrorMessage="1" prompt="Этот столбец содержит процентный индекс." sqref="Q3" xr:uid="{00000000-0002-0000-0100-00000F000000}"/>
    <dataValidation allowBlank="1" showInputMessage="1" showErrorMessage="1" prompt="Автоматически обновляемый месяц. Можно изменить в ячейке AC2 на листе &quot;Доходы (продажи)&quot;." sqref="AC2" xr:uid="{00000000-0002-0000-0100-000010000000}"/>
    <dataValidation allowBlank="1" showInputMessage="1" showErrorMessage="1" prompt="Автоматически обновляемый год. Можно изменить в ячейке AD2 на листе &quot;Доходы (продажи)&quot;." sqref="AD2" xr:uid="{00000000-0002-0000-0100-000011000000}"/>
  </dataValidations>
  <printOptions horizontalCentered="1"/>
  <pageMargins left="0.25" right="0.25" top="0.75" bottom="0.75" header="0.3" footer="0.3"/>
  <pageSetup paperSize="9" scale="45" fitToHeight="0" orientation="landscape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05C60535-1F16-4fd2-B633-F4F36F0B64E0}">
      <x14:sparklineGroups xmlns:xm="http://schemas.microsoft.com/office/excel/2006/main">
        <x14:sparklineGroup lineWeight="1" displayEmptyCellsAs="gap" high="1" low="1" xr2:uid="{00000000-0003-0000-0100-000002000000}">
          <x14:colorSeries theme="3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3"/>
          <x14:colorLow theme="3"/>
          <x14:sparklines>
            <x14:sparkline>
              <xm:f>'Себестоимость продаж'!D12:O12</xm:f>
              <xm:sqref>C12</xm:sqref>
            </x14:sparkline>
          </x14:sparklines>
        </x14:sparklineGroup>
        <x14:sparklineGroup lineWeight="1" displayEmptyCellsAs="gap" high="1" low="1" xr2:uid="{00000000-0003-0000-0100-000003000000}">
          <x14:colorSeries theme="3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3"/>
          <x14:colorLow theme="3"/>
          <x14:sparklines>
            <x14:sparkline>
              <xm:f>'Себестоимость продаж'!D5:O5</xm:f>
              <xm:sqref>C5</xm:sqref>
            </x14:sparkline>
            <x14:sparkline>
              <xm:f>'Себестоимость продаж'!D6:O6</xm:f>
              <xm:sqref>C6</xm:sqref>
            </x14:sparkline>
            <x14:sparkline>
              <xm:f>'Себестоимость продаж'!D7:O7</xm:f>
              <xm:sqref>C7</xm:sqref>
            </x14:sparkline>
            <x14:sparkline>
              <xm:f>'Себестоимость продаж'!D8:O8</xm:f>
              <xm:sqref>C8</xm:sqref>
            </x14:sparkline>
            <x14:sparkline>
              <xm:f>'Себестоимость продаж'!D9:O9</xm:f>
              <xm:sqref>C9</xm:sqref>
            </x14:sparkline>
            <x14:sparkline>
              <xm:f>'Себестоимость продаж'!D10:O10</xm:f>
              <xm:sqref>C10</xm:sqref>
            </x14:sparkline>
            <x14:sparkline>
              <xm:f>'Себестоимость продаж'!D11:O11</xm:f>
              <xm:sqref>C11</xm:sqref>
            </x14:sparkline>
          </x14:sparklines>
        </x14:sparklineGroup>
      </x14:sparklineGroup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0.39997558519241921"/>
    <pageSetUpPr fitToPage="1"/>
  </sheetPr>
  <dimension ref="A1:AD32"/>
  <sheetViews>
    <sheetView showGridLines="0" zoomScaleNormal="100" zoomScaleSheetLayoutView="40" workbookViewId="0">
      <pane ySplit="3" topLeftCell="A4" activePane="bottomLeft" state="frozen"/>
      <selection activeCell="D1" sqref="D1:O1048576"/>
      <selection pane="bottomLeft"/>
    </sheetView>
  </sheetViews>
  <sheetFormatPr defaultRowHeight="30" customHeight="1" x14ac:dyDescent="0.3"/>
  <cols>
    <col min="1" max="1" width="2.625" customWidth="1"/>
    <col min="2" max="2" width="32.875" customWidth="1"/>
    <col min="3" max="3" width="12.625" customWidth="1"/>
    <col min="4" max="15" width="10.875" customWidth="1"/>
    <col min="16" max="16" width="12.125" customWidth="1"/>
    <col min="17" max="17" width="9.25" customWidth="1"/>
    <col min="18" max="29" width="8.75" customWidth="1"/>
    <col min="30" max="30" width="9.875" customWidth="1"/>
    <col min="31" max="31" width="2.625" customWidth="1"/>
  </cols>
  <sheetData>
    <row r="1" spans="1:30" ht="35.1" customHeight="1" x14ac:dyDescent="0.3">
      <c r="A1" s="6"/>
      <c r="B1" s="21" t="str">
        <f>Projection_Period_Title</f>
        <v>Двенадцать месяцев</v>
      </c>
      <c r="C1" s="11"/>
      <c r="J1" s="8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18" t="str">
        <f>Название_организации</f>
        <v>Название организации</v>
      </c>
    </row>
    <row r="2" spans="1:30" ht="60" customHeight="1" x14ac:dyDescent="0.3">
      <c r="B2" s="4" t="str">
        <f>'Доходы (продажи)'!$B$2</f>
        <v>ОЦЕНКА ПРИБЫЛЕЙ И УБЫТКОВ</v>
      </c>
      <c r="E2" s="3"/>
      <c r="G2" s="3"/>
      <c r="K2" s="3"/>
      <c r="L2" s="3"/>
      <c r="M2" s="3"/>
      <c r="N2" s="3"/>
      <c r="O2" s="3"/>
      <c r="X2" s="5"/>
      <c r="Y2" s="5"/>
      <c r="Z2" s="5"/>
      <c r="AA2" s="5"/>
      <c r="AB2" s="19" t="s">
        <v>55</v>
      </c>
      <c r="AC2" s="19" t="str">
        <f>FYMonthStart</f>
        <v>ЯНВ</v>
      </c>
      <c r="AD2" s="19">
        <f ca="1">FYStartYear</f>
        <v>2017</v>
      </c>
    </row>
    <row r="3" spans="1:30" ht="20.100000000000001" customHeight="1" x14ac:dyDescent="0.3">
      <c r="D3" s="20" t="str">
        <f ca="1">UPPER(TEXT(DATE(FYStartYear,FYMonthNo,1),"ГГ МММ"))</f>
        <v>17 ЯНВ</v>
      </c>
      <c r="E3" s="20" t="str">
        <f ca="1">UPPER(TEXT(DATE(FYStartYear,FYMonthNo+1,1),"ГГ МММ"))</f>
        <v>17 ФЕВ</v>
      </c>
      <c r="F3" s="20" t="str">
        <f ca="1">UPPER(TEXT(DATE(FYStartYear,FYMonthNo+2,1),"ГГ МММ"))</f>
        <v>17 МАР</v>
      </c>
      <c r="G3" s="20" t="str">
        <f ca="1">UPPER(TEXT(DATE(FYStartYear,FYMonthNo+3,1),"ГГ МММ"))</f>
        <v>17 АПР</v>
      </c>
      <c r="H3" s="20" t="str">
        <f ca="1">UPPER(TEXT(DATE(FYStartYear,FYMonthNo+4,1),"ГГ МММ"))</f>
        <v>17 МАЙ</v>
      </c>
      <c r="I3" s="20" t="str">
        <f ca="1">UPPER(TEXT(DATE(FYStartYear,FYMonthNo+5,1),"ГГ МММ"))</f>
        <v>17 ИЮН</v>
      </c>
      <c r="J3" s="20" t="str">
        <f ca="1">UPPER(TEXT(DATE(FYStartYear,FYMonthNo+6,1),"ГГ МММ"))</f>
        <v>17 ИЮЛ</v>
      </c>
      <c r="K3" s="20" t="str">
        <f ca="1">UPPER(TEXT(DATE(FYStartYear,FYMonthNo+7,1),"ГГ МММ"))</f>
        <v>17 АВГ</v>
      </c>
      <c r="L3" s="20" t="str">
        <f ca="1">UPPER(TEXT(DATE(FYStartYear,FYMonthNo+8,1),"ГГ МММ"))</f>
        <v>17 СЕН</v>
      </c>
      <c r="M3" s="20" t="str">
        <f ca="1">UPPER(TEXT(DATE(FYStartYear,FYMonthNo+9,1),"ГГ МММ"))</f>
        <v>17 ОКТ</v>
      </c>
      <c r="N3" s="20" t="str">
        <f ca="1">UPPER(TEXT(DATE(FYStartYear,FYMonthNo+10,1),"ГГ МММ"))</f>
        <v>17 НОЯ</v>
      </c>
      <c r="O3" s="20" t="str">
        <f ca="1">UPPER(TEXT(DATE(FYStartYear,FYMonthNo+11,1),"ГГ МММ"))</f>
        <v>17 ДЕК</v>
      </c>
      <c r="P3" s="20" t="s">
        <v>24</v>
      </c>
      <c r="Q3" s="20" t="s">
        <v>26</v>
      </c>
      <c r="R3" s="20" t="str">
        <f ca="1">RIGHT(D3,3)&amp;" %"</f>
        <v>ЯНВ %</v>
      </c>
      <c r="S3" s="20" t="str">
        <f t="shared" ref="S3:AC3" ca="1" si="0">RIGHT(E3,3)&amp;" %"</f>
        <v>ФЕВ %</v>
      </c>
      <c r="T3" s="20" t="str">
        <f t="shared" ca="1" si="0"/>
        <v>МАР %</v>
      </c>
      <c r="U3" s="20" t="str">
        <f t="shared" ca="1" si="0"/>
        <v>АПР %</v>
      </c>
      <c r="V3" s="20" t="str">
        <f t="shared" ca="1" si="0"/>
        <v>МАЙ %</v>
      </c>
      <c r="W3" s="20" t="str">
        <f t="shared" ca="1" si="0"/>
        <v>ИЮН %</v>
      </c>
      <c r="X3" s="20" t="str">
        <f t="shared" ca="1" si="0"/>
        <v>ИЮЛ %</v>
      </c>
      <c r="Y3" s="20" t="str">
        <f t="shared" ca="1" si="0"/>
        <v>АВГ %</v>
      </c>
      <c r="Z3" s="20" t="str">
        <f t="shared" ca="1" si="0"/>
        <v>СЕН %</v>
      </c>
      <c r="AA3" s="20" t="str">
        <f t="shared" ca="1" si="0"/>
        <v>ОКТ %</v>
      </c>
      <c r="AB3" s="20" t="str">
        <f t="shared" ca="1" si="0"/>
        <v>НОЯ %</v>
      </c>
      <c r="AC3" s="20" t="str">
        <f t="shared" ca="1" si="0"/>
        <v>ДЕК %</v>
      </c>
      <c r="AD3" s="20" t="s">
        <v>43</v>
      </c>
    </row>
    <row r="4" spans="1:30" ht="30" customHeight="1" x14ac:dyDescent="0.3">
      <c r="B4" s="29" t="s">
        <v>56</v>
      </c>
      <c r="C4" s="29" t="s">
        <v>11</v>
      </c>
      <c r="D4" s="22" t="s">
        <v>75</v>
      </c>
      <c r="E4" s="22" t="s">
        <v>13</v>
      </c>
      <c r="F4" s="22" t="s">
        <v>14</v>
      </c>
      <c r="G4" s="22" t="s">
        <v>15</v>
      </c>
      <c r="H4" s="22" t="s">
        <v>16</v>
      </c>
      <c r="I4" s="22" t="s">
        <v>17</v>
      </c>
      <c r="J4" s="22" t="s">
        <v>18</v>
      </c>
      <c r="K4" s="22" t="s">
        <v>19</v>
      </c>
      <c r="L4" s="22" t="s">
        <v>20</v>
      </c>
      <c r="M4" s="22" t="s">
        <v>21</v>
      </c>
      <c r="N4" s="22" t="s">
        <v>22</v>
      </c>
      <c r="O4" s="22" t="s">
        <v>23</v>
      </c>
      <c r="P4" s="22" t="s">
        <v>25</v>
      </c>
      <c r="Q4" s="23" t="s">
        <v>27</v>
      </c>
      <c r="R4" s="23" t="s">
        <v>28</v>
      </c>
      <c r="S4" s="23" t="s">
        <v>29</v>
      </c>
      <c r="T4" s="23" t="s">
        <v>30</v>
      </c>
      <c r="U4" s="23" t="s">
        <v>31</v>
      </c>
      <c r="V4" s="23" t="s">
        <v>32</v>
      </c>
      <c r="W4" s="23" t="s">
        <v>33</v>
      </c>
      <c r="X4" s="23" t="s">
        <v>34</v>
      </c>
      <c r="Y4" s="23" t="s">
        <v>35</v>
      </c>
      <c r="Z4" s="23" t="s">
        <v>36</v>
      </c>
      <c r="AA4" s="23" t="s">
        <v>37</v>
      </c>
      <c r="AB4" s="23" t="s">
        <v>39</v>
      </c>
      <c r="AC4" s="23" t="s">
        <v>41</v>
      </c>
      <c r="AD4" s="22" t="s">
        <v>44</v>
      </c>
    </row>
    <row r="5" spans="1:30" ht="30" customHeight="1" x14ac:dyDescent="0.3">
      <c r="B5" s="16" t="s">
        <v>57</v>
      </c>
      <c r="C5" s="32" t="s">
        <v>74</v>
      </c>
      <c r="D5" s="25">
        <v>1000</v>
      </c>
      <c r="E5" s="25">
        <v>1800</v>
      </c>
      <c r="F5" s="25">
        <v>1300</v>
      </c>
      <c r="G5" s="25">
        <v>800</v>
      </c>
      <c r="H5" s="25">
        <v>2200</v>
      </c>
      <c r="I5" s="25">
        <v>1800</v>
      </c>
      <c r="J5" s="25">
        <v>800</v>
      </c>
      <c r="K5" s="25">
        <v>1700</v>
      </c>
      <c r="L5" s="25">
        <v>2000</v>
      </c>
      <c r="M5" s="25">
        <v>800</v>
      </c>
      <c r="N5" s="25">
        <v>400</v>
      </c>
      <c r="O5" s="25">
        <v>1200</v>
      </c>
      <c r="P5" s="33">
        <f>SUM(tblExpenses[[#This Row],[Столбец1]:[Дек]])</f>
        <v>15800</v>
      </c>
      <c r="Q5" s="26">
        <v>0.12</v>
      </c>
      <c r="R5" s="34">
        <f>tblExpenses[[#This Row],[Столбец1]]/tblExpenses[[#Totals],[Столбец1]]</f>
        <v>4.2372881355932202E-2</v>
      </c>
      <c r="S5" s="34">
        <f>tblExpenses[[#This Row],[Фев]]/tblExpenses[[#Totals],[Фев]]</f>
        <v>8.7804878048780483E-2</v>
      </c>
      <c r="T5" s="34">
        <f>tblExpenses[[#This Row],[Мар]]/tblExpenses[[#Totals],[Мар]]</f>
        <v>5.2208835341365459E-2</v>
      </c>
      <c r="U5" s="34">
        <f>tblExpenses[[#This Row],[Апр]]/tblExpenses[[#Totals],[Апр]]</f>
        <v>3.0651340996168581E-2</v>
      </c>
      <c r="V5" s="34">
        <f>tblExpenses[[#This Row],[Май]]/tblExpenses[[#Totals],[Май]]</f>
        <v>8.5603112840466927E-2</v>
      </c>
      <c r="W5" s="34">
        <f>tblExpenses[[#This Row],[Июн]]/tblExpenses[[#Totals],[Июн]]</f>
        <v>6.569343065693431E-2</v>
      </c>
      <c r="X5" s="34">
        <f>tblExpenses[[#This Row],[Июл]]/tblExpenses[[#Totals],[Июл]]</f>
        <v>3.007518796992481E-2</v>
      </c>
      <c r="Y5" s="34">
        <f>tblExpenses[[#This Row],[Авг]]/tblExpenses[[#Totals],[Авг]]</f>
        <v>7.2340425531914887E-2</v>
      </c>
      <c r="Z5" s="34">
        <f>tblExpenses[[#This Row],[Сен]]/tblExpenses[[#Totals],[Сен]]</f>
        <v>8.6956521739130432E-2</v>
      </c>
      <c r="AA5" s="34">
        <f>tblExpenses[[#This Row],[Окт]]/tblExpenses[[#Totals],[Окт]]</f>
        <v>3.0888030888030889E-2</v>
      </c>
      <c r="AB5" s="34">
        <f>tblExpenses[[#This Row],[Ноя]]/tblExpenses[[#Totals],[Ноя]]</f>
        <v>1.3513513513513514E-2</v>
      </c>
      <c r="AC5" s="34">
        <f>tblExpenses[[#This Row],[Дек]]/tblExpenses[[#Totals],[Дек]]</f>
        <v>5.1948051948051951E-2</v>
      </c>
      <c r="AD5" s="34">
        <f>tblExpenses[[#This Row],[За год]]/tblExpenses[[#Totals],[За год]]</f>
        <v>5.2684228076025338E-2</v>
      </c>
    </row>
    <row r="6" spans="1:30" ht="30" customHeight="1" x14ac:dyDescent="0.3">
      <c r="B6" s="16" t="s">
        <v>58</v>
      </c>
      <c r="C6" s="32" t="s">
        <v>74</v>
      </c>
      <c r="D6" s="25">
        <v>2300</v>
      </c>
      <c r="E6" s="25">
        <v>1100</v>
      </c>
      <c r="F6" s="25">
        <v>700</v>
      </c>
      <c r="G6" s="25">
        <v>1400</v>
      </c>
      <c r="H6" s="25">
        <v>1200</v>
      </c>
      <c r="I6" s="25">
        <v>1900</v>
      </c>
      <c r="J6" s="25">
        <v>1900</v>
      </c>
      <c r="K6" s="25">
        <v>400</v>
      </c>
      <c r="L6" s="25">
        <v>700</v>
      </c>
      <c r="M6" s="25">
        <v>1300</v>
      </c>
      <c r="N6" s="25">
        <v>2500</v>
      </c>
      <c r="O6" s="25">
        <v>500</v>
      </c>
      <c r="P6" s="33">
        <f>SUM(tblExpenses[[#This Row],[Столбец1]:[Дек]])</f>
        <v>15900</v>
      </c>
      <c r="Q6" s="26">
        <v>0.09</v>
      </c>
      <c r="R6" s="34">
        <f>tblExpenses[[#This Row],[Столбец1]]/tblExpenses[[#Totals],[Столбец1]]</f>
        <v>9.7457627118644072E-2</v>
      </c>
      <c r="S6" s="34">
        <f>tblExpenses[[#This Row],[Фев]]/tblExpenses[[#Totals],[Фев]]</f>
        <v>5.3658536585365853E-2</v>
      </c>
      <c r="T6" s="34">
        <f>tblExpenses[[#This Row],[Мар]]/tblExpenses[[#Totals],[Мар]]</f>
        <v>2.8112449799196786E-2</v>
      </c>
      <c r="U6" s="34">
        <f>tblExpenses[[#This Row],[Апр]]/tblExpenses[[#Totals],[Апр]]</f>
        <v>5.3639846743295021E-2</v>
      </c>
      <c r="V6" s="34">
        <f>tblExpenses[[#This Row],[Май]]/tblExpenses[[#Totals],[Май]]</f>
        <v>4.6692607003891051E-2</v>
      </c>
      <c r="W6" s="34">
        <f>tblExpenses[[#This Row],[Июн]]/tblExpenses[[#Totals],[Июн]]</f>
        <v>6.9343065693430656E-2</v>
      </c>
      <c r="X6" s="34">
        <f>tblExpenses[[#This Row],[Июл]]/tblExpenses[[#Totals],[Июл]]</f>
        <v>7.1428571428571425E-2</v>
      </c>
      <c r="Y6" s="34">
        <f>tblExpenses[[#This Row],[Авг]]/tblExpenses[[#Totals],[Авг]]</f>
        <v>1.7021276595744681E-2</v>
      </c>
      <c r="Z6" s="34">
        <f>tblExpenses[[#This Row],[Сен]]/tblExpenses[[#Totals],[Сен]]</f>
        <v>3.0434782608695653E-2</v>
      </c>
      <c r="AA6" s="34">
        <f>tblExpenses[[#This Row],[Окт]]/tblExpenses[[#Totals],[Окт]]</f>
        <v>5.019305019305019E-2</v>
      </c>
      <c r="AB6" s="34">
        <f>tblExpenses[[#This Row],[Ноя]]/tblExpenses[[#Totals],[Ноя]]</f>
        <v>8.4459459459459457E-2</v>
      </c>
      <c r="AC6" s="34">
        <f>tblExpenses[[#This Row],[Дек]]/tblExpenses[[#Totals],[Дек]]</f>
        <v>2.1645021645021644E-2</v>
      </c>
      <c r="AD6" s="34">
        <f>tblExpenses[[#This Row],[За год]]/tblExpenses[[#Totals],[За год]]</f>
        <v>5.3017672557519172E-2</v>
      </c>
    </row>
    <row r="7" spans="1:30" ht="30" customHeight="1" x14ac:dyDescent="0.3">
      <c r="B7" s="16" t="s">
        <v>59</v>
      </c>
      <c r="C7" s="32" t="s">
        <v>74</v>
      </c>
      <c r="D7" s="25">
        <v>2300</v>
      </c>
      <c r="E7" s="25">
        <v>2000</v>
      </c>
      <c r="F7" s="25">
        <v>300</v>
      </c>
      <c r="G7" s="25">
        <v>1600</v>
      </c>
      <c r="H7" s="25">
        <v>1000</v>
      </c>
      <c r="I7" s="25">
        <v>500</v>
      </c>
      <c r="J7" s="25">
        <v>2000</v>
      </c>
      <c r="K7" s="25">
        <v>700</v>
      </c>
      <c r="L7" s="25">
        <v>400</v>
      </c>
      <c r="M7" s="25">
        <v>2200</v>
      </c>
      <c r="N7" s="25">
        <v>1300</v>
      </c>
      <c r="O7" s="25">
        <v>1400</v>
      </c>
      <c r="P7" s="33">
        <f>SUM(tblExpenses[[#This Row],[Столбец1]:[Дек]])</f>
        <v>15700</v>
      </c>
      <c r="Q7" s="26">
        <v>0.02</v>
      </c>
      <c r="R7" s="34">
        <f>tblExpenses[[#This Row],[Столбец1]]/tblExpenses[[#Totals],[Столбец1]]</f>
        <v>9.7457627118644072E-2</v>
      </c>
      <c r="S7" s="34">
        <f>tblExpenses[[#This Row],[Фев]]/tblExpenses[[#Totals],[Фев]]</f>
        <v>9.7560975609756101E-2</v>
      </c>
      <c r="T7" s="34">
        <f>tblExpenses[[#This Row],[Мар]]/tblExpenses[[#Totals],[Мар]]</f>
        <v>1.2048192771084338E-2</v>
      </c>
      <c r="U7" s="34">
        <f>tblExpenses[[#This Row],[Апр]]/tblExpenses[[#Totals],[Апр]]</f>
        <v>6.1302681992337162E-2</v>
      </c>
      <c r="V7" s="34">
        <f>tblExpenses[[#This Row],[Май]]/tblExpenses[[#Totals],[Май]]</f>
        <v>3.8910505836575876E-2</v>
      </c>
      <c r="W7" s="34">
        <f>tblExpenses[[#This Row],[Июн]]/tblExpenses[[#Totals],[Июн]]</f>
        <v>1.824817518248175E-2</v>
      </c>
      <c r="X7" s="34">
        <f>tblExpenses[[#This Row],[Июл]]/tblExpenses[[#Totals],[Июл]]</f>
        <v>7.5187969924812026E-2</v>
      </c>
      <c r="Y7" s="34">
        <f>tblExpenses[[#This Row],[Авг]]/tblExpenses[[#Totals],[Авг]]</f>
        <v>2.9787234042553193E-2</v>
      </c>
      <c r="Z7" s="34">
        <f>tblExpenses[[#This Row],[Сен]]/tblExpenses[[#Totals],[Сен]]</f>
        <v>1.7391304347826087E-2</v>
      </c>
      <c r="AA7" s="34">
        <f>tblExpenses[[#This Row],[Окт]]/tblExpenses[[#Totals],[Окт]]</f>
        <v>8.4942084942084939E-2</v>
      </c>
      <c r="AB7" s="34">
        <f>tblExpenses[[#This Row],[Ноя]]/tblExpenses[[#Totals],[Ноя]]</f>
        <v>4.3918918918918921E-2</v>
      </c>
      <c r="AC7" s="34">
        <f>tblExpenses[[#This Row],[Дек]]/tblExpenses[[#Totals],[Дек]]</f>
        <v>6.0606060606060608E-2</v>
      </c>
      <c r="AD7" s="34">
        <f>tblExpenses[[#This Row],[За год]]/tblExpenses[[#Totals],[За год]]</f>
        <v>5.2350783594531512E-2</v>
      </c>
    </row>
    <row r="8" spans="1:30" ht="30" customHeight="1" x14ac:dyDescent="0.3">
      <c r="B8" s="16" t="s">
        <v>60</v>
      </c>
      <c r="C8" s="32"/>
      <c r="D8" s="25">
        <v>1900</v>
      </c>
      <c r="E8" s="25">
        <v>400</v>
      </c>
      <c r="F8" s="25">
        <v>700</v>
      </c>
      <c r="G8" s="25">
        <v>1400</v>
      </c>
      <c r="H8" s="25">
        <v>2200</v>
      </c>
      <c r="I8" s="25">
        <v>1000</v>
      </c>
      <c r="J8" s="25">
        <v>2200</v>
      </c>
      <c r="K8" s="25">
        <v>500</v>
      </c>
      <c r="L8" s="25">
        <v>400</v>
      </c>
      <c r="M8" s="25">
        <v>1200</v>
      </c>
      <c r="N8" s="25">
        <v>1800</v>
      </c>
      <c r="O8" s="25">
        <v>2400</v>
      </c>
      <c r="P8" s="33">
        <f>SUM(tblExpenses[[#This Row],[Столбец1]:[Дек]])</f>
        <v>16100</v>
      </c>
      <c r="Q8" s="26">
        <v>0.08</v>
      </c>
      <c r="R8" s="34">
        <f>tblExpenses[[#This Row],[Столбец1]]/tblExpenses[[#Totals],[Столбец1]]</f>
        <v>8.050847457627118E-2</v>
      </c>
      <c r="S8" s="34">
        <f>tblExpenses[[#This Row],[Фев]]/tblExpenses[[#Totals],[Фев]]</f>
        <v>1.9512195121951219E-2</v>
      </c>
      <c r="T8" s="34">
        <f>tblExpenses[[#This Row],[Мар]]/tblExpenses[[#Totals],[Мар]]</f>
        <v>2.8112449799196786E-2</v>
      </c>
      <c r="U8" s="34">
        <f>tblExpenses[[#This Row],[Апр]]/tblExpenses[[#Totals],[Апр]]</f>
        <v>5.3639846743295021E-2</v>
      </c>
      <c r="V8" s="34">
        <f>tblExpenses[[#This Row],[Май]]/tblExpenses[[#Totals],[Май]]</f>
        <v>8.5603112840466927E-2</v>
      </c>
      <c r="W8" s="34">
        <f>tblExpenses[[#This Row],[Июн]]/tblExpenses[[#Totals],[Июн]]</f>
        <v>3.6496350364963501E-2</v>
      </c>
      <c r="X8" s="34">
        <f>tblExpenses[[#This Row],[Июл]]/tblExpenses[[#Totals],[Июл]]</f>
        <v>8.2706766917293228E-2</v>
      </c>
      <c r="Y8" s="34">
        <f>tblExpenses[[#This Row],[Авг]]/tblExpenses[[#Totals],[Авг]]</f>
        <v>2.1276595744680851E-2</v>
      </c>
      <c r="Z8" s="34">
        <f>tblExpenses[[#This Row],[Сен]]/tblExpenses[[#Totals],[Сен]]</f>
        <v>1.7391304347826087E-2</v>
      </c>
      <c r="AA8" s="34">
        <f>tblExpenses[[#This Row],[Окт]]/tblExpenses[[#Totals],[Окт]]</f>
        <v>4.633204633204633E-2</v>
      </c>
      <c r="AB8" s="34">
        <f>tblExpenses[[#This Row],[Ноя]]/tblExpenses[[#Totals],[Ноя]]</f>
        <v>6.0810810810810814E-2</v>
      </c>
      <c r="AC8" s="34">
        <f>tblExpenses[[#This Row],[Дек]]/tblExpenses[[#Totals],[Дек]]</f>
        <v>0.1038961038961039</v>
      </c>
      <c r="AD8" s="34">
        <f>tblExpenses[[#This Row],[За год]]/tblExpenses[[#Totals],[За год]]</f>
        <v>5.3684561520506838E-2</v>
      </c>
    </row>
    <row r="9" spans="1:30" ht="30" customHeight="1" x14ac:dyDescent="0.3">
      <c r="B9" s="16" t="s">
        <v>61</v>
      </c>
      <c r="C9" s="32" t="s">
        <v>74</v>
      </c>
      <c r="D9" s="25">
        <v>1100</v>
      </c>
      <c r="E9" s="25">
        <v>1100</v>
      </c>
      <c r="F9" s="25">
        <v>1700</v>
      </c>
      <c r="G9" s="25">
        <v>1200</v>
      </c>
      <c r="H9" s="25">
        <v>200</v>
      </c>
      <c r="I9" s="25">
        <v>1400</v>
      </c>
      <c r="J9" s="25">
        <v>1200</v>
      </c>
      <c r="K9" s="25">
        <v>1000</v>
      </c>
      <c r="L9" s="25">
        <v>1800</v>
      </c>
      <c r="M9" s="25">
        <v>1100</v>
      </c>
      <c r="N9" s="25">
        <v>2300</v>
      </c>
      <c r="O9" s="25">
        <v>1100</v>
      </c>
      <c r="P9" s="33">
        <f>SUM(tblExpenses[[#This Row],[Столбец1]:[Дек]])</f>
        <v>15200</v>
      </c>
      <c r="Q9" s="26">
        <v>0.03</v>
      </c>
      <c r="R9" s="34">
        <f>tblExpenses[[#This Row],[Столбец1]]/tblExpenses[[#Totals],[Столбец1]]</f>
        <v>4.6610169491525424E-2</v>
      </c>
      <c r="S9" s="34">
        <f>tblExpenses[[#This Row],[Фев]]/tblExpenses[[#Totals],[Фев]]</f>
        <v>5.3658536585365853E-2</v>
      </c>
      <c r="T9" s="34">
        <f>tblExpenses[[#This Row],[Мар]]/tblExpenses[[#Totals],[Мар]]</f>
        <v>6.8273092369477914E-2</v>
      </c>
      <c r="U9" s="34">
        <f>tblExpenses[[#This Row],[Апр]]/tblExpenses[[#Totals],[Апр]]</f>
        <v>4.5977011494252873E-2</v>
      </c>
      <c r="V9" s="34">
        <f>tblExpenses[[#This Row],[Май]]/tblExpenses[[#Totals],[Май]]</f>
        <v>7.7821011673151752E-3</v>
      </c>
      <c r="W9" s="34">
        <f>tblExpenses[[#This Row],[Июн]]/tblExpenses[[#Totals],[Июн]]</f>
        <v>5.1094890510948905E-2</v>
      </c>
      <c r="X9" s="34">
        <f>tblExpenses[[#This Row],[Июл]]/tblExpenses[[#Totals],[Июл]]</f>
        <v>4.5112781954887216E-2</v>
      </c>
      <c r="Y9" s="34">
        <f>tblExpenses[[#This Row],[Авг]]/tblExpenses[[#Totals],[Авг]]</f>
        <v>4.2553191489361701E-2</v>
      </c>
      <c r="Z9" s="34">
        <f>tblExpenses[[#This Row],[Сен]]/tblExpenses[[#Totals],[Сен]]</f>
        <v>7.8260869565217397E-2</v>
      </c>
      <c r="AA9" s="34">
        <f>tblExpenses[[#This Row],[Окт]]/tblExpenses[[#Totals],[Окт]]</f>
        <v>4.2471042471042469E-2</v>
      </c>
      <c r="AB9" s="34">
        <f>tblExpenses[[#This Row],[Ноя]]/tblExpenses[[#Totals],[Ноя]]</f>
        <v>7.77027027027027E-2</v>
      </c>
      <c r="AC9" s="34">
        <f>tblExpenses[[#This Row],[Дек]]/tblExpenses[[#Totals],[Дек]]</f>
        <v>4.7619047619047616E-2</v>
      </c>
      <c r="AD9" s="34">
        <f>tblExpenses[[#This Row],[За год]]/tblExpenses[[#Totals],[За год]]</f>
        <v>5.0683561187062354E-2</v>
      </c>
    </row>
    <row r="10" spans="1:30" ht="30" customHeight="1" x14ac:dyDescent="0.3">
      <c r="B10" s="16" t="s">
        <v>62</v>
      </c>
      <c r="C10" s="32" t="s">
        <v>74</v>
      </c>
      <c r="D10" s="42">
        <v>200</v>
      </c>
      <c r="E10" s="42">
        <v>1600</v>
      </c>
      <c r="F10" s="42">
        <v>600</v>
      </c>
      <c r="G10" s="42">
        <v>1300</v>
      </c>
      <c r="H10" s="42">
        <v>1100</v>
      </c>
      <c r="I10" s="42">
        <v>2200</v>
      </c>
      <c r="J10" s="42">
        <v>2100</v>
      </c>
      <c r="K10" s="42">
        <v>300</v>
      </c>
      <c r="L10" s="42">
        <v>1200</v>
      </c>
      <c r="M10" s="42">
        <v>700</v>
      </c>
      <c r="N10" s="42">
        <v>1700</v>
      </c>
      <c r="O10" s="42">
        <v>2000</v>
      </c>
      <c r="P10" s="33">
        <f>SUM(tblExpenses[[#This Row],[Столбец1]:[Дек]])</f>
        <v>15000</v>
      </c>
      <c r="Q10" s="26">
        <v>0.15</v>
      </c>
      <c r="R10" s="34">
        <f>tblExpenses[[#This Row],[Столбец1]]/tblExpenses[[#Totals],[Столбец1]]</f>
        <v>8.4745762711864406E-3</v>
      </c>
      <c r="S10" s="34">
        <f>tblExpenses[[#This Row],[Фев]]/tblExpenses[[#Totals],[Фев]]</f>
        <v>7.8048780487804878E-2</v>
      </c>
      <c r="T10" s="34">
        <f>tblExpenses[[#This Row],[Мар]]/tblExpenses[[#Totals],[Мар]]</f>
        <v>2.4096385542168676E-2</v>
      </c>
      <c r="U10" s="34">
        <f>tblExpenses[[#This Row],[Апр]]/tblExpenses[[#Totals],[Апр]]</f>
        <v>4.9808429118773943E-2</v>
      </c>
      <c r="V10" s="34">
        <f>tblExpenses[[#This Row],[Май]]/tblExpenses[[#Totals],[Май]]</f>
        <v>4.2801556420233464E-2</v>
      </c>
      <c r="W10" s="34">
        <f>tblExpenses[[#This Row],[Июн]]/tblExpenses[[#Totals],[Июн]]</f>
        <v>8.0291970802919707E-2</v>
      </c>
      <c r="X10" s="34">
        <f>tblExpenses[[#This Row],[Июл]]/tblExpenses[[#Totals],[Июл]]</f>
        <v>7.8947368421052627E-2</v>
      </c>
      <c r="Y10" s="34">
        <f>tblExpenses[[#This Row],[Авг]]/tblExpenses[[#Totals],[Авг]]</f>
        <v>1.276595744680851E-2</v>
      </c>
      <c r="Z10" s="34">
        <f>tblExpenses[[#This Row],[Сен]]/tblExpenses[[#Totals],[Сен]]</f>
        <v>5.2173913043478258E-2</v>
      </c>
      <c r="AA10" s="34">
        <f>tblExpenses[[#This Row],[Окт]]/tblExpenses[[#Totals],[Окт]]</f>
        <v>2.7027027027027029E-2</v>
      </c>
      <c r="AB10" s="34">
        <f>tblExpenses[[#This Row],[Ноя]]/tblExpenses[[#Totals],[Ноя]]</f>
        <v>5.7432432432432436E-2</v>
      </c>
      <c r="AC10" s="34">
        <f>tblExpenses[[#This Row],[Дек]]/tblExpenses[[#Totals],[Дек]]</f>
        <v>8.6580086580086577E-2</v>
      </c>
      <c r="AD10" s="34">
        <f>tblExpenses[[#This Row],[За год]]/tblExpenses[[#Totals],[За год]]</f>
        <v>5.0016672224074694E-2</v>
      </c>
    </row>
    <row r="11" spans="1:30" ht="30" customHeight="1" x14ac:dyDescent="0.3">
      <c r="B11" s="16" t="s">
        <v>63</v>
      </c>
      <c r="C11" s="32"/>
      <c r="D11" s="25">
        <v>800</v>
      </c>
      <c r="E11" s="25">
        <v>1700</v>
      </c>
      <c r="F11" s="25">
        <v>1100</v>
      </c>
      <c r="G11" s="25">
        <v>1100</v>
      </c>
      <c r="H11" s="25">
        <v>2100</v>
      </c>
      <c r="I11" s="25">
        <v>900</v>
      </c>
      <c r="J11" s="25">
        <v>2000</v>
      </c>
      <c r="K11" s="25">
        <v>300</v>
      </c>
      <c r="L11" s="25">
        <v>1400</v>
      </c>
      <c r="M11" s="25">
        <v>2200</v>
      </c>
      <c r="N11" s="25">
        <v>1600</v>
      </c>
      <c r="O11" s="25">
        <v>1200</v>
      </c>
      <c r="P11" s="33">
        <f>SUM(tblExpenses[[#This Row],[Столбец1]:[Дек]])</f>
        <v>16400</v>
      </c>
      <c r="Q11" s="26">
        <v>0.12</v>
      </c>
      <c r="R11" s="34">
        <f>tblExpenses[[#This Row],[Столбец1]]/tblExpenses[[#Totals],[Столбец1]]</f>
        <v>3.3898305084745763E-2</v>
      </c>
      <c r="S11" s="34">
        <f>tblExpenses[[#This Row],[Фев]]/tblExpenses[[#Totals],[Фев]]</f>
        <v>8.2926829268292687E-2</v>
      </c>
      <c r="T11" s="34">
        <f>tblExpenses[[#This Row],[Мар]]/tblExpenses[[#Totals],[Мар]]</f>
        <v>4.4176706827309238E-2</v>
      </c>
      <c r="U11" s="34">
        <f>tblExpenses[[#This Row],[Апр]]/tblExpenses[[#Totals],[Апр]]</f>
        <v>4.2145593869731802E-2</v>
      </c>
      <c r="V11" s="34">
        <f>tblExpenses[[#This Row],[Май]]/tblExpenses[[#Totals],[Май]]</f>
        <v>8.171206225680934E-2</v>
      </c>
      <c r="W11" s="34">
        <f>tblExpenses[[#This Row],[Июн]]/tblExpenses[[#Totals],[Июн]]</f>
        <v>3.2846715328467155E-2</v>
      </c>
      <c r="X11" s="34">
        <f>tblExpenses[[#This Row],[Июл]]/tblExpenses[[#Totals],[Июл]]</f>
        <v>7.5187969924812026E-2</v>
      </c>
      <c r="Y11" s="34">
        <f>tblExpenses[[#This Row],[Авг]]/tblExpenses[[#Totals],[Авг]]</f>
        <v>1.276595744680851E-2</v>
      </c>
      <c r="Z11" s="34">
        <f>tblExpenses[[#This Row],[Сен]]/tblExpenses[[#Totals],[Сен]]</f>
        <v>6.0869565217391307E-2</v>
      </c>
      <c r="AA11" s="34">
        <f>tblExpenses[[#This Row],[Окт]]/tblExpenses[[#Totals],[Окт]]</f>
        <v>8.4942084942084939E-2</v>
      </c>
      <c r="AB11" s="34">
        <f>tblExpenses[[#This Row],[Ноя]]/tblExpenses[[#Totals],[Ноя]]</f>
        <v>5.4054054054054057E-2</v>
      </c>
      <c r="AC11" s="34">
        <f>tblExpenses[[#This Row],[Дек]]/tblExpenses[[#Totals],[Дек]]</f>
        <v>5.1948051948051951E-2</v>
      </c>
      <c r="AD11" s="34">
        <f>tblExpenses[[#This Row],[За год]]/tblExpenses[[#Totals],[За год]]</f>
        <v>5.468489496498833E-2</v>
      </c>
    </row>
    <row r="12" spans="1:30" ht="30" customHeight="1" x14ac:dyDescent="0.3">
      <c r="B12" s="16" t="s">
        <v>76</v>
      </c>
      <c r="C12" s="32" t="s">
        <v>74</v>
      </c>
      <c r="D12" s="25">
        <v>500</v>
      </c>
      <c r="E12" s="25">
        <v>1300</v>
      </c>
      <c r="F12" s="25">
        <v>600</v>
      </c>
      <c r="G12" s="25">
        <v>1500</v>
      </c>
      <c r="H12" s="25">
        <v>1900</v>
      </c>
      <c r="I12" s="25">
        <v>1000</v>
      </c>
      <c r="J12" s="25">
        <v>1200</v>
      </c>
      <c r="K12" s="25">
        <v>900</v>
      </c>
      <c r="L12" s="25">
        <v>1500</v>
      </c>
      <c r="M12" s="25">
        <v>1600</v>
      </c>
      <c r="N12" s="25">
        <v>400</v>
      </c>
      <c r="O12" s="25">
        <v>900</v>
      </c>
      <c r="P12" s="33">
        <f>SUM(tblExpenses[[#This Row],[Столбец1]:[Дек]])</f>
        <v>13300</v>
      </c>
      <c r="Q12" s="26">
        <v>0.09</v>
      </c>
      <c r="R12" s="34">
        <f>tblExpenses[[#This Row],[Столбец1]]/tblExpenses[[#Totals],[Столбец1]]</f>
        <v>2.1186440677966101E-2</v>
      </c>
      <c r="S12" s="34">
        <f>tblExpenses[[#This Row],[Фев]]/tblExpenses[[#Totals],[Фев]]</f>
        <v>6.3414634146341464E-2</v>
      </c>
      <c r="T12" s="34">
        <f>tblExpenses[[#This Row],[Мар]]/tblExpenses[[#Totals],[Мар]]</f>
        <v>2.4096385542168676E-2</v>
      </c>
      <c r="U12" s="34">
        <f>tblExpenses[[#This Row],[Апр]]/tblExpenses[[#Totals],[Апр]]</f>
        <v>5.7471264367816091E-2</v>
      </c>
      <c r="V12" s="34">
        <f>tblExpenses[[#This Row],[Май]]/tblExpenses[[#Totals],[Май]]</f>
        <v>7.3929961089494164E-2</v>
      </c>
      <c r="W12" s="34">
        <f>tblExpenses[[#This Row],[Июн]]/tblExpenses[[#Totals],[Июн]]</f>
        <v>3.6496350364963501E-2</v>
      </c>
      <c r="X12" s="34">
        <f>tblExpenses[[#This Row],[Июл]]/tblExpenses[[#Totals],[Июл]]</f>
        <v>4.5112781954887216E-2</v>
      </c>
      <c r="Y12" s="34">
        <f>tblExpenses[[#This Row],[Авг]]/tblExpenses[[#Totals],[Авг]]</f>
        <v>3.8297872340425532E-2</v>
      </c>
      <c r="Z12" s="34">
        <f>tblExpenses[[#This Row],[Сен]]/tblExpenses[[#Totals],[Сен]]</f>
        <v>6.5217391304347824E-2</v>
      </c>
      <c r="AA12" s="34">
        <f>tblExpenses[[#This Row],[Окт]]/tblExpenses[[#Totals],[Окт]]</f>
        <v>6.1776061776061778E-2</v>
      </c>
      <c r="AB12" s="34">
        <f>tblExpenses[[#This Row],[Ноя]]/tblExpenses[[#Totals],[Ноя]]</f>
        <v>1.3513513513513514E-2</v>
      </c>
      <c r="AC12" s="34">
        <f>tblExpenses[[#This Row],[Дек]]/tblExpenses[[#Totals],[Дек]]</f>
        <v>3.896103896103896E-2</v>
      </c>
      <c r="AD12" s="34">
        <f>tblExpenses[[#This Row],[За год]]/tblExpenses[[#Totals],[За год]]</f>
        <v>4.4348116038679559E-2</v>
      </c>
    </row>
    <row r="13" spans="1:30" ht="30" customHeight="1" x14ac:dyDescent="0.3">
      <c r="B13" s="16" t="s">
        <v>64</v>
      </c>
      <c r="C13" s="32" t="s">
        <v>74</v>
      </c>
      <c r="D13" s="25">
        <v>800</v>
      </c>
      <c r="E13" s="25">
        <v>400</v>
      </c>
      <c r="F13" s="25">
        <v>2300</v>
      </c>
      <c r="G13" s="25">
        <v>2500</v>
      </c>
      <c r="H13" s="25">
        <v>1000</v>
      </c>
      <c r="I13" s="25">
        <v>2400</v>
      </c>
      <c r="J13" s="25">
        <v>2200</v>
      </c>
      <c r="K13" s="25">
        <v>500</v>
      </c>
      <c r="L13" s="25">
        <v>1200</v>
      </c>
      <c r="M13" s="25">
        <v>2400</v>
      </c>
      <c r="N13" s="25">
        <v>2400</v>
      </c>
      <c r="O13" s="25">
        <v>1200</v>
      </c>
      <c r="P13" s="33">
        <f>SUM(tblExpenses[[#This Row],[Столбец1]:[Дек]])</f>
        <v>19300</v>
      </c>
      <c r="Q13" s="26">
        <v>0.01</v>
      </c>
      <c r="R13" s="34">
        <f>tblExpenses[[#This Row],[Столбец1]]/tblExpenses[[#Totals],[Столбец1]]</f>
        <v>3.3898305084745763E-2</v>
      </c>
      <c r="S13" s="34">
        <f>tblExpenses[[#This Row],[Фев]]/tblExpenses[[#Totals],[Фев]]</f>
        <v>1.9512195121951219E-2</v>
      </c>
      <c r="T13" s="34">
        <f>tblExpenses[[#This Row],[Мар]]/tblExpenses[[#Totals],[Мар]]</f>
        <v>9.2369477911646583E-2</v>
      </c>
      <c r="U13" s="34">
        <f>tblExpenses[[#This Row],[Апр]]/tblExpenses[[#Totals],[Апр]]</f>
        <v>9.5785440613026823E-2</v>
      </c>
      <c r="V13" s="34">
        <f>tblExpenses[[#This Row],[Май]]/tblExpenses[[#Totals],[Май]]</f>
        <v>3.8910505836575876E-2</v>
      </c>
      <c r="W13" s="34">
        <f>tblExpenses[[#This Row],[Июн]]/tblExpenses[[#Totals],[Июн]]</f>
        <v>8.7591240875912413E-2</v>
      </c>
      <c r="X13" s="34">
        <f>tblExpenses[[#This Row],[Июл]]/tblExpenses[[#Totals],[Июл]]</f>
        <v>8.2706766917293228E-2</v>
      </c>
      <c r="Y13" s="34">
        <f>tblExpenses[[#This Row],[Авг]]/tblExpenses[[#Totals],[Авг]]</f>
        <v>2.1276595744680851E-2</v>
      </c>
      <c r="Z13" s="34">
        <f>tblExpenses[[#This Row],[Сен]]/tblExpenses[[#Totals],[Сен]]</f>
        <v>5.2173913043478258E-2</v>
      </c>
      <c r="AA13" s="34">
        <f>tblExpenses[[#This Row],[Окт]]/tblExpenses[[#Totals],[Окт]]</f>
        <v>9.2664092664092659E-2</v>
      </c>
      <c r="AB13" s="34">
        <f>tblExpenses[[#This Row],[Ноя]]/tblExpenses[[#Totals],[Ноя]]</f>
        <v>8.1081081081081086E-2</v>
      </c>
      <c r="AC13" s="34">
        <f>tblExpenses[[#This Row],[Дек]]/tblExpenses[[#Totals],[Дек]]</f>
        <v>5.1948051948051951E-2</v>
      </c>
      <c r="AD13" s="34">
        <f>tblExpenses[[#This Row],[За год]]/tblExpenses[[#Totals],[За год]]</f>
        <v>6.4354784928309441E-2</v>
      </c>
    </row>
    <row r="14" spans="1:30" ht="30" customHeight="1" x14ac:dyDescent="0.3">
      <c r="B14" s="16" t="s">
        <v>65</v>
      </c>
      <c r="C14" s="32" t="s">
        <v>74</v>
      </c>
      <c r="D14" s="42">
        <v>2500</v>
      </c>
      <c r="E14" s="42">
        <v>200</v>
      </c>
      <c r="F14" s="42">
        <v>1200</v>
      </c>
      <c r="G14" s="42">
        <v>2500</v>
      </c>
      <c r="H14" s="42">
        <v>1000</v>
      </c>
      <c r="I14" s="42">
        <v>2400</v>
      </c>
      <c r="J14" s="42">
        <v>300</v>
      </c>
      <c r="K14" s="42">
        <v>2000</v>
      </c>
      <c r="L14" s="42">
        <v>300</v>
      </c>
      <c r="M14" s="42">
        <v>900</v>
      </c>
      <c r="N14" s="42">
        <v>2000</v>
      </c>
      <c r="O14" s="42">
        <v>1800</v>
      </c>
      <c r="P14" s="33">
        <f>SUM(tblExpenses[[#This Row],[Столбец1]:[Дек]])</f>
        <v>17100</v>
      </c>
      <c r="Q14" s="26">
        <v>0.01</v>
      </c>
      <c r="R14" s="34">
        <f>tblExpenses[[#This Row],[Столбец1]]/tblExpenses[[#Totals],[Столбец1]]</f>
        <v>0.1059322033898305</v>
      </c>
      <c r="S14" s="34">
        <f>tblExpenses[[#This Row],[Фев]]/tblExpenses[[#Totals],[Фев]]</f>
        <v>9.7560975609756097E-3</v>
      </c>
      <c r="T14" s="34">
        <f>tblExpenses[[#This Row],[Мар]]/tblExpenses[[#Totals],[Мар]]</f>
        <v>4.8192771084337352E-2</v>
      </c>
      <c r="U14" s="34">
        <f>tblExpenses[[#This Row],[Апр]]/tblExpenses[[#Totals],[Апр]]</f>
        <v>9.5785440613026823E-2</v>
      </c>
      <c r="V14" s="34">
        <f>tblExpenses[[#This Row],[Май]]/tblExpenses[[#Totals],[Май]]</f>
        <v>3.8910505836575876E-2</v>
      </c>
      <c r="W14" s="34">
        <f>tblExpenses[[#This Row],[Июн]]/tblExpenses[[#Totals],[Июн]]</f>
        <v>8.7591240875912413E-2</v>
      </c>
      <c r="X14" s="34">
        <f>tblExpenses[[#This Row],[Июл]]/tblExpenses[[#Totals],[Июл]]</f>
        <v>1.1278195488721804E-2</v>
      </c>
      <c r="Y14" s="34">
        <f>tblExpenses[[#This Row],[Авг]]/tblExpenses[[#Totals],[Авг]]</f>
        <v>8.5106382978723402E-2</v>
      </c>
      <c r="Z14" s="34">
        <f>tblExpenses[[#This Row],[Сен]]/tblExpenses[[#Totals],[Сен]]</f>
        <v>1.3043478260869565E-2</v>
      </c>
      <c r="AA14" s="34">
        <f>tblExpenses[[#This Row],[Окт]]/tblExpenses[[#Totals],[Окт]]</f>
        <v>3.4749034749034749E-2</v>
      </c>
      <c r="AB14" s="34">
        <f>tblExpenses[[#This Row],[Ноя]]/tblExpenses[[#Totals],[Ноя]]</f>
        <v>6.7567567567567571E-2</v>
      </c>
      <c r="AC14" s="34">
        <f>tblExpenses[[#This Row],[Дек]]/tblExpenses[[#Totals],[Дек]]</f>
        <v>7.792207792207792E-2</v>
      </c>
      <c r="AD14" s="34">
        <f>tblExpenses[[#This Row],[За год]]/tblExpenses[[#Totals],[За год]]</f>
        <v>5.7019006335445148E-2</v>
      </c>
    </row>
    <row r="15" spans="1:30" ht="30" customHeight="1" x14ac:dyDescent="0.3">
      <c r="B15" s="16" t="s">
        <v>66</v>
      </c>
      <c r="C15" s="32" t="s">
        <v>74</v>
      </c>
      <c r="D15" s="25">
        <v>1600</v>
      </c>
      <c r="E15" s="25">
        <v>1900</v>
      </c>
      <c r="F15" s="25">
        <v>900</v>
      </c>
      <c r="G15" s="25">
        <v>1600</v>
      </c>
      <c r="H15" s="25">
        <v>1300</v>
      </c>
      <c r="I15" s="25">
        <v>200</v>
      </c>
      <c r="J15" s="25">
        <v>400</v>
      </c>
      <c r="K15" s="25">
        <v>2400</v>
      </c>
      <c r="L15" s="25">
        <v>1600</v>
      </c>
      <c r="M15" s="25">
        <v>2200</v>
      </c>
      <c r="N15" s="25">
        <v>700</v>
      </c>
      <c r="O15" s="25">
        <v>1800</v>
      </c>
      <c r="P15" s="33">
        <f>SUM(tblExpenses[[#This Row],[Столбец1]:[Дек]])</f>
        <v>16600</v>
      </c>
      <c r="Q15" s="26">
        <v>0.01</v>
      </c>
      <c r="R15" s="34">
        <f>tblExpenses[[#This Row],[Столбец1]]/tblExpenses[[#Totals],[Столбец1]]</f>
        <v>6.7796610169491525E-2</v>
      </c>
      <c r="S15" s="34">
        <f>tblExpenses[[#This Row],[Фев]]/tblExpenses[[#Totals],[Фев]]</f>
        <v>9.2682926829268292E-2</v>
      </c>
      <c r="T15" s="34">
        <f>tblExpenses[[#This Row],[Мар]]/tblExpenses[[#Totals],[Мар]]</f>
        <v>3.614457831325301E-2</v>
      </c>
      <c r="U15" s="34">
        <f>tblExpenses[[#This Row],[Апр]]/tblExpenses[[#Totals],[Апр]]</f>
        <v>6.1302681992337162E-2</v>
      </c>
      <c r="V15" s="34">
        <f>tblExpenses[[#This Row],[Май]]/tblExpenses[[#Totals],[Май]]</f>
        <v>5.0583657587548639E-2</v>
      </c>
      <c r="W15" s="34">
        <f>tblExpenses[[#This Row],[Июн]]/tblExpenses[[#Totals],[Июн]]</f>
        <v>7.2992700729927005E-3</v>
      </c>
      <c r="X15" s="34">
        <f>tblExpenses[[#This Row],[Июл]]/tblExpenses[[#Totals],[Июл]]</f>
        <v>1.5037593984962405E-2</v>
      </c>
      <c r="Y15" s="34">
        <f>tblExpenses[[#This Row],[Авг]]/tblExpenses[[#Totals],[Авг]]</f>
        <v>0.10212765957446808</v>
      </c>
      <c r="Z15" s="34">
        <f>tblExpenses[[#This Row],[Сен]]/tblExpenses[[#Totals],[Сен]]</f>
        <v>6.9565217391304349E-2</v>
      </c>
      <c r="AA15" s="34">
        <f>tblExpenses[[#This Row],[Окт]]/tblExpenses[[#Totals],[Окт]]</f>
        <v>8.4942084942084939E-2</v>
      </c>
      <c r="AB15" s="34">
        <f>tblExpenses[[#This Row],[Ноя]]/tblExpenses[[#Totals],[Ноя]]</f>
        <v>2.364864864864865E-2</v>
      </c>
      <c r="AC15" s="34">
        <f>tblExpenses[[#This Row],[Дек]]/tblExpenses[[#Totals],[Дек]]</f>
        <v>7.792207792207792E-2</v>
      </c>
      <c r="AD15" s="34">
        <f>tblExpenses[[#This Row],[За год]]/tblExpenses[[#Totals],[За год]]</f>
        <v>5.5351783927975989E-2</v>
      </c>
    </row>
    <row r="16" spans="1:30" ht="30" customHeight="1" x14ac:dyDescent="0.3">
      <c r="B16" s="16" t="s">
        <v>67</v>
      </c>
      <c r="C16" s="32" t="s">
        <v>74</v>
      </c>
      <c r="D16" s="25">
        <v>1200</v>
      </c>
      <c r="E16" s="25">
        <v>900</v>
      </c>
      <c r="F16" s="25">
        <v>1600</v>
      </c>
      <c r="G16" s="25">
        <v>1900</v>
      </c>
      <c r="H16" s="25">
        <v>2500</v>
      </c>
      <c r="I16" s="25">
        <v>1700</v>
      </c>
      <c r="J16" s="25">
        <v>2000</v>
      </c>
      <c r="K16" s="25">
        <v>1400</v>
      </c>
      <c r="L16" s="25">
        <v>500</v>
      </c>
      <c r="M16" s="25">
        <v>1400</v>
      </c>
      <c r="N16" s="25">
        <v>500</v>
      </c>
      <c r="O16" s="25">
        <v>200</v>
      </c>
      <c r="P16" s="33">
        <f>SUM(tblExpenses[[#This Row],[Столбец1]:[Дек]])</f>
        <v>15800</v>
      </c>
      <c r="Q16" s="26">
        <v>0.01</v>
      </c>
      <c r="R16" s="34">
        <f>tblExpenses[[#This Row],[Столбец1]]/tblExpenses[[#Totals],[Столбец1]]</f>
        <v>5.0847457627118647E-2</v>
      </c>
      <c r="S16" s="34">
        <f>tblExpenses[[#This Row],[Фев]]/tblExpenses[[#Totals],[Фев]]</f>
        <v>4.3902439024390241E-2</v>
      </c>
      <c r="T16" s="34">
        <f>tblExpenses[[#This Row],[Мар]]/tblExpenses[[#Totals],[Мар]]</f>
        <v>6.4257028112449793E-2</v>
      </c>
      <c r="U16" s="34">
        <f>tblExpenses[[#This Row],[Апр]]/tblExpenses[[#Totals],[Апр]]</f>
        <v>7.2796934865900387E-2</v>
      </c>
      <c r="V16" s="34">
        <f>tblExpenses[[#This Row],[Май]]/tblExpenses[[#Totals],[Май]]</f>
        <v>9.727626459143969E-2</v>
      </c>
      <c r="W16" s="34">
        <f>tblExpenses[[#This Row],[Июн]]/tblExpenses[[#Totals],[Июн]]</f>
        <v>6.2043795620437957E-2</v>
      </c>
      <c r="X16" s="34">
        <f>tblExpenses[[#This Row],[Июл]]/tblExpenses[[#Totals],[Июл]]</f>
        <v>7.5187969924812026E-2</v>
      </c>
      <c r="Y16" s="34">
        <f>tblExpenses[[#This Row],[Авг]]/tblExpenses[[#Totals],[Авг]]</f>
        <v>5.9574468085106386E-2</v>
      </c>
      <c r="Z16" s="34">
        <f>tblExpenses[[#This Row],[Сен]]/tblExpenses[[#Totals],[Сен]]</f>
        <v>2.1739130434782608E-2</v>
      </c>
      <c r="AA16" s="34">
        <f>tblExpenses[[#This Row],[Окт]]/tblExpenses[[#Totals],[Окт]]</f>
        <v>5.4054054054054057E-2</v>
      </c>
      <c r="AB16" s="34">
        <f>tblExpenses[[#This Row],[Ноя]]/tblExpenses[[#Totals],[Ноя]]</f>
        <v>1.6891891891891893E-2</v>
      </c>
      <c r="AC16" s="34">
        <f>tblExpenses[[#This Row],[Дек]]/tblExpenses[[#Totals],[Дек]]</f>
        <v>8.658008658008658E-3</v>
      </c>
      <c r="AD16" s="34">
        <f>tblExpenses[[#This Row],[За год]]/tblExpenses[[#Totals],[За год]]</f>
        <v>5.2684228076025338E-2</v>
      </c>
    </row>
    <row r="17" spans="1:30" ht="30" customHeight="1" x14ac:dyDescent="0.3">
      <c r="B17" s="16" t="s">
        <v>68</v>
      </c>
      <c r="C17" s="32" t="s">
        <v>74</v>
      </c>
      <c r="D17" s="25">
        <v>1600</v>
      </c>
      <c r="E17" s="25">
        <v>1300</v>
      </c>
      <c r="F17" s="25">
        <v>1000</v>
      </c>
      <c r="G17" s="25">
        <v>700</v>
      </c>
      <c r="H17" s="25">
        <v>1300</v>
      </c>
      <c r="I17" s="25">
        <v>300</v>
      </c>
      <c r="J17" s="25">
        <v>1300</v>
      </c>
      <c r="K17" s="25">
        <v>1700</v>
      </c>
      <c r="L17" s="25">
        <v>900</v>
      </c>
      <c r="M17" s="25">
        <v>400</v>
      </c>
      <c r="N17" s="25">
        <v>2200</v>
      </c>
      <c r="O17" s="25">
        <v>1800</v>
      </c>
      <c r="P17" s="33">
        <f>SUM(tblExpenses[[#This Row],[Столбец1]:[Дек]])</f>
        <v>14500</v>
      </c>
      <c r="Q17" s="26">
        <v>0.14000000000000001</v>
      </c>
      <c r="R17" s="34">
        <f>tblExpenses[[#This Row],[Столбец1]]/tblExpenses[[#Totals],[Столбец1]]</f>
        <v>6.7796610169491525E-2</v>
      </c>
      <c r="S17" s="34">
        <f>tblExpenses[[#This Row],[Фев]]/tblExpenses[[#Totals],[Фев]]</f>
        <v>6.3414634146341464E-2</v>
      </c>
      <c r="T17" s="34">
        <f>tblExpenses[[#This Row],[Мар]]/tblExpenses[[#Totals],[Мар]]</f>
        <v>4.0160642570281124E-2</v>
      </c>
      <c r="U17" s="34">
        <f>tblExpenses[[#This Row],[Апр]]/tblExpenses[[#Totals],[Апр]]</f>
        <v>2.681992337164751E-2</v>
      </c>
      <c r="V17" s="34">
        <f>tblExpenses[[#This Row],[Май]]/tblExpenses[[#Totals],[Май]]</f>
        <v>5.0583657587548639E-2</v>
      </c>
      <c r="W17" s="34">
        <f>tblExpenses[[#This Row],[Июн]]/tblExpenses[[#Totals],[Июн]]</f>
        <v>1.0948905109489052E-2</v>
      </c>
      <c r="X17" s="34">
        <f>tblExpenses[[#This Row],[Июл]]/tblExpenses[[#Totals],[Июл]]</f>
        <v>4.8872180451127817E-2</v>
      </c>
      <c r="Y17" s="34">
        <f>tblExpenses[[#This Row],[Авг]]/tblExpenses[[#Totals],[Авг]]</f>
        <v>7.2340425531914887E-2</v>
      </c>
      <c r="Z17" s="34">
        <f>tblExpenses[[#This Row],[Сен]]/tblExpenses[[#Totals],[Сен]]</f>
        <v>3.9130434782608699E-2</v>
      </c>
      <c r="AA17" s="34">
        <f>tblExpenses[[#This Row],[Окт]]/tblExpenses[[#Totals],[Окт]]</f>
        <v>1.5444015444015444E-2</v>
      </c>
      <c r="AB17" s="34">
        <f>tblExpenses[[#This Row],[Ноя]]/tblExpenses[[#Totals],[Ноя]]</f>
        <v>7.4324324324324328E-2</v>
      </c>
      <c r="AC17" s="34">
        <f>tblExpenses[[#This Row],[Дек]]/tblExpenses[[#Totals],[Дек]]</f>
        <v>7.792207792207792E-2</v>
      </c>
      <c r="AD17" s="34">
        <f>tblExpenses[[#This Row],[За год]]/tblExpenses[[#Totals],[За год]]</f>
        <v>4.8349449816605536E-2</v>
      </c>
    </row>
    <row r="18" spans="1:30" ht="30" customHeight="1" x14ac:dyDescent="0.3">
      <c r="B18" s="16" t="s">
        <v>77</v>
      </c>
      <c r="C18" s="32" t="s">
        <v>74</v>
      </c>
      <c r="D18" s="25">
        <v>300</v>
      </c>
      <c r="E18" s="25">
        <v>200</v>
      </c>
      <c r="F18" s="25">
        <v>1900</v>
      </c>
      <c r="G18" s="25">
        <v>2100</v>
      </c>
      <c r="H18" s="25">
        <v>1300</v>
      </c>
      <c r="I18" s="25">
        <v>900</v>
      </c>
      <c r="J18" s="25">
        <v>700</v>
      </c>
      <c r="K18" s="25">
        <v>1300</v>
      </c>
      <c r="L18" s="25">
        <v>300</v>
      </c>
      <c r="M18" s="25">
        <v>600</v>
      </c>
      <c r="N18" s="25">
        <v>1000</v>
      </c>
      <c r="O18" s="25">
        <v>1300</v>
      </c>
      <c r="P18" s="33">
        <f>SUM(tblExpenses[[#This Row],[Столбец1]:[Дек]])</f>
        <v>11900</v>
      </c>
      <c r="Q18" s="26">
        <v>0.06</v>
      </c>
      <c r="R18" s="34">
        <f>tblExpenses[[#This Row],[Столбец1]]/tblExpenses[[#Totals],[Столбец1]]</f>
        <v>1.2711864406779662E-2</v>
      </c>
      <c r="S18" s="34">
        <f>tblExpenses[[#This Row],[Фев]]/tblExpenses[[#Totals],[Фев]]</f>
        <v>9.7560975609756097E-3</v>
      </c>
      <c r="T18" s="34">
        <f>tblExpenses[[#This Row],[Мар]]/tblExpenses[[#Totals],[Мар]]</f>
        <v>7.6305220883534142E-2</v>
      </c>
      <c r="U18" s="34">
        <f>tblExpenses[[#This Row],[Апр]]/tblExpenses[[#Totals],[Апр]]</f>
        <v>8.0459770114942528E-2</v>
      </c>
      <c r="V18" s="34">
        <f>tblExpenses[[#This Row],[Май]]/tblExpenses[[#Totals],[Май]]</f>
        <v>5.0583657587548639E-2</v>
      </c>
      <c r="W18" s="34">
        <f>tblExpenses[[#This Row],[Июн]]/tblExpenses[[#Totals],[Июн]]</f>
        <v>3.2846715328467155E-2</v>
      </c>
      <c r="X18" s="34">
        <f>tblExpenses[[#This Row],[Июл]]/tblExpenses[[#Totals],[Июл]]</f>
        <v>2.6315789473684209E-2</v>
      </c>
      <c r="Y18" s="34">
        <f>tblExpenses[[#This Row],[Авг]]/tblExpenses[[#Totals],[Авг]]</f>
        <v>5.5319148936170209E-2</v>
      </c>
      <c r="Z18" s="34">
        <f>tblExpenses[[#This Row],[Сен]]/tblExpenses[[#Totals],[Сен]]</f>
        <v>1.3043478260869565E-2</v>
      </c>
      <c r="AA18" s="34">
        <f>tblExpenses[[#This Row],[Окт]]/tblExpenses[[#Totals],[Окт]]</f>
        <v>2.3166023166023165E-2</v>
      </c>
      <c r="AB18" s="34">
        <f>tblExpenses[[#This Row],[Ноя]]/tblExpenses[[#Totals],[Ноя]]</f>
        <v>3.3783783783783786E-2</v>
      </c>
      <c r="AC18" s="34">
        <f>tblExpenses[[#This Row],[Дек]]/tblExpenses[[#Totals],[Дек]]</f>
        <v>5.627705627705628E-2</v>
      </c>
      <c r="AD18" s="34">
        <f>tblExpenses[[#This Row],[За год]]/tblExpenses[[#Totals],[За год]]</f>
        <v>3.9679893297765924E-2</v>
      </c>
    </row>
    <row r="19" spans="1:30" ht="30" customHeight="1" x14ac:dyDescent="0.3">
      <c r="B19" s="16" t="s">
        <v>69</v>
      </c>
      <c r="C19" s="32" t="s">
        <v>74</v>
      </c>
      <c r="D19" s="25">
        <v>800</v>
      </c>
      <c r="E19" s="25">
        <v>700</v>
      </c>
      <c r="F19" s="25">
        <v>600</v>
      </c>
      <c r="G19" s="25">
        <v>700</v>
      </c>
      <c r="H19" s="25">
        <v>700</v>
      </c>
      <c r="I19" s="25">
        <v>600</v>
      </c>
      <c r="J19" s="25">
        <v>1500</v>
      </c>
      <c r="K19" s="25">
        <v>2300</v>
      </c>
      <c r="L19" s="25">
        <v>2100</v>
      </c>
      <c r="M19" s="25">
        <v>1600</v>
      </c>
      <c r="N19" s="25">
        <v>1900</v>
      </c>
      <c r="O19" s="25">
        <v>700</v>
      </c>
      <c r="P19" s="33">
        <f>SUM(tblExpenses[[#This Row],[Столбец1]:[Дек]])</f>
        <v>14200</v>
      </c>
      <c r="Q19" s="26">
        <v>0.01</v>
      </c>
      <c r="R19" s="34">
        <f>tblExpenses[[#This Row],[Столбец1]]/tblExpenses[[#Totals],[Столбец1]]</f>
        <v>3.3898305084745763E-2</v>
      </c>
      <c r="S19" s="34">
        <f>tblExpenses[[#This Row],[Фев]]/tblExpenses[[#Totals],[Фев]]</f>
        <v>3.4146341463414637E-2</v>
      </c>
      <c r="T19" s="34">
        <f>tblExpenses[[#This Row],[Мар]]/tblExpenses[[#Totals],[Мар]]</f>
        <v>2.4096385542168676E-2</v>
      </c>
      <c r="U19" s="34">
        <f>tblExpenses[[#This Row],[Апр]]/tblExpenses[[#Totals],[Апр]]</f>
        <v>2.681992337164751E-2</v>
      </c>
      <c r="V19" s="34">
        <f>tblExpenses[[#This Row],[Май]]/tblExpenses[[#Totals],[Май]]</f>
        <v>2.7237354085603113E-2</v>
      </c>
      <c r="W19" s="34">
        <f>tblExpenses[[#This Row],[Июн]]/tblExpenses[[#Totals],[Июн]]</f>
        <v>2.1897810218978103E-2</v>
      </c>
      <c r="X19" s="34">
        <f>tblExpenses[[#This Row],[Июл]]/tblExpenses[[#Totals],[Июл]]</f>
        <v>5.6390977443609019E-2</v>
      </c>
      <c r="Y19" s="34">
        <f>tblExpenses[[#This Row],[Авг]]/tblExpenses[[#Totals],[Авг]]</f>
        <v>9.7872340425531917E-2</v>
      </c>
      <c r="Z19" s="34">
        <f>tblExpenses[[#This Row],[Сен]]/tblExpenses[[#Totals],[Сен]]</f>
        <v>9.1304347826086957E-2</v>
      </c>
      <c r="AA19" s="34">
        <f>tblExpenses[[#This Row],[Окт]]/tblExpenses[[#Totals],[Окт]]</f>
        <v>6.1776061776061778E-2</v>
      </c>
      <c r="AB19" s="34">
        <f>tblExpenses[[#This Row],[Ноя]]/tblExpenses[[#Totals],[Ноя]]</f>
        <v>6.4189189189189186E-2</v>
      </c>
      <c r="AC19" s="34">
        <f>tblExpenses[[#This Row],[Дек]]/tblExpenses[[#Totals],[Дек]]</f>
        <v>3.0303030303030304E-2</v>
      </c>
      <c r="AD19" s="34">
        <f>tblExpenses[[#This Row],[За год]]/tblExpenses[[#Totals],[За год]]</f>
        <v>4.7349116372124044E-2</v>
      </c>
    </row>
    <row r="20" spans="1:30" ht="30" customHeight="1" x14ac:dyDescent="0.3">
      <c r="B20" s="16" t="s">
        <v>70</v>
      </c>
      <c r="C20" s="32" t="s">
        <v>74</v>
      </c>
      <c r="D20" s="25">
        <v>1400</v>
      </c>
      <c r="E20" s="25">
        <v>400</v>
      </c>
      <c r="F20" s="25">
        <v>2400</v>
      </c>
      <c r="G20" s="25">
        <v>600</v>
      </c>
      <c r="H20" s="25">
        <v>2000</v>
      </c>
      <c r="I20" s="25">
        <v>1400</v>
      </c>
      <c r="J20" s="25">
        <v>2100</v>
      </c>
      <c r="K20" s="25">
        <v>2000</v>
      </c>
      <c r="L20" s="25">
        <v>2200</v>
      </c>
      <c r="M20" s="25">
        <v>300</v>
      </c>
      <c r="N20" s="25">
        <v>1400</v>
      </c>
      <c r="O20" s="25">
        <v>600</v>
      </c>
      <c r="P20" s="33">
        <f>SUM(tblExpenses[[#This Row],[Столбец1]:[Дек]])</f>
        <v>16800</v>
      </c>
      <c r="Q20" s="26">
        <v>0.01</v>
      </c>
      <c r="R20" s="34">
        <f>tblExpenses[[#This Row],[Столбец1]]/tblExpenses[[#Totals],[Столбец1]]</f>
        <v>5.9322033898305086E-2</v>
      </c>
      <c r="S20" s="34">
        <f>tblExpenses[[#This Row],[Фев]]/tblExpenses[[#Totals],[Фев]]</f>
        <v>1.9512195121951219E-2</v>
      </c>
      <c r="T20" s="34">
        <f>tblExpenses[[#This Row],[Мар]]/tblExpenses[[#Totals],[Мар]]</f>
        <v>9.6385542168674704E-2</v>
      </c>
      <c r="U20" s="34">
        <f>tblExpenses[[#This Row],[Апр]]/tblExpenses[[#Totals],[Апр]]</f>
        <v>2.2988505747126436E-2</v>
      </c>
      <c r="V20" s="34">
        <f>tblExpenses[[#This Row],[Май]]/tblExpenses[[#Totals],[Май]]</f>
        <v>7.7821011673151752E-2</v>
      </c>
      <c r="W20" s="34">
        <f>tblExpenses[[#This Row],[Июн]]/tblExpenses[[#Totals],[Июн]]</f>
        <v>5.1094890510948905E-2</v>
      </c>
      <c r="X20" s="34">
        <f>tblExpenses[[#This Row],[Июл]]/tblExpenses[[#Totals],[Июл]]</f>
        <v>7.8947368421052627E-2</v>
      </c>
      <c r="Y20" s="34">
        <f>tblExpenses[[#This Row],[Авг]]/tblExpenses[[#Totals],[Авг]]</f>
        <v>8.5106382978723402E-2</v>
      </c>
      <c r="Z20" s="34">
        <f>tblExpenses[[#This Row],[Сен]]/tblExpenses[[#Totals],[Сен]]</f>
        <v>9.5652173913043481E-2</v>
      </c>
      <c r="AA20" s="34">
        <f>tblExpenses[[#This Row],[Окт]]/tblExpenses[[#Totals],[Окт]]</f>
        <v>1.1583011583011582E-2</v>
      </c>
      <c r="AB20" s="34">
        <f>tblExpenses[[#This Row],[Ноя]]/tblExpenses[[#Totals],[Ноя]]</f>
        <v>4.72972972972973E-2</v>
      </c>
      <c r="AC20" s="34">
        <f>tblExpenses[[#This Row],[Дек]]/tblExpenses[[#Totals],[Дек]]</f>
        <v>2.5974025974025976E-2</v>
      </c>
      <c r="AD20" s="34">
        <f>tblExpenses[[#This Row],[За год]]/tblExpenses[[#Totals],[За год]]</f>
        <v>5.6018672890963656E-2</v>
      </c>
    </row>
    <row r="21" spans="1:30" ht="30" customHeight="1" x14ac:dyDescent="0.3">
      <c r="B21" s="16" t="s">
        <v>70</v>
      </c>
      <c r="C21" s="32" t="s">
        <v>74</v>
      </c>
      <c r="D21" s="25">
        <v>1400</v>
      </c>
      <c r="E21" s="25">
        <v>700</v>
      </c>
      <c r="F21" s="25">
        <v>2400</v>
      </c>
      <c r="G21" s="25">
        <v>1000</v>
      </c>
      <c r="H21" s="25">
        <v>700</v>
      </c>
      <c r="I21" s="25">
        <v>2400</v>
      </c>
      <c r="J21" s="25">
        <v>200</v>
      </c>
      <c r="K21" s="25">
        <v>1100</v>
      </c>
      <c r="L21" s="25">
        <v>2100</v>
      </c>
      <c r="M21" s="25">
        <v>1900</v>
      </c>
      <c r="N21" s="25">
        <v>1900</v>
      </c>
      <c r="O21" s="25">
        <v>2000</v>
      </c>
      <c r="P21" s="33">
        <f>SUM(tblExpenses[[#This Row],[Столбец1]:[Дек]])</f>
        <v>17800</v>
      </c>
      <c r="Q21" s="26">
        <v>0.01</v>
      </c>
      <c r="R21" s="34">
        <f>tblExpenses[[#This Row],[Столбец1]]/tblExpenses[[#Totals],[Столбец1]]</f>
        <v>5.9322033898305086E-2</v>
      </c>
      <c r="S21" s="34">
        <f>tblExpenses[[#This Row],[Фев]]/tblExpenses[[#Totals],[Фев]]</f>
        <v>3.4146341463414637E-2</v>
      </c>
      <c r="T21" s="34">
        <f>tblExpenses[[#This Row],[Мар]]/tblExpenses[[#Totals],[Мар]]</f>
        <v>9.6385542168674704E-2</v>
      </c>
      <c r="U21" s="34">
        <f>tblExpenses[[#This Row],[Апр]]/tblExpenses[[#Totals],[Апр]]</f>
        <v>3.8314176245210725E-2</v>
      </c>
      <c r="V21" s="34">
        <f>tblExpenses[[#This Row],[Май]]/tblExpenses[[#Totals],[Май]]</f>
        <v>2.7237354085603113E-2</v>
      </c>
      <c r="W21" s="34">
        <f>tblExpenses[[#This Row],[Июн]]/tblExpenses[[#Totals],[Июн]]</f>
        <v>8.7591240875912413E-2</v>
      </c>
      <c r="X21" s="34">
        <f>tblExpenses[[#This Row],[Июл]]/tblExpenses[[#Totals],[Июл]]</f>
        <v>7.5187969924812026E-3</v>
      </c>
      <c r="Y21" s="34">
        <f>tblExpenses[[#This Row],[Авг]]/tblExpenses[[#Totals],[Авг]]</f>
        <v>4.6808510638297871E-2</v>
      </c>
      <c r="Z21" s="34">
        <f>tblExpenses[[#This Row],[Сен]]/tblExpenses[[#Totals],[Сен]]</f>
        <v>9.1304347826086957E-2</v>
      </c>
      <c r="AA21" s="34">
        <f>tblExpenses[[#This Row],[Окт]]/tblExpenses[[#Totals],[Окт]]</f>
        <v>7.3359073359073365E-2</v>
      </c>
      <c r="AB21" s="34">
        <f>tblExpenses[[#This Row],[Ноя]]/tblExpenses[[#Totals],[Ноя]]</f>
        <v>6.4189189189189186E-2</v>
      </c>
      <c r="AC21" s="34">
        <f>tblExpenses[[#This Row],[Дек]]/tblExpenses[[#Totals],[Дек]]</f>
        <v>8.6580086580086577E-2</v>
      </c>
      <c r="AD21" s="34">
        <f>tblExpenses[[#This Row],[За год]]/tblExpenses[[#Totals],[За год]]</f>
        <v>5.9353117705901966E-2</v>
      </c>
    </row>
    <row r="22" spans="1:30" ht="30" customHeight="1" x14ac:dyDescent="0.3">
      <c r="A22" s="1"/>
      <c r="B22" s="16" t="s">
        <v>70</v>
      </c>
      <c r="C22" s="32" t="s">
        <v>74</v>
      </c>
      <c r="D22" s="25">
        <v>1100</v>
      </c>
      <c r="E22" s="25">
        <v>800</v>
      </c>
      <c r="F22" s="25">
        <v>2500</v>
      </c>
      <c r="G22" s="25">
        <v>1100</v>
      </c>
      <c r="H22" s="25">
        <v>900</v>
      </c>
      <c r="I22" s="25">
        <v>2400</v>
      </c>
      <c r="J22" s="25">
        <v>1300</v>
      </c>
      <c r="K22" s="25">
        <v>1400</v>
      </c>
      <c r="L22" s="25">
        <v>1900</v>
      </c>
      <c r="M22" s="25">
        <v>2400</v>
      </c>
      <c r="N22" s="25">
        <v>1500</v>
      </c>
      <c r="O22" s="25">
        <v>700</v>
      </c>
      <c r="P22" s="33">
        <f>SUM(tblExpenses[[#This Row],[Столбец1]:[Дек]])</f>
        <v>18000</v>
      </c>
      <c r="Q22" s="26">
        <v>0.01</v>
      </c>
      <c r="R22" s="34">
        <f>tblExpenses[[#This Row],[Столбец1]]/tblExpenses[[#Totals],[Столбец1]]</f>
        <v>4.6610169491525424E-2</v>
      </c>
      <c r="S22" s="34">
        <f>tblExpenses[[#This Row],[Фев]]/tblExpenses[[#Totals],[Фев]]</f>
        <v>3.9024390243902439E-2</v>
      </c>
      <c r="T22" s="34">
        <f>tblExpenses[[#This Row],[Мар]]/tblExpenses[[#Totals],[Мар]]</f>
        <v>0.10040160642570281</v>
      </c>
      <c r="U22" s="34">
        <f>tblExpenses[[#This Row],[Апр]]/tblExpenses[[#Totals],[Апр]]</f>
        <v>4.2145593869731802E-2</v>
      </c>
      <c r="V22" s="34">
        <f>tblExpenses[[#This Row],[Май]]/tblExpenses[[#Totals],[Май]]</f>
        <v>3.5019455252918288E-2</v>
      </c>
      <c r="W22" s="34">
        <f>tblExpenses[[#This Row],[Июн]]/tblExpenses[[#Totals],[Июн]]</f>
        <v>8.7591240875912413E-2</v>
      </c>
      <c r="X22" s="34">
        <f>tblExpenses[[#This Row],[Июл]]/tblExpenses[[#Totals],[Июл]]</f>
        <v>4.8872180451127817E-2</v>
      </c>
      <c r="Y22" s="34">
        <f>tblExpenses[[#This Row],[Авг]]/tblExpenses[[#Totals],[Авг]]</f>
        <v>5.9574468085106386E-2</v>
      </c>
      <c r="Z22" s="34">
        <f>tblExpenses[[#This Row],[Сен]]/tblExpenses[[#Totals],[Сен]]</f>
        <v>8.2608695652173908E-2</v>
      </c>
      <c r="AA22" s="34">
        <f>tblExpenses[[#This Row],[Окт]]/tblExpenses[[#Totals],[Окт]]</f>
        <v>9.2664092664092659E-2</v>
      </c>
      <c r="AB22" s="34">
        <f>tblExpenses[[#This Row],[Ноя]]/tblExpenses[[#Totals],[Ноя]]</f>
        <v>5.0675675675675678E-2</v>
      </c>
      <c r="AC22" s="34">
        <f>tblExpenses[[#This Row],[Дек]]/tblExpenses[[#Totals],[Дек]]</f>
        <v>3.0303030303030304E-2</v>
      </c>
      <c r="AD22" s="34">
        <f>tblExpenses[[#This Row],[За год]]/tblExpenses[[#Totals],[За год]]</f>
        <v>6.0020006668889632E-2</v>
      </c>
    </row>
    <row r="23" spans="1:30" ht="30" customHeight="1" x14ac:dyDescent="0.3">
      <c r="A23" s="2"/>
      <c r="B23" s="16" t="s">
        <v>71</v>
      </c>
      <c r="C23" s="32" t="s">
        <v>74</v>
      </c>
      <c r="D23" s="25">
        <v>800</v>
      </c>
      <c r="E23" s="25">
        <v>2000</v>
      </c>
      <c r="F23" s="25">
        <v>1100</v>
      </c>
      <c r="G23" s="25">
        <v>1100</v>
      </c>
      <c r="H23" s="25">
        <v>1100</v>
      </c>
      <c r="I23" s="25">
        <v>2000</v>
      </c>
      <c r="J23" s="25">
        <v>1200</v>
      </c>
      <c r="K23" s="25">
        <v>1600</v>
      </c>
      <c r="L23" s="25">
        <v>500</v>
      </c>
      <c r="M23" s="25">
        <v>700</v>
      </c>
      <c r="N23" s="25">
        <v>2100</v>
      </c>
      <c r="O23" s="25">
        <v>300</v>
      </c>
      <c r="P23" s="33">
        <f>SUM(tblExpenses[[#This Row],[Столбец1]:[Дек]])</f>
        <v>14500</v>
      </c>
      <c r="Q23" s="26">
        <v>0.02</v>
      </c>
      <c r="R23" s="34">
        <f>tblExpenses[[#This Row],[Столбец1]]/tblExpenses[[#Totals],[Столбец1]]</f>
        <v>3.3898305084745763E-2</v>
      </c>
      <c r="S23" s="34">
        <f>tblExpenses[[#This Row],[Фев]]/tblExpenses[[#Totals],[Фев]]</f>
        <v>9.7560975609756101E-2</v>
      </c>
      <c r="T23" s="34">
        <f>tblExpenses[[#This Row],[Мар]]/tblExpenses[[#Totals],[Мар]]</f>
        <v>4.4176706827309238E-2</v>
      </c>
      <c r="U23" s="34">
        <f>tblExpenses[[#This Row],[Апр]]/tblExpenses[[#Totals],[Апр]]</f>
        <v>4.2145593869731802E-2</v>
      </c>
      <c r="V23" s="34">
        <f>tblExpenses[[#This Row],[Май]]/tblExpenses[[#Totals],[Май]]</f>
        <v>4.2801556420233464E-2</v>
      </c>
      <c r="W23" s="34">
        <f>tblExpenses[[#This Row],[Июн]]/tblExpenses[[#Totals],[Июн]]</f>
        <v>7.2992700729927001E-2</v>
      </c>
      <c r="X23" s="34">
        <f>tblExpenses[[#This Row],[Июл]]/tblExpenses[[#Totals],[Июл]]</f>
        <v>4.5112781954887216E-2</v>
      </c>
      <c r="Y23" s="34">
        <f>tblExpenses[[#This Row],[Авг]]/tblExpenses[[#Totals],[Авг]]</f>
        <v>6.8085106382978725E-2</v>
      </c>
      <c r="Z23" s="34">
        <f>tblExpenses[[#This Row],[Сен]]/tblExpenses[[#Totals],[Сен]]</f>
        <v>2.1739130434782608E-2</v>
      </c>
      <c r="AA23" s="34">
        <f>tblExpenses[[#This Row],[Окт]]/tblExpenses[[#Totals],[Окт]]</f>
        <v>2.7027027027027029E-2</v>
      </c>
      <c r="AB23" s="34">
        <f>tblExpenses[[#This Row],[Ноя]]/tblExpenses[[#Totals],[Ноя]]</f>
        <v>7.0945945945945943E-2</v>
      </c>
      <c r="AC23" s="34">
        <f>tblExpenses[[#This Row],[Дек]]/tblExpenses[[#Totals],[Дек]]</f>
        <v>1.2987012987012988E-2</v>
      </c>
      <c r="AD23" s="34">
        <f>tblExpenses[[#This Row],[За год]]/tblExpenses[[#Totals],[За год]]</f>
        <v>4.8349449816605536E-2</v>
      </c>
    </row>
    <row r="24" spans="1:30" s="12" customFormat="1" ht="30" customHeight="1" x14ac:dyDescent="0.3">
      <c r="B24" s="9" t="s">
        <v>72</v>
      </c>
      <c r="C24" s="10" t="s">
        <v>74</v>
      </c>
      <c r="D24" s="35">
        <f>SUBTOTAL(109,tblExpenses[Столбец1])</f>
        <v>23600</v>
      </c>
      <c r="E24" s="35">
        <f>SUBTOTAL(109,tblExpenses[Фев])</f>
        <v>20500</v>
      </c>
      <c r="F24" s="35">
        <f>SUBTOTAL(109,tblExpenses[Мар])</f>
        <v>24900</v>
      </c>
      <c r="G24" s="35">
        <f>SUBTOTAL(109,tblExpenses[Апр])</f>
        <v>26100</v>
      </c>
      <c r="H24" s="35">
        <f>SUBTOTAL(109,tblExpenses[Май])</f>
        <v>25700</v>
      </c>
      <c r="I24" s="35">
        <f>SUBTOTAL(109,tblExpenses[Июн])</f>
        <v>27400</v>
      </c>
      <c r="J24" s="35">
        <f>SUBTOTAL(109,tblExpenses[Июл])</f>
        <v>26600</v>
      </c>
      <c r="K24" s="35">
        <f>SUBTOTAL(109,tblExpenses[Авг])</f>
        <v>23500</v>
      </c>
      <c r="L24" s="35">
        <f>SUBTOTAL(109,tblExpenses[Сен])</f>
        <v>23000</v>
      </c>
      <c r="M24" s="35">
        <f>SUBTOTAL(109,tblExpenses[Окт])</f>
        <v>25900</v>
      </c>
      <c r="N24" s="35">
        <f>SUBTOTAL(109,tblExpenses[Ноя])</f>
        <v>29600</v>
      </c>
      <c r="O24" s="35">
        <f>SUBTOTAL(109,tblExpenses[Дек])</f>
        <v>23100</v>
      </c>
      <c r="P24" s="35">
        <f>SUBTOTAL(109,tblExpenses[За год])</f>
        <v>299900</v>
      </c>
      <c r="Q24" s="28">
        <f>SUBTOTAL(109,tblExpenses[Индекс (%)])</f>
        <v>1</v>
      </c>
      <c r="R24" s="28">
        <f>SUBTOTAL(109,tblExpenses[Янв (%)])</f>
        <v>1</v>
      </c>
      <c r="S24" s="28">
        <f>SUBTOTAL(109,tblExpenses[Фев (%)])</f>
        <v>1.0000000000000002</v>
      </c>
      <c r="T24" s="28">
        <f>SUBTOTAL(109,tblExpenses[Мар (%)])</f>
        <v>1.0000000000000002</v>
      </c>
      <c r="U24" s="28">
        <f>SUBTOTAL(109,tblExpenses[Апр (%)])</f>
        <v>1</v>
      </c>
      <c r="V24" s="28">
        <f>SUBTOTAL(109,tblExpenses[Май (%)])</f>
        <v>1.0000000000000002</v>
      </c>
      <c r="W24" s="28">
        <f>SUBTOTAL(109,tblExpenses[Июн (%)])</f>
        <v>1</v>
      </c>
      <c r="X24" s="28">
        <f>SUBTOTAL(109,tblExpenses[Июл (%)])</f>
        <v>1</v>
      </c>
      <c r="Y24" s="28">
        <f>SUBTOTAL(109,tblExpenses[Авг (%)])</f>
        <v>0.99999999999999989</v>
      </c>
      <c r="Z24" s="28">
        <f>SUBTOTAL(109,tblExpenses[Сен (%)])</f>
        <v>1</v>
      </c>
      <c r="AA24" s="28">
        <f>SUBTOTAL(109,tblExpenses[Окт (%)])</f>
        <v>1</v>
      </c>
      <c r="AB24" s="28">
        <f>SUBTOTAL(109,tblExpenses[Ноя (%)])</f>
        <v>0.99999999999999989</v>
      </c>
      <c r="AC24" s="28">
        <f>SUBTOTAL(109,tblExpenses[Дек (%)])</f>
        <v>1</v>
      </c>
      <c r="AD24" s="28">
        <f>SUBTOTAL(109,tblExpenses[Год (%)])</f>
        <v>0.99999999999999989</v>
      </c>
    </row>
    <row r="25" spans="1:30" ht="30" customHeight="1" x14ac:dyDescent="0.3"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</row>
    <row r="26" spans="1:30" ht="30" customHeight="1" x14ac:dyDescent="0.3">
      <c r="B26" s="13" t="s">
        <v>73</v>
      </c>
      <c r="C26" s="13"/>
      <c r="D26" s="14">
        <f>'Себестоимость продаж'!$D$14-tblExpenses[[#Totals],[Столбец1]]</f>
        <v>12300</v>
      </c>
      <c r="E26" s="14">
        <f>'Себестоимость продаж'!E14-tblExpenses[[#Totals],[Фев]]</f>
        <v>17500</v>
      </c>
      <c r="F26" s="14">
        <f>'Себестоимость продаж'!F14-tblExpenses[[#Totals],[Мар]]</f>
        <v>25600</v>
      </c>
      <c r="G26" s="14">
        <f>'Себестоимость продаж'!G14-tblExpenses[[#Totals],[Апр]]</f>
        <v>10900</v>
      </c>
      <c r="H26" s="14">
        <f>'Себестоимость продаж'!H14-tblExpenses[[#Totals],[Май]]</f>
        <v>15600</v>
      </c>
      <c r="I26" s="14">
        <f>'Себестоимость продаж'!I14-tblExpenses[[#Totals],[Июн]]</f>
        <v>-800</v>
      </c>
      <c r="J26" s="14">
        <f>'Себестоимость продаж'!J14-tblExpenses[[#Totals],[Июл]]</f>
        <v>3200</v>
      </c>
      <c r="K26" s="14">
        <f>'Себестоимость продаж'!K14-tblExpenses[[#Totals],[Авг]]</f>
        <v>21400</v>
      </c>
      <c r="L26" s="14">
        <f>'Себестоимость продаж'!L14-tblExpenses[[#Totals],[Сен]]</f>
        <v>10000</v>
      </c>
      <c r="M26" s="14">
        <f>'Себестоимость продаж'!M14-tblExpenses[[#Totals],[Окт]]</f>
        <v>14800</v>
      </c>
      <c r="N26" s="14">
        <f>'Себестоимость продаж'!N14-tblExpenses[[#Totals],[Ноя]]</f>
        <v>17900</v>
      </c>
      <c r="O26" s="14">
        <f>'Себестоимость продаж'!O14-tblExpenses[[#Totals],[Дек]]</f>
        <v>35900</v>
      </c>
      <c r="P26" s="14">
        <f>'Себестоимость продаж'!P14-tblExpenses[[#Totals],[За год]]</f>
        <v>184300</v>
      </c>
      <c r="Q26" s="13"/>
      <c r="R26" s="15">
        <f>D26/$P$26</f>
        <v>6.6739012479652735E-2</v>
      </c>
      <c r="S26" s="15">
        <f t="shared" ref="S26:AD26" si="1">E26/$P$26</f>
        <v>9.4953879544221381E-2</v>
      </c>
      <c r="T26" s="15">
        <f t="shared" si="1"/>
        <v>0.13890396093326099</v>
      </c>
      <c r="U26" s="15">
        <f t="shared" si="1"/>
        <v>5.9142702116115033E-2</v>
      </c>
      <c r="V26" s="15">
        <f t="shared" si="1"/>
        <v>8.4644601193705912E-2</v>
      </c>
      <c r="W26" s="15">
        <f t="shared" si="1"/>
        <v>-4.3407487791644059E-3</v>
      </c>
      <c r="X26" s="15">
        <f t="shared" si="1"/>
        <v>1.7362995116657624E-2</v>
      </c>
      <c r="Y26" s="15">
        <f t="shared" si="1"/>
        <v>0.11611502984264786</v>
      </c>
      <c r="Z26" s="15">
        <f t="shared" si="1"/>
        <v>5.425935973955507E-2</v>
      </c>
      <c r="AA26" s="15">
        <f t="shared" si="1"/>
        <v>8.0303852414541507E-2</v>
      </c>
      <c r="AB26" s="15">
        <f t="shared" si="1"/>
        <v>9.7124253933803584E-2</v>
      </c>
      <c r="AC26" s="15">
        <f t="shared" si="1"/>
        <v>0.19479110146500273</v>
      </c>
      <c r="AD26" s="15">
        <f t="shared" si="1"/>
        <v>1</v>
      </c>
    </row>
    <row r="29" spans="1:30" ht="30" customHeight="1" x14ac:dyDescent="0.3"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</row>
    <row r="30" spans="1:30" ht="30" customHeight="1" x14ac:dyDescent="0.3"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</row>
    <row r="31" spans="1:30" ht="30" customHeight="1" x14ac:dyDescent="0.3"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30" ht="30" customHeight="1" x14ac:dyDescent="0.3"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</row>
  </sheetData>
  <dataValidations count="18">
    <dataValidation allowBlank="1" showInputMessage="1" showErrorMessage="1" prompt="Название организации обновляется автоматически на основе записи с листа &quot;Доходы (продажи)&quot;." sqref="AD1" xr:uid="{00000000-0002-0000-0200-000000000000}"/>
    <dataValidation allowBlank="1" showInputMessage="1" showErrorMessage="1" prompt="Автоматически обновляемый заголовок с листа &quot;Доходы (продажи)&quot;. Для вычисления общих расходов введите значения в таблицу &quot;Расходы&quot; ниже." sqref="B2" xr:uid="{00000000-0002-0000-0200-000001000000}"/>
    <dataValidation allowBlank="1" showInputMessage="1" showErrorMessage="1" prompt="Введите в этом столбце процентный индекс." sqref="Q4" xr:uid="{00000000-0002-0000-0200-000002000000}"/>
    <dataValidation allowBlank="1" showInputMessage="1" showErrorMessage="1" prompt="Чистая прибыль вычисляется автоматически по каждому месяцу и году на основе валовой прибыли и общих расходов." sqref="B26" xr:uid="{00000000-0002-0000-0200-000003000000}"/>
    <dataValidation allowBlank="1" showInputMessage="1" showErrorMessage="1" prompt="Введите в этом столбце расходы по источникам, указанным в столбце B." sqref="D4:O4" xr:uid="{00000000-0002-0000-0200-000004000000}"/>
    <dataValidation allowBlank="1" showInputMessage="1" showErrorMessage="1" prompt="Этот столбец содержит диаграмму изменения расходов по времени." sqref="C4" xr:uid="{00000000-0002-0000-0200-000005000000}"/>
    <dataValidation allowBlank="1" showInputMessage="1" showErrorMessage="1" prompt="Введите расходы в этом столбце." sqref="B4" xr:uid="{00000000-0002-0000-0200-000006000000}"/>
    <dataValidation allowBlank="1" showInputMessage="1" showErrorMessage="1" prompt="В этом столбце автоматически вычисляется доля расходов из разных источников в общем объеме расходов за год." sqref="AD3" xr:uid="{00000000-0002-0000-0200-000007000000}"/>
    <dataValidation allowBlank="1" showInputMessage="1" showErrorMessage="1" prompt="В этом столбце автоматически вычисляется доля расходов из разных источников в общем объеме расходов за месяц в этой ячейке." sqref="R3:AC3" xr:uid="{00000000-0002-0000-0200-000008000000}"/>
    <dataValidation allowBlank="1" showInputMessage="1" showErrorMessage="1" prompt="Автоматически обновляемый месяц" sqref="E3:O3" xr:uid="{00000000-0002-0000-0200-000009000000}"/>
    <dataValidation allowBlank="1" showInputMessage="1" showErrorMessage="1" prompt="Даты в этой строке обновляются автоматически в зависимости от первого месяца финансового года. Первый месяц можно изменить в ячейке AC2." sqref="D3" xr:uid="{00000000-0002-0000-0200-00000A000000}"/>
    <dataValidation allowBlank="1" showInputMessage="1" showErrorMessage="1" prompt="В этом столбце автоматически вычисляются годовые расходы." sqref="P3" xr:uid="{00000000-0002-0000-0200-00000B000000}"/>
    <dataValidation allowBlank="1" showInputMessage="1" showErrorMessage="1" prompt="Этот столбец содержит процентный индекс." sqref="Q3" xr:uid="{00000000-0002-0000-0200-00000C000000}"/>
    <dataValidation allowBlank="1" showInputMessage="1" showErrorMessage="1" prompt="Эта ячейка обновляется автоматически в соответствии с заголовком прогнозного периода на листе &quot;Доходы (продажи)&quot;." sqref="B1" xr:uid="{00000000-0002-0000-0200-00000D000000}"/>
    <dataValidation allowBlank="1" showInputMessage="1" showErrorMessage="1" prompt="В ячейках справа автоматически обновляются месяц и год. Месяц или год можно изменить в ячейках AC2 и AD2 на листе &quot;Доходы (продажи)&quot;." sqref="AB2" xr:uid="{00000000-0002-0000-0200-00000E000000}"/>
    <dataValidation allowBlank="1" showInputMessage="1" showErrorMessage="1" prompt="Автоматически обновляемый месяц. Можно изменить в ячейке AC2 на листе &quot;Доходы (продажи)&quot;." sqref="AC2" xr:uid="{00000000-0002-0000-0200-00000F000000}"/>
    <dataValidation allowBlank="1" showInputMessage="1" showErrorMessage="1" prompt="Автоматически обновляемый год. Можно изменить в ячейке AD2 на листе &quot;Доходы (продажи)&quot;." sqref="AD2" xr:uid="{00000000-0002-0000-0200-000010000000}"/>
    <dataValidation allowBlank="1" showInputMessage="1" showErrorMessage="1" prompt="На этом листе вычисляются общие расходы за каждый месяц и год, а также общие годовые расходы по каждой статье. Чистая прибыль вычисляется автоматически на основе валовой прибыли и общих расходов. " sqref="A1:A1048576" xr:uid="{00000000-0002-0000-0200-000011000000}"/>
  </dataValidations>
  <printOptions horizontalCentered="1"/>
  <pageMargins left="0.25" right="0.25" top="0.75" bottom="0.75" header="0.3" footer="0.3"/>
  <pageSetup paperSize="9" scale="40" fitToHeight="0" orientation="landscape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05C60535-1F16-4fd2-B633-F4F36F0B64E0}">
      <x14:sparklineGroups xmlns:xm="http://schemas.microsoft.com/office/excel/2006/main">
        <x14:sparklineGroup lineWeight="1" displayEmptyCellsAs="gap" high="1" low="1" xr2:uid="{00000000-0003-0000-0200-000004000000}">
          <x14:colorSeries theme="3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3"/>
          <x14:colorLow theme="3"/>
          <x14:sparklines>
            <x14:sparkline>
              <xm:f>Расходы!D24:O24</xm:f>
              <xm:sqref>C24</xm:sqref>
            </x14:sparkline>
          </x14:sparklines>
        </x14:sparklineGroup>
        <x14:sparklineGroup displayEmptyCellsAs="gap" xr2:uid="{00000000-0003-0000-0200-000005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Расходы!D5:O5</xm:f>
              <xm:sqref>C5</xm:sqref>
            </x14:sparkline>
            <x14:sparkline>
              <xm:f>Расходы!D6:O6</xm:f>
              <xm:sqref>C6</xm:sqref>
            </x14:sparkline>
            <x14:sparkline>
              <xm:f>Расходы!D7:O7</xm:f>
              <xm:sqref>C7</xm:sqref>
            </x14:sparkline>
            <x14:sparkline>
              <xm:f>Расходы!D8:O8</xm:f>
              <xm:sqref>C8</xm:sqref>
            </x14:sparkline>
            <x14:sparkline>
              <xm:f>Расходы!D9:O9</xm:f>
              <xm:sqref>C9</xm:sqref>
            </x14:sparkline>
            <x14:sparkline>
              <xm:f>Расходы!D10:O10</xm:f>
              <xm:sqref>C10</xm:sqref>
            </x14:sparkline>
            <x14:sparkline>
              <xm:f>Расходы!D11:O11</xm:f>
              <xm:sqref>C11</xm:sqref>
            </x14:sparkline>
            <x14:sparkline>
              <xm:f>Расходы!D12:O12</xm:f>
              <xm:sqref>C12</xm:sqref>
            </x14:sparkline>
            <x14:sparkline>
              <xm:f>Расходы!D13:O13</xm:f>
              <xm:sqref>C13</xm:sqref>
            </x14:sparkline>
            <x14:sparkline>
              <xm:f>Расходы!D14:O14</xm:f>
              <xm:sqref>C14</xm:sqref>
            </x14:sparkline>
            <x14:sparkline>
              <xm:f>Расходы!D15:O15</xm:f>
              <xm:sqref>C15</xm:sqref>
            </x14:sparkline>
            <x14:sparkline>
              <xm:f>Расходы!D16:O16</xm:f>
              <xm:sqref>C16</xm:sqref>
            </x14:sparkline>
            <x14:sparkline>
              <xm:f>Расходы!D17:O17</xm:f>
              <xm:sqref>C17</xm:sqref>
            </x14:sparkline>
            <x14:sparkline>
              <xm:f>Расходы!D18:O18</xm:f>
              <xm:sqref>C18</xm:sqref>
            </x14:sparkline>
            <x14:sparkline>
              <xm:f>Расходы!D19:O19</xm:f>
              <xm:sqref>C19</xm:sqref>
            </x14:sparkline>
            <x14:sparkline>
              <xm:f>Расходы!D20:O20</xm:f>
              <xm:sqref>C20</xm:sqref>
            </x14:sparkline>
            <x14:sparkline>
              <xm:f>Расходы!D21:O21</xm:f>
              <xm:sqref>C21</xm:sqref>
            </x14:sparkline>
            <x14:sparkline>
              <xm:f>Расходы!D22:O22</xm:f>
              <xm:sqref>C22</xm:sqref>
            </x14:sparkline>
            <x14:sparkline>
              <xm:f>Расходы!D23:O23</xm:f>
              <xm:sqref>C23</xm:sqref>
            </x14:sparkline>
          </x14:sparklines>
        </x14:sparklineGroup>
      </x14:sparklineGroups>
    </ext>
  </extLst>
</worksheet>
</file>

<file path=docProps/app.xml><?xml version="1.0" encoding="utf-8"?>
<ap:Properties xmlns:vt="http://schemas.openxmlformats.org/officeDocument/2006/docPropsVTypes" xmlns:ap="http://schemas.openxmlformats.org/officeDocument/2006/extended-properties">
  <ap:DocSecurity>0</ap:DocSecurity>
  <ap:Template>TM02802361</ap:Template>
  <ap:ScaleCrop>false</ap:ScaleCrop>
  <ap:HeadingPairs>
    <vt:vector baseType="variant" size="4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11</vt:i4>
      </vt:variant>
    </vt:vector>
  </ap:HeadingPairs>
  <ap:TitlesOfParts>
    <vt:vector baseType="lpstr" size="14">
      <vt:lpstr>Доходы (продажи)</vt:lpstr>
      <vt:lpstr>Себестоимость продаж</vt:lpstr>
      <vt:lpstr>Расходы</vt:lpstr>
      <vt:lpstr>FYMonthStart</vt:lpstr>
      <vt:lpstr>FYStartYear</vt:lpstr>
      <vt:lpstr>Projection_Period_Title</vt:lpstr>
      <vt:lpstr>Wksht_Title</vt:lpstr>
      <vt:lpstr>'Доходы (продажи)'!Заголовки_для_печати</vt:lpstr>
      <vt:lpstr>Расходы!Заголовки_для_печати</vt:lpstr>
      <vt:lpstr>'Себестоимость продаж'!Заголовки_для_печати</vt:lpstr>
      <vt:lpstr>Заголовок1</vt:lpstr>
      <vt:lpstr>Заголовок2</vt:lpstr>
      <vt:lpstr>Заголовок3</vt:lpstr>
      <vt:lpstr>Название_организации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2016-12-06T05:59:57Z</dcterms:created>
  <dcterms:modified xsi:type="dcterms:W3CDTF">2017-09-11T02:53:07Z</dcterms:modified>
</cp:coreProperties>
</file>