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u-RU\"/>
    </mc:Choice>
  </mc:AlternateContent>
  <xr:revisionPtr revIDLastSave="0" documentId="13_ncr:1_{B2950B8F-E99A-4078-9594-4C374633D1B1}" xr6:coauthVersionLast="43" xr6:coauthVersionMax="43" xr10:uidLastSave="{00000000-0000-0000-0000-000000000000}"/>
  <bookViews>
    <workbookView xWindow="-120" yWindow="-120" windowWidth="28890" windowHeight="14370" xr2:uid="{00000000-000D-0000-FFFF-FFFF00000000}"/>
  </bookViews>
  <sheets>
    <sheet name="Кредитный калькулятор" sheetId="1" r:id="rId1"/>
  </sheets>
  <definedNames>
    <definedName name="CombinedMonthlyPayment">ОбразовательныеКредиты[[#Totals],[Текущий ежемесячный платеж]]</definedName>
    <definedName name="ConsLoanPayback">'Кредитный калькулятор'!$L$18</definedName>
    <definedName name="EstimatedAnnualSalary">'Кредитный калькулятор'!$F$2</definedName>
    <definedName name="EstimatedMonthlySalary">'Кредитный калькулятор'!$L$20</definedName>
    <definedName name="LoanPaybackStart">'Кредитный калькулятор'!$K$2</definedName>
    <definedName name="LoanStartLToday">IF(LoanPaybackStart&lt;TODAY(),TRUE,FALSE)</definedName>
    <definedName name="PercentAboveBelow">IF(ОбразовательныеКредиты[[#Totals],[Планируемые выплаты]]/EstimatedMonthlySalary&gt;=0.08,"вверху","внизу")</definedName>
    <definedName name="PercentageOfIncome">ОбразовательныеКредиты[[#Totals],[Планируемые выплаты]]/EstimatedMonthlySalary</definedName>
    <definedName name="PercentageOfMonthlyIncome">ОбразовательныеКредиты[[#Totals],[Текущий ежемесячный платеж]]/EstimatedMonthlySalary</definedName>
    <definedName name="_xlnm.Print_Titles" localSheetId="0">'Кредитный калькулятор'!$8:$9</definedName>
  </definedNames>
  <calcPr calcId="181029"/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<sst xmlns="http://schemas.openxmlformats.org/spreadsheetml/2006/main" count="32" uniqueCount="32">
  <si>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КАЛЬКУЛЯТОР ОБРАЗОВАТЕЛЬНОГО КРЕДИТА</t>
  </si>
  <si>
    <r>
      <t xml:space="preserve"> Рекомендуется, чтобы общая сумма ежемесячных платежей в счет погашения кредита на обучение </t>
    </r>
    <r>
      <rPr>
        <b/>
        <sz val="16"/>
        <color theme="6" tint="-0.499984740745262"/>
        <rFont val="Calibri"/>
        <family val="2"/>
        <scheme val="minor"/>
      </rPr>
      <t>не превышала 8 %</t>
    </r>
    <r>
      <rPr>
        <sz val="16"/>
        <color theme="6" tint="-0.499984740745262"/>
        <rFont val="Calibri"/>
        <family val="2"/>
        <scheme val="minor"/>
      </rPr>
      <t xml:space="preserve"> от общей суммы заработка за первый год.</t>
    </r>
  </si>
  <si>
    <t>Общий текущий ежемесячный платеж:</t>
  </si>
  <si>
    <t>Процент от текущего ежемесячного дохода:</t>
  </si>
  <si>
    <t>ОБЩИЕ СВЕДЕНИЯ О КРЕДИТЕ</t>
  </si>
  <si>
    <t>Кредит №</t>
  </si>
  <si>
    <t>10998M88</t>
  </si>
  <si>
    <t>20987N87</t>
  </si>
  <si>
    <t>Итоговые значения</t>
  </si>
  <si>
    <t>Средние значения</t>
  </si>
  <si>
    <t>Итоговая сумма выплат для погашения кредита:</t>
  </si>
  <si>
    <t>Предполагаемый ежемесячный доход после окончания обучения:</t>
  </si>
  <si>
    <t>Кредитор</t>
  </si>
  <si>
    <t>Кредитор 1</t>
  </si>
  <si>
    <t>Кредитор 2</t>
  </si>
  <si>
    <t>В этой ячейке расположена треугольная стрелка вправо, указывающая на предполагаемую годовую зарплату.</t>
  </si>
  <si>
    <t>Сумма кредита</t>
  </si>
  <si>
    <t>Годовая
процентная ставка</t>
  </si>
  <si>
    <t>Предполагаемая годовая зарплата после окончания обучения</t>
  </si>
  <si>
    <t>ДАННЫЕ О ПОГАШЕНИИ КРЕДИТА</t>
  </si>
  <si>
    <t>Дата начала</t>
  </si>
  <si>
    <t>Продолжительность (лет)</t>
  </si>
  <si>
    <t>Общий планируемый ежемесячный платеж:</t>
  </si>
  <si>
    <t xml:space="preserve">  Процент от планируемого ежемесячного дохода:</t>
  </si>
  <si>
    <t>Дата окончания</t>
  </si>
  <si>
    <t>В этой ячейке расположена треугольная стрелка вправо, указывающая на дату начала погашения кредита.</t>
  </si>
  <si>
    <t>ДАННЫЕ О ПЛАТЕЖАХ</t>
  </si>
  <si>
    <t>Текущий ежемесячный платеж</t>
  </si>
  <si>
    <t>Итоговая
процентная ставка</t>
  </si>
  <si>
    <t>Дата начала погашения кредита</t>
  </si>
  <si>
    <t>Планируемые выплаты</t>
  </si>
  <si>
    <t>Годовые
платежи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</si>
</sst>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lei&quot;_-;\-* #,##0\ &quot;lei&quot;_-;_-* &quot;-&quot;\ &quot;lei&quot;_-;_-@_-"/>
    <numFmt numFmtId="167" formatCode="#,##0\ &quot;₽&quot;"/>
    <numFmt numFmtId="168" formatCode="#,##0.00\ &quot;₽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8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8" fontId="14" fillId="0" borderId="0" xfId="0" applyNumberFormat="1" applyFont="1" applyFill="1" applyAlignment="1">
      <alignment horizontal="left" indent="2"/>
    </xf>
    <xf numFmtId="14" fontId="0" fillId="0" borderId="0" xfId="0" applyNumberFormat="1"/>
    <xf numFmtId="168" fontId="0" fillId="0" borderId="0" xfId="1" applyFont="1" applyFill="1" applyBorder="1" applyAlignment="1">
      <alignment horizontal="right" indent="3"/>
    </xf>
    <xf numFmtId="168" fontId="0" fillId="0" borderId="0" xfId="1" applyFont="1" applyFill="1" applyBorder="1" applyAlignment="1">
      <alignment horizontal="right" indent="2"/>
    </xf>
    <xf numFmtId="168" fontId="0" fillId="0" borderId="0" xfId="1" applyFont="1" applyFill="1" applyBorder="1" applyAlignment="1">
      <alignment horizontal="right" indent="4"/>
    </xf>
    <xf numFmtId="168" fontId="18" fillId="0" borderId="0" xfId="0" applyNumberFormat="1" applyFont="1" applyFill="1" applyBorder="1" applyAlignment="1">
      <alignment horizontal="right" vertical="center" indent="3"/>
    </xf>
    <xf numFmtId="168" fontId="18" fillId="0" borderId="0" xfId="0" applyNumberFormat="1" applyFont="1" applyFill="1" applyBorder="1" applyAlignment="1">
      <alignment horizontal="right" vertical="center" indent="2"/>
    </xf>
    <xf numFmtId="168" fontId="18" fillId="0" borderId="0" xfId="0" applyNumberFormat="1" applyFont="1" applyFill="1" applyBorder="1" applyAlignment="1">
      <alignment horizontal="right" vertical="center" indent="4"/>
    </xf>
    <xf numFmtId="168" fontId="2" fillId="3" borderId="0" xfId="0" applyNumberFormat="1" applyFont="1" applyFill="1" applyBorder="1" applyAlignment="1">
      <alignment horizontal="right" vertical="center" indent="2"/>
    </xf>
    <xf numFmtId="10" fontId="2" fillId="3" borderId="1" xfId="2" applyFont="1" applyFill="1" applyBorder="1" applyAlignment="1">
      <alignment horizontal="center" vertical="center"/>
    </xf>
    <xf numFmtId="10" fontId="2" fillId="3" borderId="0" xfId="2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vertical="center"/>
    </xf>
    <xf numFmtId="168" fontId="2" fillId="3" borderId="0" xfId="0" applyNumberFormat="1" applyFont="1" applyFill="1" applyBorder="1" applyAlignment="1">
      <alignment vertical="center"/>
    </xf>
    <xf numFmtId="0" fontId="6" fillId="0" borderId="0" xfId="4" applyFill="1" applyBorder="1" applyAlignment="1">
      <alignment horizontal="right"/>
    </xf>
    <xf numFmtId="168" fontId="12" fillId="0" borderId="0" xfId="0" applyNumberFormat="1" applyFont="1" applyAlignment="1"/>
    <xf numFmtId="0" fontId="6" fillId="0" borderId="0" xfId="4" applyFill="1" applyAlignment="1">
      <alignment horizontal="right"/>
    </xf>
    <xf numFmtId="168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Денежный" xfId="1" builtinId="4" customBuiltin="1"/>
    <cellStyle name="Денежный [0]" xfId="12" builtinId="7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4" builtinId="19" customBuiltin="1"/>
    <cellStyle name="Итог" xfId="9" builtinId="25" customBuiltin="1"/>
    <cellStyle name="Контрольная ячейка" xfId="20" builtinId="23" customBuiltin="1"/>
    <cellStyle name="Название" xfId="3" builtinId="15" customBuiltin="1"/>
    <cellStyle name="Нейтральный" xfId="15" builtinId="28" customBuiltin="1"/>
    <cellStyle name="Обычный" xfId="0" builtinId="0" customBuiltin="1"/>
    <cellStyle name="Плохой" xfId="14" builtinId="27" customBuiltin="1"/>
    <cellStyle name="Пояснение" xfId="8" builtinId="53" customBuiltin="1"/>
    <cellStyle name="Примечание" xfId="22" builtinId="10" customBuiltin="1"/>
    <cellStyle name="Процентный" xfId="2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10" builtinId="3" customBuiltin="1"/>
    <cellStyle name="Финансовый [0]" xfId="11" builtinId="6" customBuiltin="1"/>
    <cellStyle name="Хороший" xfId="13" builtinId="26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numFmt numFmtId="19" formatCode="dd/mm/yyyy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</border>
    </dxf>
    <dxf>
      <numFmt numFmtId="168" formatCode="#,##0.00\ &quot;₽&quot;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Калькулятор образовательного кредита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Стрелка" descr="Треугольная стрелка, указывающая вправо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Стрелка" descr="Треугольная стрелка, указывающая вправо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Стрелка" descr="Треугольная стрелка, указывающая вправо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Стрелка" descr="Треугольная стрелка, указывающая вправо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Стрелка" descr="Треугольная стрелка, указывающая вправо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Стрелка" descr="Треугольная стрелка, указывающая вправо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ОбразовательныеКредиты" displayName="ОбразовательныеКредиты" ref="B9:L16" totalsRowCount="1" headerRowDxfId="23" dataDxfId="22" totalsRowDxfId="21">
  <tableColumns count="11">
    <tableColumn id="1" xr3:uid="{00000000-0010-0000-0000-000001000000}" name="Кредит №" totalsRowLabel="Итоговые значения" dataDxfId="20" totalsRowDxfId="19"/>
    <tableColumn id="3" xr3:uid="{00000000-0010-0000-0000-000003000000}" name="Кредитор" dataDxfId="18" totalsRowDxfId="17"/>
    <tableColumn id="6" xr3:uid="{00000000-0010-0000-0000-000006000000}" name="Сумма кредита" totalsRowFunction="sum" dataDxfId="16" totalsRowDxfId="15"/>
    <tableColumn id="7" xr3:uid="{00000000-0010-0000-0000-000007000000}" name="Годовая_x000a_процентная ставка" dataDxfId="14" dataCellStyle="Процентный"/>
    <tableColumn id="4" xr3:uid="{00000000-0010-0000-0000-000004000000}" name="Дата начала" dataDxfId="13" totalsRowDxfId="12" dataCellStyle="Обычный"/>
    <tableColumn id="9" xr3:uid="{00000000-0010-0000-0000-000009000000}" name="Продолжительность (лет)" dataDxfId="11" totalsRowDxfId="10"/>
    <tableColumn id="5" xr3:uid="{00000000-0010-0000-0000-000005000000}" name="Дата окончания" dataDxfId="9" totalsRowDxfId="8">
      <calculatedColumnFormula>IF(AND(ОбразовательныеКредиты[[#This Row],[Дата начала]]&gt;0,ОбразовательныеКредиты[[#This Row],[Продолжительность (лет)]]&gt;0),EDATE(ОбразовательныеКредиты[[#This Row],[Дата начала]],ОбразовательныеКредиты[[#This Row],[Продолжительность (лет)]]*12),"")</calculatedColumnFormula>
    </tableColumn>
    <tableColumn id="8" xr3:uid="{00000000-0010-0000-0000-000008000000}" name="Текущий ежемесячный платеж" totalsRowFunction="sum" dataDxfId="7" totalsRowDxfId="6" dataCellStyle="Денежный">
      <calculatedColumnFormula>IFERROR(IF(AND(LoanStartLToday,COUNT(ОбразовательныеКредиты[[#This Row],[Сумма кредита]:[Продолжительность (лет)]])=4,ОбразовательныеКредиты[[#This Row],[Дата начала]]&lt;=TODAY()),PMT(ОбразовательныеКредиты[[#This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кредита]],0,0),""),0)</calculatedColumnFormula>
    </tableColumn>
    <tableColumn id="13" xr3:uid="{00000000-0010-0000-0000-00000D000000}" name="Итоговая_x000a_процентная ставка" totalsRowFunction="sum" dataDxfId="5" totalsRowDxfId="4" dataCellStyle="Денежный">
      <calculatedColumnFormula>IFERROR((ОбразовательныеКредиты[[#This Row],[Планируемые выплаты]]*(ОбразовательныеКредиты[[#This Row],[Продолжительность (лет)]]*12))-ОбразовательныеКредиты[[#This Row],[Сумма кредита]],"")</calculatedColumnFormula>
    </tableColumn>
    <tableColumn id="11" xr3:uid="{00000000-0010-0000-0000-00000B000000}" name="Планируемые выплаты" totalsRowFunction="sum" dataDxfId="3" totalsRowDxfId="2" dataCellStyle="Денежный">
      <calculatedColumnFormula>IF(COUNTA(ОбразовательныеКредиты[[#This Row],[Сумма кредита]:[Продолжительность (лет)]])&lt;&gt;4,"",PMT(ОбразовательныеКредиты[[#This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кредита]],0,0))</calculatedColumnFormula>
    </tableColumn>
    <tableColumn id="2" xr3:uid="{00000000-0010-0000-0000-000002000000}" name="Годовые_x000a_платежи" totalsRowFunction="sum" dataDxfId="1" totalsRowDxfId="0" dataCellStyle="Денежный">
      <calculatedColumnFormula>IFERROR(ОбразовательныеКредиты[[#This Row],[Планируемые выплаты]]*12,"")</calculatedColumnFormula>
    </tableColumn>
  </tableColumns>
  <tableStyleInfo name="Калькулятор образовательного кредита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омер кредита, кредитора, сумму кредита, годовую процентную ставку, дату начала и продолжительность кредита в годах. Дата окончания, текущий, плановый и годовой платежи, а также общая сумма процентов вычисляются автоматически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43.7109375" style="6" customWidth="1"/>
    <col min="4" max="4" width="14.42578125" style="6" customWidth="1"/>
    <col min="5" max="5" width="18.7109375" style="6" customWidth="1"/>
    <col min="6" max="6" width="15.85546875" style="6" customWidth="1"/>
    <col min="7" max="7" width="20.85546875" style="6" customWidth="1"/>
    <col min="8" max="8" width="24.85546875" style="6" customWidth="1"/>
    <col min="9" max="9" width="22" style="6" customWidth="1"/>
    <col min="10" max="10" width="26" style="6" customWidth="1"/>
    <col min="11" max="11" width="38.57031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57" t="s">
        <v>0</v>
      </c>
      <c r="C2" s="57"/>
      <c r="D2" s="60" t="s">
        <v>15</v>
      </c>
      <c r="E2" s="60"/>
      <c r="F2" s="58">
        <v>50000</v>
      </c>
      <c r="G2" s="58"/>
      <c r="H2" s="58"/>
      <c r="I2" s="61" t="s">
        <v>25</v>
      </c>
      <c r="J2" s="61"/>
      <c r="K2" s="59">
        <f ca="1">TODAY()-701</f>
        <v>42907</v>
      </c>
      <c r="L2" s="59"/>
    </row>
    <row r="3" spans="1:13" ht="27.75" customHeight="1" x14ac:dyDescent="0.25">
      <c r="B3" s="56"/>
      <c r="C3" s="56"/>
      <c r="D3" s="56"/>
      <c r="E3" s="56"/>
      <c r="F3" s="62" t="s">
        <v>18</v>
      </c>
      <c r="G3" s="62"/>
      <c r="H3" s="62"/>
      <c r="I3" s="56"/>
      <c r="J3" s="56"/>
      <c r="K3" s="62" t="s">
        <v>29</v>
      </c>
      <c r="L3" s="62"/>
    </row>
    <row r="4" spans="1:13" ht="25.5" customHeight="1" x14ac:dyDescent="0.2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3"/>
    </row>
    <row r="5" spans="1:13" ht="32.25" customHeight="1" x14ac:dyDescent="0.3">
      <c r="B5" s="51" t="s">
        <v>2</v>
      </c>
      <c r="C5" s="51"/>
      <c r="D5" s="51"/>
      <c r="E5" s="45">
        <f ca="1">IFERROR(ОбразовательныеКредиты[[#Totals],[Текущий ежемесячный платеж]],"")</f>
        <v>190.91792743033542</v>
      </c>
      <c r="F5" s="45"/>
      <c r="G5" s="45"/>
      <c r="H5" s="53" t="s">
        <v>22</v>
      </c>
      <c r="I5" s="53"/>
      <c r="J5" s="53"/>
      <c r="K5" s="53"/>
      <c r="L5" s="29">
        <f ca="1">IFERROR(ОбразовательныеКредиты[[#Totals],[Планируемые выплаты]],0)</f>
        <v>190.91792743033542</v>
      </c>
      <c r="M5" s="21"/>
    </row>
    <row r="6" spans="1:13" ht="32.25" customHeight="1" x14ac:dyDescent="0.25">
      <c r="B6" s="52" t="s">
        <v>3</v>
      </c>
      <c r="C6" s="52"/>
      <c r="D6" s="52"/>
      <c r="E6" s="46">
        <f ca="1">IFERROR(ОбразовательныеКредиты[[#Totals],[Текущий ежемесячный платеж]]/EstimatedMonthlySalary,"")</f>
        <v>4.5820302583280501E-2</v>
      </c>
      <c r="F6" s="46"/>
      <c r="G6" s="46"/>
      <c r="H6" s="54" t="s">
        <v>23</v>
      </c>
      <c r="I6" s="54"/>
      <c r="J6" s="54"/>
      <c r="K6" s="54"/>
      <c r="L6" s="13">
        <f ca="1">IFERROR(ОбразовательныеКредиты[[#Totals],[Планируемые выплаты]]/EstimatedMonthlySalary,"")</f>
        <v>4.5820302583280501E-2</v>
      </c>
      <c r="M6" s="22"/>
    </row>
    <row r="7" spans="1:13" ht="20.25" customHeight="1" x14ac:dyDescent="0.35">
      <c r="B7" s="14"/>
      <c r="C7" s="14"/>
      <c r="D7" s="15"/>
      <c r="E7" s="16"/>
      <c r="F7" s="14"/>
      <c r="G7" s="14"/>
      <c r="H7" s="14"/>
      <c r="I7" s="14"/>
      <c r="J7" s="14"/>
      <c r="K7" s="14"/>
      <c r="L7" s="14"/>
    </row>
    <row r="8" spans="1:13" ht="23.25" customHeight="1" x14ac:dyDescent="0.25">
      <c r="B8" s="47" t="s">
        <v>4</v>
      </c>
      <c r="C8" s="47"/>
      <c r="D8" s="47"/>
      <c r="E8" s="48"/>
      <c r="F8" s="50" t="s">
        <v>19</v>
      </c>
      <c r="G8" s="47"/>
      <c r="H8" s="48"/>
      <c r="I8" s="47" t="s">
        <v>26</v>
      </c>
      <c r="J8" s="49"/>
      <c r="K8" s="49"/>
      <c r="L8" s="49"/>
    </row>
    <row r="9" spans="1:13" ht="35.1" customHeight="1" x14ac:dyDescent="0.25">
      <c r="B9" s="5" t="s">
        <v>5</v>
      </c>
      <c r="C9" s="2" t="s">
        <v>12</v>
      </c>
      <c r="D9" s="3" t="s">
        <v>16</v>
      </c>
      <c r="E9" s="7" t="s">
        <v>17</v>
      </c>
      <c r="F9" s="8" t="s">
        <v>20</v>
      </c>
      <c r="G9" s="3" t="s">
        <v>21</v>
      </c>
      <c r="H9" s="7" t="s">
        <v>24</v>
      </c>
      <c r="I9" s="3" t="s">
        <v>27</v>
      </c>
      <c r="J9" s="3" t="s">
        <v>28</v>
      </c>
      <c r="K9" s="3" t="s">
        <v>30</v>
      </c>
      <c r="L9" s="3" t="s">
        <v>31</v>
      </c>
    </row>
    <row r="10" spans="1:13" ht="15" x14ac:dyDescent="0.25">
      <c r="B10" s="5" t="s">
        <v>6</v>
      </c>
      <c r="C10" s="4" t="s">
        <v>13</v>
      </c>
      <c r="D10" s="27">
        <v>10000</v>
      </c>
      <c r="E10" s="28">
        <v>0.05</v>
      </c>
      <c r="F10" s="30">
        <f ca="1">DATE(YEAR(TODAY())-2,4,1)</f>
        <v>42826</v>
      </c>
      <c r="G10" s="1">
        <v>10</v>
      </c>
      <c r="H10" s="9">
        <f ca="1">IF(AND(ОбразовательныеКредиты[[#This Row],[Дата начала]]&gt;0,ОбразовательныеКредиты[[#This Row],[Продолжительность (лет)]]&gt;0),EDATE(ОбразовательныеКредиты[[#This Row],[Дата начала]],ОбразовательныеКредиты[[#This Row],[Продолжительность (лет)]]*12),"")</f>
        <v>46478</v>
      </c>
      <c r="I10" s="31">
        <f ca="1">IFERROR(IF(AND(LoanStartLToday,COUNT(ОбразовательныеКредиты[[#This Row],[Сумма кредита]:[Продолжительность (лет)]])=4,ОбразовательныеКредиты[[#This Row],[Дата начала]]&lt;=TODAY()),PMT(ОбразовательныеКредиты[[#This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кредита]],0,0),""),0)</f>
        <v>106.06551523907524</v>
      </c>
      <c r="J10" s="32">
        <f ca="1">IFERROR((ОбразовательныеКредиты[[#This Row],[Планируемые выплаты]]*(ОбразовательныеКредиты[[#This Row],[Продолжительность (лет)]]*12))-ОбразовательныеКредиты[[#This Row],[Сумма кредита]],"")</f>
        <v>2727.8618286890287</v>
      </c>
      <c r="K10" s="33">
        <f ca="1">IF(COUNTA(ОбразовательныеКредиты[[#This Row],[Сумма кредита]:[Продолжительность (лет)]])&lt;&gt;4,"",PMT(ОбразовательныеКредиты[[#This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кредита]],0,0))</f>
        <v>106.06551523907524</v>
      </c>
      <c r="L10" s="32">
        <f ca="1">IFERROR(ОбразовательныеКредиты[[#This Row],[Планируемые выплаты]]*12,"")</f>
        <v>1272.7861828689029</v>
      </c>
    </row>
    <row r="11" spans="1:13" ht="15" x14ac:dyDescent="0.25">
      <c r="B11" s="5" t="s">
        <v>7</v>
      </c>
      <c r="C11" s="4" t="s">
        <v>14</v>
      </c>
      <c r="D11" s="27">
        <v>8000</v>
      </c>
      <c r="E11" s="28">
        <v>0.05</v>
      </c>
      <c r="F11" s="30">
        <f ca="1">DATE(YEAR(TODAY()),5,1)</f>
        <v>43586</v>
      </c>
      <c r="G11" s="1">
        <v>10</v>
      </c>
      <c r="H11" s="9">
        <f ca="1">IF(AND(ОбразовательныеКредиты[[#This Row],[Дата начала]]&gt;0,ОбразовательныеКредиты[[#This Row],[Продолжительность (лет)]]&gt;0),EDATE(ОбразовательныеКредиты[[#This Row],[Дата начала]],ОбразовательныеКредиты[[#This Row],[Продолжительность (лет)]]*12),"")</f>
        <v>47239</v>
      </c>
      <c r="I11" s="31">
        <f ca="1">IFERROR(IF(AND(LoanStartLToday,COUNT(ОбразовательныеКредиты[[#This Row],[Сумма кредита]:[Продолжительность (лет)]])=4,ОбразовательныеКредиты[[#This Row],[Дата начала]]&lt;=TODAY()),PMT(ОбразовательныеКредиты[[#This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кредита]],0,0),""),0)</f>
        <v>84.852412191260186</v>
      </c>
      <c r="J11" s="32">
        <f ca="1">IFERROR((ОбразовательныеКредиты[[#This Row],[Планируемые выплаты]]*(ОбразовательныеКредиты[[#This Row],[Продолжительность (лет)]]*12))-ОбразовательныеКредиты[[#This Row],[Сумма кредита]],"")</f>
        <v>2182.289462951223</v>
      </c>
      <c r="K11" s="33">
        <f ca="1">IF(COUNTA(ОбразовательныеКредиты[[#This Row],[Сумма кредита]:[Продолжительность (лет)]])&lt;&gt;4,"",PMT(ОбразовательныеКредиты[[#This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кредита]],0,0))</f>
        <v>84.852412191260186</v>
      </c>
      <c r="L11" s="32">
        <f ca="1">IFERROR(ОбразовательныеКредиты[[#This Row],[Планируемые выплаты]]*12,"")</f>
        <v>1018.2289462951222</v>
      </c>
    </row>
    <row r="12" spans="1:13" ht="15" x14ac:dyDescent="0.25">
      <c r="B12" s="5"/>
      <c r="C12" s="4"/>
      <c r="D12" s="27"/>
      <c r="E12" s="28"/>
      <c r="F12" s="30"/>
      <c r="G12" s="1"/>
      <c r="H12" s="9" t="str">
        <f>IF(AND(ОбразовательныеКредиты[[#This Row],[Дата начала]]&gt;0,ОбразовательныеКредиты[[#This Row],[Продолжительность (лет)]]&gt;0),EDATE(ОбразовательныеКредиты[[#This Row],[Дата начала]],ОбразовательныеКредиты[[#This Row],[Продолжительность (лет)]]*12),"")</f>
        <v/>
      </c>
      <c r="I12" s="31" t="str">
        <f ca="1">IFERROR(IF(AND(LoanStartLToday,COUNT(ОбразовательныеКредиты[[#This Row],[Сумма кредита]:[Продолжительность (лет)]])=4,ОбразовательныеКредиты[[#This Row],[Дата начала]]&lt;=TODAY()),PMT(ОбразовательныеКредиты[[#This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кредита]],0,0),""),0)</f>
        <v/>
      </c>
      <c r="J12" s="32" t="str">
        <f>IFERROR((ОбразовательныеКредиты[[#This Row],[Планируемые выплаты]]*(ОбразовательныеКредиты[[#This Row],[Продолжительность (лет)]]*12))-ОбразовательныеКредиты[[#This Row],[Сумма кредита]],"")</f>
        <v/>
      </c>
      <c r="K12" s="33" t="str">
        <f>IF(COUNTA(ОбразовательныеКредиты[[#This Row],[Сумма кредита]:[Продолжительность (лет)]])&lt;&gt;4,"",PMT(ОбразовательныеКредиты[[#This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кредита]],0,0))</f>
        <v/>
      </c>
      <c r="L12" s="32" t="str">
        <f>IFERROR(ОбразовательныеКредиты[[#This Row],[Планируемые выплаты]]*12,"")</f>
        <v/>
      </c>
    </row>
    <row r="13" spans="1:13" ht="15" x14ac:dyDescent="0.25">
      <c r="B13" s="5"/>
      <c r="C13" s="4"/>
      <c r="D13" s="27"/>
      <c r="E13" s="28"/>
      <c r="F13" s="30"/>
      <c r="G13" s="1"/>
      <c r="H13" s="9" t="str">
        <f>IF(AND(ОбразовательныеКредиты[[#This Row],[Дата начала]]&gt;0,ОбразовательныеКредиты[[#This Row],[Продолжительность (лет)]]&gt;0),EDATE(ОбразовательныеКредиты[[#This Row],[Дата начала]],ОбразовательныеКредиты[[#This Row],[Продолжительность (лет)]]*12),"")</f>
        <v/>
      </c>
      <c r="I13" s="31" t="str">
        <f ca="1">IFERROR(IF(AND(LoanStartLToday,COUNT(ОбразовательныеКредиты[[#This Row],[Сумма кредита]:[Продолжительность (лет)]])=4,ОбразовательныеКредиты[[#This Row],[Дата начала]]&lt;=TODAY()),PMT(ОбразовательныеКредиты[[#This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кредита]],0,0),""),0)</f>
        <v/>
      </c>
      <c r="J13" s="32" t="str">
        <f>IFERROR((ОбразовательныеКредиты[[#This Row],[Планируемые выплаты]]*(ОбразовательныеКредиты[[#This Row],[Продолжительность (лет)]]*12))-ОбразовательныеКредиты[[#This Row],[Сумма кредита]],"")</f>
        <v/>
      </c>
      <c r="K13" s="33" t="str">
        <f>IF(COUNTA(ОбразовательныеКредиты[[#This Row],[Сумма кредита]:[Продолжительность (лет)]])&lt;&gt;4,"",PMT(ОбразовательныеКредиты[[#This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кредита]],0,0))</f>
        <v/>
      </c>
      <c r="L13" s="32" t="str">
        <f>IFERROR(ОбразовательныеКредиты[[#This Row],[Планируемые выплаты]]*12,"")</f>
        <v/>
      </c>
    </row>
    <row r="14" spans="1:13" ht="15" x14ac:dyDescent="0.25">
      <c r="B14" s="5"/>
      <c r="C14" s="4"/>
      <c r="D14" s="27"/>
      <c r="E14" s="28"/>
      <c r="F14" s="30"/>
      <c r="G14" s="1"/>
      <c r="H14" s="9" t="str">
        <f>IF(AND(ОбразовательныеКредиты[[#This Row],[Дата начала]]&gt;0,ОбразовательныеКредиты[[#This Row],[Продолжительность (лет)]]&gt;0),EDATE(ОбразовательныеКредиты[[#This Row],[Дата начала]],ОбразовательныеКредиты[[#This Row],[Продолжительность (лет)]]*12),"")</f>
        <v/>
      </c>
      <c r="I14" s="31" t="str">
        <f ca="1">IFERROR(IF(AND(LoanStartLToday,COUNT(ОбразовательныеКредиты[[#This Row],[Сумма кредита]:[Продолжительность (лет)]])=4,ОбразовательныеКредиты[[#This Row],[Дата начала]]&lt;=TODAY()),PMT(ОбразовательныеКредиты[[#This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кредита]],0,0),""),0)</f>
        <v/>
      </c>
      <c r="J14" s="32" t="str">
        <f>IFERROR((ОбразовательныеКредиты[[#This Row],[Планируемые выплаты]]*(ОбразовательныеКредиты[[#This Row],[Продолжительность (лет)]]*12))-ОбразовательныеКредиты[[#This Row],[Сумма кредита]],"")</f>
        <v/>
      </c>
      <c r="K14" s="33" t="str">
        <f>IF(COUNTA(ОбразовательныеКредиты[[#This Row],[Сумма кредита]:[Продолжительность (лет)]])&lt;&gt;4,"",PMT(ОбразовательныеКредиты[[#This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кредита]],0,0))</f>
        <v/>
      </c>
      <c r="L14" s="32" t="str">
        <f>IFERROR(ОбразовательныеКредиты[[#This Row],[Планируемые выплаты]]*12,"")</f>
        <v/>
      </c>
    </row>
    <row r="15" spans="1:13" ht="15" x14ac:dyDescent="0.25">
      <c r="B15" s="5"/>
      <c r="C15" s="4"/>
      <c r="D15" s="27"/>
      <c r="E15" s="28"/>
      <c r="F15" s="30"/>
      <c r="G15" s="1"/>
      <c r="H15" s="9" t="str">
        <f>IF(AND(ОбразовательныеКредиты[[#This Row],[Дата начала]]&gt;0,ОбразовательныеКредиты[[#This Row],[Продолжительность (лет)]]&gt;0),EDATE(ОбразовательныеКредиты[[#This Row],[Дата начала]],ОбразовательныеКредиты[[#This Row],[Продолжительность (лет)]]*12),"")</f>
        <v/>
      </c>
      <c r="I15" s="31" t="str">
        <f ca="1">IFERROR(IF(AND(LoanStartLToday,COUNT(ОбразовательныеКредиты[[#This Row],[Сумма кредита]:[Продолжительность (лет)]])=4,ОбразовательныеКредиты[[#This Row],[Дата начала]]&lt;=TODAY()),PMT(ОбразовательныеКредиты[[#This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кредита]],0,0),""),0)</f>
        <v/>
      </c>
      <c r="J15" s="32" t="str">
        <f>IFERROR((ОбразовательныеКредиты[[#This Row],[Планируемые выплаты]]*(ОбразовательныеКредиты[[#This Row],[Продолжительность (лет)]]*12))-ОбразовательныеКредиты[[#This Row],[Сумма кредита]],"")</f>
        <v/>
      </c>
      <c r="K15" s="33" t="str">
        <f>IF(COUNTA(ОбразовательныеКредиты[[#This Row],[Сумма кредита]:[Продолжительность (лет)]])&lt;&gt;4,"",PMT(ОбразовательныеКредиты[[#This Row],[Годовая
процентная ставка]]/12,ОбразовательныеКредиты[[#This Row],[Продолжительность (лет)]]*12,-ОбразовательныеКредиты[[#This Row],[Сумма кредита]],0,0))</f>
        <v/>
      </c>
      <c r="L15" s="32" t="str">
        <f>IFERROR(ОбразовательныеКредиты[[#This Row],[Планируемые выплаты]]*12,"")</f>
        <v/>
      </c>
    </row>
    <row r="16" spans="1:13" ht="20.25" customHeight="1" x14ac:dyDescent="0.25">
      <c r="B16" s="17" t="s">
        <v>8</v>
      </c>
      <c r="C16" s="18"/>
      <c r="D16" s="35">
        <f>SUBTOTAL(109,ОбразовательныеКредиты[Сумма кредита])</f>
        <v>18000</v>
      </c>
      <c r="E16" s="19"/>
      <c r="F16" s="24"/>
      <c r="G16" s="25"/>
      <c r="H16" s="26"/>
      <c r="I16" s="34">
        <f ca="1">SUBTOTAL(109,ОбразовательныеКредиты[Текущий ежемесячный платеж])</f>
        <v>190.91792743033542</v>
      </c>
      <c r="J16" s="35">
        <f ca="1">SUBTOTAL(109,ОбразовательныеКредиты[Итоговая
процентная ставка])</f>
        <v>4910.1512916402517</v>
      </c>
      <c r="K16" s="36">
        <f ca="1">SUBTOTAL(109,ОбразовательныеКредиты[Планируемые выплаты])</f>
        <v>190.91792743033542</v>
      </c>
      <c r="L16" s="35">
        <f ca="1">SUBTOTAL(109,ОбразовательныеКредиты[Годовые
платежи])</f>
        <v>2291.015129164025</v>
      </c>
    </row>
    <row r="17" spans="2:12" ht="20.25" customHeight="1" x14ac:dyDescent="0.25">
      <c r="B17" s="11" t="s">
        <v>9</v>
      </c>
      <c r="C17" s="12"/>
      <c r="D17" s="37">
        <f>AVERAGE(ОбразовательныеКредиты[Сумма кредита])</f>
        <v>9000</v>
      </c>
      <c r="E17" s="38">
        <f>AVERAGE(ОбразовательныеКредиты[Годовая
процентная ставка])</f>
        <v>0.05</v>
      </c>
      <c r="F17" s="39"/>
      <c r="G17" s="39"/>
      <c r="H17" s="38"/>
      <c r="I17" s="40"/>
      <c r="J17" s="37">
        <f ca="1">AVERAGE(ОбразовательныеКредиты[Итоговая
процентная ставка])</f>
        <v>2455.0756458201258</v>
      </c>
      <c r="K17" s="41"/>
      <c r="L17" s="37">
        <f ca="1">AVERAGE(ОбразовательныеКредиты[Годовые
платежи])</f>
        <v>1145.5075645820125</v>
      </c>
    </row>
    <row r="18" spans="2:12" s="20" customFormat="1" ht="23.25" customHeight="1" x14ac:dyDescent="0.25">
      <c r="B18" s="42" t="s">
        <v>10</v>
      </c>
      <c r="C18" s="42"/>
      <c r="D18" s="42"/>
      <c r="E18" s="42"/>
      <c r="F18" s="42"/>
      <c r="G18" s="42"/>
      <c r="H18" s="42"/>
      <c r="I18" s="42"/>
      <c r="J18" s="42"/>
      <c r="K18" s="42"/>
      <c r="L18" s="43">
        <f ca="1">ОбразовательныеКредиты[[#Totals],[Сумма кредита]]+ОбразовательныеКредиты[[#Totals],[Итоговая
процентная ставка]]</f>
        <v>22910.15129164025</v>
      </c>
    </row>
    <row r="19" spans="2:12" s="20" customFormat="1" ht="23.25" customHeigh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2:12" ht="20.25" customHeight="1" x14ac:dyDescent="0.25">
      <c r="B20" s="44" t="s">
        <v>11</v>
      </c>
      <c r="C20" s="44"/>
      <c r="D20" s="44"/>
      <c r="E20" s="44"/>
      <c r="F20" s="44"/>
      <c r="G20" s="44"/>
      <c r="H20" s="44"/>
      <c r="I20" s="44"/>
      <c r="J20" s="44"/>
      <c r="K20" s="44"/>
      <c r="L20" s="43">
        <f>(EstimatedAnnualSalary/12)</f>
        <v>4166.666666666667</v>
      </c>
    </row>
    <row r="21" spans="2:12" ht="20.25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3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Создайте калькулятор образовательного кредита на этом листе. Введите сведения в таблице, начиная с ячейки B9, предполагаемую годовую зарплату в ячейке F2 и дату начала погашения кредита в ячейке K2" sqref="A1" xr:uid="{00000000-0002-0000-0000-000002000000}"/>
    <dataValidation allowBlank="1" showInputMessage="1" showErrorMessage="1" prompt="Введите в этой ячейке предполагаемую годовую зарплату после окончания обучения" sqref="F2:H2" xr:uid="{00000000-0002-0000-0000-000003000000}"/>
    <dataValidation allowBlank="1" showInputMessage="1" showErrorMessage="1" prompt="Введите в ячейке выше предполагаемую годовую зарплату после окончания обучения" sqref="F3:H3" xr:uid="{00000000-0002-0000-0000-000004000000}"/>
    <dataValidation allowBlank="1" showInputMessage="1" showErrorMessage="1" prompt="Введите в этой ячейке дату начала погашения кредитов" sqref="K2:L2" xr:uid="{00000000-0002-0000-0000-000005000000}"/>
    <dataValidation allowBlank="1" showInputMessage="1" showErrorMessage="1" prompt="Введите в ячейке выше дату начала погашения кредитов" sqref="K3:L3" xr:uid="{00000000-0002-0000-0000-000006000000}"/>
    <dataValidation allowBlank="1" showInputMessage="1" showErrorMessage="1" prompt="В ячейке справа автоматически вычисляется ваш объединенный текущий ежемесячный платеж" sqref="B5:D5" xr:uid="{00000000-0002-0000-0000-000007000000}"/>
    <dataValidation allowBlank="1" showInputMessage="1" showErrorMessage="1" prompt="В этой ячейке автоматически вычисляется ваш объединенный текущий ежемесячный платеж" sqref="E5:G5" xr:uid="{00000000-0002-0000-0000-000008000000}"/>
    <dataValidation allowBlank="1" showInputMessage="1" showErrorMessage="1" prompt="Процентное значение текущего дохода за месяц автоматически рассчитывается в ячейке справа" sqref="B6:D6" xr:uid="{00000000-0002-0000-0000-000009000000}"/>
    <dataValidation allowBlank="1" showInputMessage="1" showErrorMessage="1" prompt="Процентное значение текущего дохода за месяц автоматически рассчитывается в этой ячейке" sqref="E6:G6" xr:uid="{00000000-0002-0000-0000-00000A000000}"/>
    <dataValidation allowBlank="1" showInputMessage="1" showErrorMessage="1" prompt="В ячейке справа автоматически вычисляется ваш объединенный плановый ежемесячный платеж" sqref="H5:K5" xr:uid="{00000000-0002-0000-0000-00000B000000}"/>
    <dataValidation allowBlank="1" showInputMessage="1" showErrorMessage="1" prompt="В этой ячейке автоматически вычисляется ваш объединенный плановый ежемесячный платеж" sqref="L5" xr:uid="{00000000-0002-0000-0000-00000C000000}"/>
    <dataValidation allowBlank="1" showInputMessage="1" showErrorMessage="1" prompt="Процентное значение планового дохода за месяц автоматически рассчитывается в ячейке справа" sqref="H6:K6" xr:uid="{00000000-0002-0000-0000-00000D000000}"/>
    <dataValidation allowBlank="1" showInputMessage="1" showErrorMessage="1" prompt="Процентное значение планового дохода за месяц автоматически рассчитывается в этой ячейке" sqref="L6" xr:uid="{00000000-0002-0000-0000-00000E000000}"/>
    <dataValidation allowBlank="1" showInputMessage="1" showErrorMessage="1" prompt="Введите основные сведения о кредите в столбцах таблицы ниже" sqref="B8:E8" xr:uid="{00000000-0002-0000-0000-00000F000000}"/>
    <dataValidation allowBlank="1" showInputMessage="1" showErrorMessage="1" prompt="В столбце под этим заголовком введите номер кредита" sqref="B9" xr:uid="{00000000-0002-0000-0000-000010000000}"/>
    <dataValidation allowBlank="1" showInputMessage="1" showErrorMessage="1" prompt="В столбце под этим заголовком введите кредитора" sqref="C9" xr:uid="{00000000-0002-0000-0000-000011000000}"/>
    <dataValidation allowBlank="1" showInputMessage="1" showErrorMessage="1" prompt="В столбце под этим заголовком введите сумму кредита" sqref="D9" xr:uid="{00000000-0002-0000-0000-000012000000}"/>
    <dataValidation allowBlank="1" showInputMessage="1" showErrorMessage="1" prompt="В столбце под этим заголовком введите годовую процентную ставку" sqref="E9" xr:uid="{00000000-0002-0000-0000-000013000000}"/>
    <dataValidation allowBlank="1" showInputMessage="1" showErrorMessage="1" prompt="В столбцах таблицы ниже введите данные о погашении кредита" sqref="F8:H8" xr:uid="{00000000-0002-0000-0000-000014000000}"/>
    <dataValidation allowBlank="1" showInputMessage="1" showErrorMessage="1" prompt="В столбце под этим заголовком введите дату начала" sqref="F9" xr:uid="{00000000-0002-0000-0000-000015000000}"/>
    <dataValidation allowBlank="1" showInputMessage="1" showErrorMessage="1" prompt="В столбце под этим заголовком введите продолжительность в годах" sqref="G9" xr:uid="{00000000-0002-0000-0000-000016000000}"/>
    <dataValidation allowBlank="1" showInputMessage="1" showErrorMessage="1" prompt="В столбце под этим заголовком дата окончания обновляется автоматически" sqref="H9" xr:uid="{00000000-0002-0000-0000-000017000000}"/>
    <dataValidation allowBlank="1" showInputMessage="1" showErrorMessage="1" prompt="Сведения об оплате автоматически вычисляются в столбцах таблицы ниже" sqref="I8:L8" xr:uid="{00000000-0002-0000-0000-000018000000}"/>
    <dataValidation allowBlank="1" showInputMessage="1" showErrorMessage="1" prompt="В столбце под этим заголовком автоматически вычисляется текущий ежемесячный платеж" sqref="I9" xr:uid="{00000000-0002-0000-0000-000019000000}"/>
    <dataValidation allowBlank="1" showInputMessage="1" showErrorMessage="1" prompt="В столбце под этим заголовком автоматически вычисляется итоговая сумма процентов" sqref="J9" xr:uid="{00000000-0002-0000-0000-00001A000000}"/>
    <dataValidation allowBlank="1" showInputMessage="1" showErrorMessage="1" prompt="В столбце под этим заголовком автоматически вычисляется плановый платеж" sqref="K9" xr:uid="{00000000-0002-0000-0000-00001B000000}"/>
    <dataValidation allowBlank="1" showInputMessage="1" showErrorMessage="1" prompt="В столбце под этим заголовком автоматически вычисляется годовой платеж. Средние значения автоматически вычисляются под таблицей в этом столбце" sqref="L9" xr:uid="{00000000-0002-0000-0000-00001C000000}"/>
    <dataValidation allowBlank="1" showInputMessage="1" showErrorMessage="1" prompt="Средние значения суммы кредита, годовой процентной ставки, общей суммы процентов и годового платежа вычисляются автоматически, а диаграмма планового платежа обновляется в ячейке справа" sqref="B17" xr:uid="{00000000-0002-0000-0000-00001D000000}"/>
    <dataValidation allowBlank="1" showInputMessage="1" showErrorMessage="1" prompt="Среднее значение суммы кредита автоматически рассчитывается в этой ячейке" sqref="D17" xr:uid="{00000000-0002-0000-0000-00001E000000}"/>
    <dataValidation allowBlank="1" showInputMessage="1" showErrorMessage="1" prompt="Средняя годовая процентная ставка автоматически рассчитывается в этой ячейке" sqref="E17" xr:uid="{00000000-0002-0000-0000-00001F000000}"/>
    <dataValidation allowBlank="1" showInputMessage="1" showErrorMessage="1" prompt="Средняя сумма процентов автоматически рассчитывается в этой ячейке" sqref="J17" xr:uid="{00000000-0002-0000-0000-000020000000}"/>
    <dataValidation allowBlank="1" showInputMessage="1" showErrorMessage="1" prompt="Диаграмма среднего планового платежа автоматически обновляется в этой ячейке" sqref="K17" xr:uid="{00000000-0002-0000-0000-000021000000}"/>
    <dataValidation allowBlank="1" showInputMessage="1" showErrorMessage="1" prompt="Средний годовой платеж автоматически рассчитывается в этой ячейке, а итоговая сумма выплат для погашения кредита и предполагаемый ежемесячный доход после окончания обучения — в ячейках ниже" sqref="L17" xr:uid="{00000000-0002-0000-0000-000022000000}"/>
    <dataValidation allowBlank="1" showInputMessage="1" showErrorMessage="1" prompt="Итоговая сумма выплат для погашения кредита автоматически рассчитывается в ячейке справа" sqref="B18:K19" xr:uid="{00000000-0002-0000-0000-000023000000}"/>
    <dataValidation allowBlank="1" showInputMessage="1" showErrorMessage="1" prompt="Итоговая сумма выплат для погашения кредита автоматически рассчитывается в этой ячейке" sqref="L18:L19" xr:uid="{00000000-0002-0000-0000-000024000000}"/>
    <dataValidation allowBlank="1" showInputMessage="1" showErrorMessage="1" prompt="Предполагаемый ежемесячный доход после окончания обучения автоматически рассчитывается в ячейке справа" sqref="B20:K21" xr:uid="{00000000-0002-0000-0000-000025000000}"/>
    <dataValidation allowBlank="1" showInputMessage="1" showErrorMessage="1" prompt="Предполагаемый ежемесячный доход после окончания обучения автоматически рассчитывается в этой ячейке" sqref="L20:L21" xr:uid="{00000000-0002-0000-0000-000026000000}"/>
    <dataValidation allowBlank="1" showInputMessage="1" showErrorMessage="1" prompt="В этой ячейке указан заголовок листа, а в ячейке B4 представлен совет. Средние значения, итоговая сумма выплат для погашения кредита и предполагаемый ежемесячный доход автоматически вычисляются под таблицей " sqref="B2:C2" xr:uid="{00000000-0002-0000-0000-000027000000}"/>
    <dataValidation allowBlank="1" showInputMessage="1" showErrorMessage="1" prompt="Объединенные текущие и плановые платежи за месяц, а также процентное значение текущего и планового дохода за месяц автоматически рассчитываются ячейках E5, E6, L5 и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'Кредитный калькулятор'!K10:K15</xm:f>
              <xm:sqref>K17</xm:sqref>
            </x14:sparkline>
            <x14:sparkline>
              <xm:f>'Кредитный калькулятор'!I10:I15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Кредитный калькулятор</vt:lpstr>
      <vt:lpstr>CombinedMonthlyPayment</vt:lpstr>
      <vt:lpstr>ConsLoanPayback</vt:lpstr>
      <vt:lpstr>EstimatedAnnualSalary</vt:lpstr>
      <vt:lpstr>EstimatedMonthlySalary</vt:lpstr>
      <vt:lpstr>LoanPaybackStart</vt:lpstr>
      <vt:lpstr>'Кредитный калькулятор'!Заголовки_для_печати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2019-05-23T02:19:46Z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