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filterPrivacy="1" codeName="ThisWorkbook"/>
  <xr:revisionPtr revIDLastSave="0" documentId="13_ncr:1_{DC037936-2197-4C97-A2F8-B58BD081426A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Buget de nuntă" sheetId="1" r:id="rId1"/>
    <sheet name="Detaliile bugetului" sheetId="2" r:id="rId2"/>
  </sheets>
  <definedNames>
    <definedName name="_xlnm.Print_Titles" localSheetId="1">'Detaliile bugetului'!$1:$3</definedName>
    <definedName name="TBL_RankingData">'Buget de nuntă'!$J$6:$N$15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0" i="2" l="1"/>
  <c r="E89" i="2"/>
  <c r="E88" i="2"/>
  <c r="E87" i="2"/>
  <c r="E86" i="2"/>
  <c r="E81" i="2"/>
  <c r="E80" i="2"/>
  <c r="E75" i="2"/>
  <c r="E74" i="2"/>
  <c r="E73" i="2"/>
  <c r="E72" i="2"/>
  <c r="E71" i="2"/>
  <c r="E70" i="2"/>
  <c r="E69" i="2"/>
  <c r="E68" i="2"/>
  <c r="E63" i="2"/>
  <c r="E62" i="2"/>
  <c r="E61" i="2"/>
  <c r="E56" i="2"/>
  <c r="E55" i="2"/>
  <c r="E54" i="2"/>
  <c r="E49" i="2"/>
  <c r="E48" i="2"/>
  <c r="E47" i="2"/>
  <c r="E46" i="2"/>
  <c r="E41" i="2"/>
  <c r="E40" i="2"/>
  <c r="E39" i="2"/>
  <c r="E38" i="2"/>
  <c r="E37" i="2"/>
  <c r="E32" i="2"/>
  <c r="E31" i="2"/>
  <c r="E30" i="2"/>
  <c r="E29" i="2"/>
  <c r="E28" i="2"/>
  <c r="E27" i="2"/>
  <c r="E26" i="2"/>
  <c r="E25" i="2"/>
  <c r="E24" i="2"/>
  <c r="E19" i="2"/>
  <c r="E18" i="2"/>
  <c r="E17" i="2"/>
  <c r="E16" i="2"/>
  <c r="E15" i="2"/>
  <c r="E14" i="2"/>
  <c r="D64" i="2" l="1"/>
  <c r="L12" i="1" s="1"/>
  <c r="C64" i="2"/>
  <c r="K12" i="1" s="1"/>
  <c r="M12" i="1" s="1"/>
  <c r="D57" i="2"/>
  <c r="L11" i="1" s="1"/>
  <c r="C57" i="2"/>
  <c r="K11" i="1" s="1"/>
  <c r="M11" i="1" s="1"/>
  <c r="D50" i="2"/>
  <c r="L10" i="1" s="1"/>
  <c r="C50" i="2"/>
  <c r="K10" i="1" s="1"/>
  <c r="M10" i="1" s="1"/>
  <c r="D42" i="2"/>
  <c r="L9" i="1" s="1"/>
  <c r="C42" i="2"/>
  <c r="K9" i="1" s="1"/>
  <c r="M9" i="1" s="1"/>
  <c r="D33" i="2"/>
  <c r="L8" i="1" s="1"/>
  <c r="C33" i="2"/>
  <c r="K8" i="1" s="1"/>
  <c r="M8" i="1" s="1"/>
  <c r="D76" i="2"/>
  <c r="L13" i="1" s="1"/>
  <c r="C76" i="2"/>
  <c r="K13" i="1" s="1"/>
  <c r="M13" i="1" s="1"/>
  <c r="D82" i="2"/>
  <c r="L14" i="1" s="1"/>
  <c r="C82" i="2"/>
  <c r="K14" i="1" s="1"/>
  <c r="M14" i="1" s="1"/>
  <c r="D91" i="2"/>
  <c r="L15" i="1" s="1"/>
  <c r="C91" i="2"/>
  <c r="K15" i="1" s="1"/>
  <c r="M15" i="1" s="1"/>
  <c r="D20" i="2"/>
  <c r="L7" i="1" s="1"/>
  <c r="C20" i="2"/>
  <c r="K7" i="1" s="1"/>
  <c r="M7" i="1" s="1"/>
  <c r="D10" i="2"/>
  <c r="L6" i="1" s="1"/>
  <c r="C10" i="2"/>
  <c r="K6" i="1" s="1"/>
  <c r="M6" i="1" s="1"/>
  <c r="E9" i="2"/>
  <c r="E8" i="2"/>
  <c r="E7" i="2"/>
  <c r="E6" i="2"/>
  <c r="E5" i="2"/>
  <c r="N12" i="1" l="1"/>
  <c r="N9" i="1"/>
  <c r="N15" i="1"/>
  <c r="N10" i="1"/>
  <c r="N7" i="1"/>
  <c r="N6" i="1"/>
  <c r="N11" i="1"/>
  <c r="N8" i="1"/>
  <c r="N13" i="1"/>
  <c r="N14" i="1"/>
  <c r="P6" i="1"/>
  <c r="E91" i="2"/>
  <c r="E82" i="2"/>
  <c r="E76" i="2"/>
  <c r="E64" i="2"/>
  <c r="E57" i="2"/>
  <c r="E50" i="2"/>
  <c r="E42" i="2"/>
  <c r="E33" i="2"/>
  <c r="E20" i="2"/>
  <c r="E10" i="2"/>
  <c r="B6" i="1" l="1"/>
  <c r="C6" i="1" s="1"/>
  <c r="P7" i="1"/>
  <c r="B7" i="1" s="1"/>
  <c r="D7" i="1" s="1"/>
  <c r="P8" i="1"/>
  <c r="B8" i="1" s="1"/>
  <c r="C8" i="1" s="1"/>
  <c r="P10" i="1"/>
  <c r="B10" i="1" s="1"/>
  <c r="D10" i="1" s="1"/>
  <c r="P9" i="1"/>
  <c r="B9" i="1" s="1"/>
  <c r="C9" i="1" s="1"/>
  <c r="P14" i="1"/>
  <c r="B14" i="1" s="1"/>
  <c r="C14" i="1" s="1"/>
  <c r="P15" i="1"/>
  <c r="B15" i="1" s="1"/>
  <c r="C15" i="1" s="1"/>
  <c r="P12" i="1"/>
  <c r="P11" i="1"/>
  <c r="B11" i="1" s="1"/>
  <c r="D11" i="1" s="1"/>
  <c r="P13" i="1"/>
  <c r="B13" i="1" s="1"/>
  <c r="C13" i="1" s="1"/>
  <c r="D6" i="1"/>
  <c r="B12" i="1" l="1"/>
  <c r="D12" i="1" s="1"/>
  <c r="C12" i="1"/>
  <c r="C7" i="1"/>
  <c r="D9" i="1"/>
  <c r="E9" i="1" s="1"/>
  <c r="C11" i="1"/>
  <c r="E11" i="1" s="1"/>
  <c r="D13" i="1"/>
  <c r="E13" i="1" s="1"/>
  <c r="D14" i="1"/>
  <c r="E14" i="1" s="1"/>
  <c r="C10" i="1"/>
  <c r="E10" i="1" s="1"/>
  <c r="D8" i="1"/>
  <c r="E8" i="1" s="1"/>
  <c r="D15" i="1"/>
  <c r="E15" i="1" s="1"/>
  <c r="E6" i="1"/>
  <c r="E12" i="1" l="1"/>
  <c r="E7" i="1"/>
  <c r="C16" i="1"/>
  <c r="D16" i="1"/>
  <c r="F6" i="1"/>
  <c r="F13" i="1"/>
  <c r="F10" i="1"/>
  <c r="F15" i="1"/>
  <c r="F14" i="1"/>
  <c r="F9" i="1"/>
  <c r="F12" i="1"/>
  <c r="F11" i="1"/>
  <c r="F7" i="1"/>
  <c r="F8" i="1"/>
  <c r="F16" i="1" l="1"/>
  <c r="E16" i="1"/>
</calcChain>
</file>

<file path=xl/sharedStrings.xml><?xml version="1.0" encoding="utf-8"?>
<sst xmlns="http://schemas.openxmlformats.org/spreadsheetml/2006/main" count="128" uniqueCount="89">
  <si>
    <t>CATEGORIE</t>
  </si>
  <si>
    <t>Total</t>
  </si>
  <si>
    <t>COSTUL ESTIMAT</t>
  </si>
  <si>
    <t>COST REAL</t>
  </si>
  <si>
    <t>VARIANȚĂ</t>
  </si>
  <si>
    <t>BUGET %</t>
  </si>
  <si>
    <t xml:space="preserve"> </t>
  </si>
  <si>
    <t>Nesortate</t>
  </si>
  <si>
    <t>Recepție</t>
  </si>
  <si>
    <t>Îmbrăcăminte</t>
  </si>
  <si>
    <t>Flori și decorațiuni</t>
  </si>
  <si>
    <t>Muzică</t>
  </si>
  <si>
    <t>Fotografii și videoclipuri</t>
  </si>
  <si>
    <t>Favoruri și daruri</t>
  </si>
  <si>
    <t>Ceremonie</t>
  </si>
  <si>
    <t>Papetărie</t>
  </si>
  <si>
    <t>Verighete</t>
  </si>
  <si>
    <t>Transport</t>
  </si>
  <si>
    <t>Costuri estimate</t>
  </si>
  <si>
    <t>Costuri reale</t>
  </si>
  <si>
    <t>Cost estimat - Valoare loc</t>
  </si>
  <si>
    <t>Loc</t>
  </si>
  <si>
    <t>Nr.</t>
  </si>
  <si>
    <t>Sortate</t>
  </si>
  <si>
    <t>DETALIILE BUGETULUI</t>
  </si>
  <si>
    <t>RECEPȚIE</t>
  </si>
  <si>
    <t>Locul de desfășurare și închirieri</t>
  </si>
  <si>
    <t>Mâncare și servicii</t>
  </si>
  <si>
    <t>Băuturi</t>
  </si>
  <si>
    <t>Tort</t>
  </si>
  <si>
    <t>Diverse taxe</t>
  </si>
  <si>
    <t>TOTAL RECEPȚIE</t>
  </si>
  <si>
    <t>ÎMBRĂCĂMINTE</t>
  </si>
  <si>
    <t>Smoching, costum și/sau rochii</t>
  </si>
  <si>
    <t>Modificări</t>
  </si>
  <si>
    <t>Coroniță și voal</t>
  </si>
  <si>
    <t>Accesorii</t>
  </si>
  <si>
    <t>Coafură și machiaj</t>
  </si>
  <si>
    <t>TOTAL ÎMBRĂCĂMINTE</t>
  </si>
  <si>
    <t>FLORI ȘI DECORAȚIUNI</t>
  </si>
  <si>
    <t>ARANJAMENTE FLORALE PENTRU CEREMONIE</t>
  </si>
  <si>
    <t>Flori și coș cu flori pentru domnișoarele de onoare</t>
  </si>
  <si>
    <t>Pernuță pentru verighete</t>
  </si>
  <si>
    <t>Buchete</t>
  </si>
  <si>
    <t>Cocarde</t>
  </si>
  <si>
    <t>Ornamente florale</t>
  </si>
  <si>
    <t>Decorațiuni recepție</t>
  </si>
  <si>
    <t>Iluminat</t>
  </si>
  <si>
    <t>TOTAL FLORI ȘI DECORAȚIUNI</t>
  </si>
  <si>
    <t>MUZICĂ</t>
  </si>
  <si>
    <t>Muzicieni pentru ceremonie</t>
  </si>
  <si>
    <t>Muzicieni pentru „cocktail hour”</t>
  </si>
  <si>
    <t>Trupa pentru recepție, DJ sau divertisment</t>
  </si>
  <si>
    <t>Închirieri de sisteme audio sau de ring de dans</t>
  </si>
  <si>
    <t>TOTAL MUZICĂ</t>
  </si>
  <si>
    <t>FOTOGRAFII ȘI VIDEOCLIPURI</t>
  </si>
  <si>
    <t>Fotografii</t>
  </si>
  <si>
    <t>Înregistrări video</t>
  </si>
  <si>
    <t>Alte printuri și albume</t>
  </si>
  <si>
    <t>TOTAL FOTOGRAFII ȘI VIDEOCLIPURI</t>
  </si>
  <si>
    <t>FAVORURI ȘI DARURI</t>
  </si>
  <si>
    <t>Daruri de bun venit</t>
  </si>
  <si>
    <t>Daruri de petrecere</t>
  </si>
  <si>
    <t>TOTAL FAVORURI ȘI DARURI</t>
  </si>
  <si>
    <t>CEREMONIE</t>
  </si>
  <si>
    <t>Taxă locație</t>
  </si>
  <si>
    <t>Taxa de oficiant sau donație către biserică</t>
  </si>
  <si>
    <t>TOTAL CEREMONIE</t>
  </si>
  <si>
    <t>PAPETĂRIE</t>
  </si>
  <si>
    <t>Pre-invitații</t>
  </si>
  <si>
    <t>Invitații și confirmări</t>
  </si>
  <si>
    <t>Programe</t>
  </si>
  <si>
    <t>Carduri cu aranjarea la mese</t>
  </si>
  <si>
    <t>Meniuri</t>
  </si>
  <si>
    <t>Note de mulțumire</t>
  </si>
  <si>
    <t>Cheltuieli poștale</t>
  </si>
  <si>
    <t>TOTAL PAPETĂRIE</t>
  </si>
  <si>
    <t>VERIGHETE</t>
  </si>
  <si>
    <t>Accesorii inel</t>
  </si>
  <si>
    <t>TOTAL VERIGHETE</t>
  </si>
  <si>
    <t xml:space="preserve">TRANSPORT  </t>
  </si>
  <si>
    <t>Închiriere mașină principală</t>
  </si>
  <si>
    <t>Închiriere mașini pentru oaspeți</t>
  </si>
  <si>
    <t>Transport pentru oaspeții din afara orașului</t>
  </si>
  <si>
    <t>Parcare cu valet</t>
  </si>
  <si>
    <t>TOTAL TRANSPORT</t>
  </si>
  <si>
    <t>ESTIMAT</t>
  </si>
  <si>
    <t>REAL</t>
  </si>
  <si>
    <r>
      <rPr>
        <b/>
        <sz val="28"/>
        <color theme="3"/>
        <rFont val="Arial"/>
        <family val="2"/>
        <charset val="238"/>
      </rPr>
      <t>LISHA</t>
    </r>
    <r>
      <rPr>
        <b/>
        <sz val="28"/>
        <color theme="1" tint="0.14999847407452621"/>
        <rFont val="Arial"/>
        <family val="2"/>
        <charset val="238"/>
      </rPr>
      <t xml:space="preserve"> </t>
    </r>
    <r>
      <rPr>
        <b/>
        <sz val="28"/>
        <color theme="1"/>
        <rFont val="Arial"/>
        <family val="2"/>
        <charset val="238"/>
      </rPr>
      <t>+</t>
    </r>
    <r>
      <rPr>
        <b/>
        <sz val="28"/>
        <color theme="3"/>
        <rFont val="Arial"/>
        <family val="2"/>
        <charset val="238"/>
      </rPr>
      <t xml:space="preserve"> DANIEL</t>
    </r>
    <r>
      <rPr>
        <b/>
        <sz val="11"/>
        <color theme="1" tint="0.14999847407452621"/>
        <rFont val="Arial"/>
        <family val="2"/>
        <charset val="238"/>
      </rPr>
      <t xml:space="preserve">
</t>
    </r>
    <r>
      <rPr>
        <b/>
        <sz val="32"/>
        <color theme="1"/>
        <rFont val="Arial"/>
        <family val="2"/>
        <charset val="238"/>
      </rPr>
      <t>SE CĂSĂTORESC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</si>
</sst>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(* #,##0_);_(* \(#,##0\);_(* &quot;-&quot;_);_(@_)"/>
    <numFmt numFmtId="43" formatCode="_(* #,##0.00_);_(* \(#,##0.00\);_(* &quot;-&quot;??_);_(@_)"/>
    <numFmt numFmtId="164" formatCode="#,##0\ &quot;lei&quot;;[Red]\-#,##0\ &quot;lei&quot;"/>
    <numFmt numFmtId="165" formatCode="#,##0.00\ &quot;lei&quot;;[Red]\-#,##0.00\ &quot;lei&quot;"/>
    <numFmt numFmtId="166" formatCode="_-* #,##0\ &quot;lei&quot;_-;\-* #,##0\ &quot;lei&quot;_-;_-* &quot;-&quot;\ &quot;lei&quot;_-;_-@_-"/>
    <numFmt numFmtId="167" formatCode="_-* #,##0.00\ &quot;lei&quot;_-;\-* #,##0.00\ &quot;lei&quot;_-;_-* &quot;-&quot;??\ &quot;lei&quot;_-;_-@_-"/>
    <numFmt numFmtId="168" formatCode="0.0%"/>
  </numFmts>
  <fonts count="3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sz val="10"/>
      <color theme="1" tint="0.14999847407452621"/>
      <name val="Arial"/>
      <family val="2"/>
      <charset val="238"/>
    </font>
    <font>
      <sz val="11"/>
      <color theme="1" tint="0.14999847407452621"/>
      <name val="Arial"/>
      <family val="2"/>
      <charset val="238"/>
    </font>
    <font>
      <b/>
      <sz val="28"/>
      <color theme="1" tint="0.14999847407452621"/>
      <name val="Arial"/>
      <family val="2"/>
      <charset val="238"/>
    </font>
    <font>
      <b/>
      <sz val="16"/>
      <color theme="3"/>
      <name val="Arial"/>
      <family val="2"/>
      <charset val="238"/>
    </font>
    <font>
      <b/>
      <sz val="10"/>
      <color theme="3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3"/>
      <name val="Arial"/>
      <family val="2"/>
      <charset val="238"/>
    </font>
    <font>
      <sz val="11"/>
      <color theme="0"/>
      <name val="Arial"/>
      <family val="2"/>
      <charset val="238"/>
    </font>
    <font>
      <sz val="10"/>
      <color rgb="FF43646B"/>
      <name val="Arial"/>
      <family val="2"/>
      <charset val="238"/>
    </font>
    <font>
      <sz val="11"/>
      <color rgb="FF43646B"/>
      <name val="Arial"/>
      <family val="2"/>
      <charset val="238"/>
    </font>
    <font>
      <sz val="36"/>
      <color theme="3"/>
      <name val="Franklin Gothic Medium Cond"/>
      <family val="2"/>
      <charset val="238"/>
      <scheme val="major"/>
    </font>
    <font>
      <b/>
      <sz val="11"/>
      <color theme="1" tint="0.14999847407452621"/>
      <name val="Arial"/>
      <family val="2"/>
      <charset val="238"/>
    </font>
    <font>
      <b/>
      <sz val="28"/>
      <color theme="3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32"/>
      <color theme="1"/>
      <name val="Arial"/>
      <family val="2"/>
      <charset val="238"/>
    </font>
    <font>
      <sz val="8"/>
      <color theme="1" tint="0.14999847407452621"/>
      <name val="Arial"/>
      <family val="2"/>
      <charset val="238"/>
    </font>
    <font>
      <b/>
      <sz val="14"/>
      <color rgb="FF17A1AB"/>
      <name val="Arial"/>
      <family val="2"/>
      <charset val="238"/>
    </font>
    <font>
      <b/>
      <sz val="9"/>
      <color rgb="FF818B8A"/>
      <name val="Arial"/>
      <family val="2"/>
      <charset val="238"/>
    </font>
    <font>
      <b/>
      <sz val="11"/>
      <color theme="4" tint="-0.249977111117893"/>
      <name val="Arial"/>
      <family val="2"/>
      <charset val="238"/>
    </font>
    <font>
      <sz val="11"/>
      <color theme="4" tint="-0.249977111117893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4" borderId="0" applyNumberFormat="0" applyBorder="0" applyAlignment="0" applyProtection="0"/>
    <xf numFmtId="0" fontId="16" fillId="5" borderId="16" applyNumberFormat="0" applyAlignment="0" applyProtection="0"/>
    <xf numFmtId="0" fontId="15" fillId="6" borderId="17" applyNumberFormat="0" applyAlignment="0" applyProtection="0"/>
    <xf numFmtId="0" fontId="9" fillId="6" borderId="16" applyNumberFormat="0" applyAlignment="0" applyProtection="0"/>
    <xf numFmtId="0" fontId="13" fillId="0" borderId="18" applyNumberFormat="0" applyFill="0" applyAlignment="0" applyProtection="0"/>
    <xf numFmtId="0" fontId="10" fillId="7" borderId="19" applyNumberFormat="0" applyAlignment="0" applyProtection="0"/>
    <xf numFmtId="0" fontId="12" fillId="0" borderId="0" applyNumberFormat="0" applyFill="0" applyBorder="0" applyAlignment="0" applyProtection="0"/>
    <xf numFmtId="0" fontId="1" fillId="8" borderId="20" applyNumberFormat="0" applyFont="0" applyAlignment="0" applyProtection="0"/>
    <xf numFmtId="0" fontId="11" fillId="0" borderId="0" applyNumberFormat="0" applyFill="0" applyBorder="0" applyAlignment="0" applyProtection="0"/>
    <xf numFmtId="0" fontId="8" fillId="0" borderId="21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7">
    <xf numFmtId="0" fontId="0" fillId="0" borderId="0" xfId="0"/>
    <xf numFmtId="0" fontId="18" fillId="0" borderId="0" xfId="0" applyFont="1" applyFill="1" applyBorder="1" applyAlignment="1">
      <alignment horizontal="left" vertical="center" inden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 indent="1"/>
    </xf>
    <xf numFmtId="165" fontId="19" fillId="0" borderId="0" xfId="0" applyNumberFormat="1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165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indent="1"/>
    </xf>
    <xf numFmtId="165" fontId="22" fillId="0" borderId="12" xfId="0" applyNumberFormat="1" applyFont="1" applyFill="1" applyBorder="1" applyAlignment="1">
      <alignment horizontal="center" vertical="center"/>
    </xf>
    <xf numFmtId="165" fontId="22" fillId="0" borderId="9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left" vertical="center" indent="1"/>
    </xf>
    <xf numFmtId="165" fontId="24" fillId="0" borderId="8" xfId="0" applyNumberFormat="1" applyFont="1" applyFill="1" applyBorder="1" applyAlignment="1">
      <alignment horizontal="center" vertical="center"/>
    </xf>
    <xf numFmtId="165" fontId="24" fillId="0" borderId="7" xfId="0" applyNumberFormat="1" applyFont="1" applyFill="1" applyBorder="1" applyAlignment="1">
      <alignment horizontal="center" vertical="center"/>
    </xf>
    <xf numFmtId="165" fontId="24" fillId="0" borderId="6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 indent="1"/>
    </xf>
    <xf numFmtId="165" fontId="24" fillId="0" borderId="0" xfId="0" applyNumberFormat="1" applyFont="1" applyFill="1" applyBorder="1" applyAlignment="1">
      <alignment horizontal="center" vertical="center"/>
    </xf>
    <xf numFmtId="165" fontId="24" fillId="0" borderId="9" xfId="0" applyNumberFormat="1" applyFont="1" applyFill="1" applyBorder="1" applyAlignment="1">
      <alignment horizontal="center" vertical="center"/>
    </xf>
    <xf numFmtId="165" fontId="24" fillId="0" borderId="12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1"/>
    </xf>
    <xf numFmtId="165" fontId="24" fillId="0" borderId="11" xfId="0" applyNumberFormat="1" applyFont="1" applyFill="1" applyBorder="1" applyAlignment="1">
      <alignment horizontal="center" vertical="center"/>
    </xf>
    <xf numFmtId="165" fontId="24" fillId="0" borderId="5" xfId="0" applyNumberFormat="1" applyFont="1" applyFill="1" applyBorder="1" applyAlignment="1">
      <alignment horizontal="center" vertical="center"/>
    </xf>
    <xf numFmtId="165" fontId="24" fillId="0" borderId="4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1"/>
    </xf>
    <xf numFmtId="165" fontId="25" fillId="0" borderId="2" xfId="0" applyNumberFormat="1" applyFont="1" applyFill="1" applyBorder="1" applyAlignment="1">
      <alignment horizontal="center" vertical="center"/>
    </xf>
    <xf numFmtId="165" fontId="25" fillId="0" borderId="3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5" fontId="19" fillId="0" borderId="11" xfId="0" applyNumberFormat="1" applyFont="1" applyFill="1" applyBorder="1" applyAlignment="1">
      <alignment horizontal="center" vertical="center"/>
    </xf>
    <xf numFmtId="165" fontId="22" fillId="0" borderId="2" xfId="0" applyNumberFormat="1" applyFont="1" applyFill="1" applyBorder="1" applyAlignment="1">
      <alignment horizontal="center" vertical="center"/>
    </xf>
    <xf numFmtId="165" fontId="22" fillId="0" borderId="3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left" vertical="center" indent="1"/>
    </xf>
    <xf numFmtId="165" fontId="24" fillId="0" borderId="0" xfId="0" applyNumberFormat="1" applyFont="1" applyFill="1" applyAlignment="1">
      <alignment horizontal="center" vertical="center"/>
    </xf>
    <xf numFmtId="0" fontId="27" fillId="0" borderId="6" xfId="0" applyFont="1" applyFill="1" applyBorder="1" applyAlignment="1">
      <alignment horizontal="left" vertical="center" indent="1"/>
    </xf>
    <xf numFmtId="165" fontId="28" fillId="0" borderId="0" xfId="0" applyNumberFormat="1" applyFont="1" applyFill="1" applyAlignment="1">
      <alignment horizontal="center" vertical="center"/>
    </xf>
    <xf numFmtId="0" fontId="27" fillId="0" borderId="4" xfId="0" applyFont="1" applyFill="1" applyBorder="1" applyAlignment="1">
      <alignment horizontal="left" vertical="center" indent="1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indent="1"/>
    </xf>
    <xf numFmtId="0" fontId="3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 indent="1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indent="1"/>
    </xf>
    <xf numFmtId="0" fontId="30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19" fillId="0" borderId="0" xfId="0" quotePrefix="1" applyFont="1" applyAlignment="1">
      <alignment horizontal="center" vertical="center"/>
    </xf>
    <xf numFmtId="0" fontId="36" fillId="0" borderId="0" xfId="0" applyFont="1" applyFill="1" applyBorder="1" applyAlignment="1">
      <alignment horizontal="left" vertical="center" indent="1"/>
    </xf>
    <xf numFmtId="168" fontId="36" fillId="0" borderId="0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indent="1"/>
    </xf>
    <xf numFmtId="9" fontId="35" fillId="0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164" fontId="36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152">
    <dxf>
      <font>
        <strike val="0"/>
        <outline val="0"/>
        <shadow val="0"/>
        <u val="none"/>
        <vertAlign val="baseline"/>
        <color theme="3"/>
        <name val="Arial"/>
        <family val="2"/>
        <charset val="238"/>
        <scheme val="none"/>
      </font>
      <numFmt numFmtId="165" formatCode="#,##0.00\ &quot;lei&quot;;[Red]\-#,##0.00\ &quot;lei&quot;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65" formatCode="#,##0.00\ &quot;lei&quot;;[Red]\-#,##0.00\ &quot;lei&quot;"/>
    </dxf>
    <dxf>
      <font>
        <strike val="0"/>
        <outline val="0"/>
        <shadow val="0"/>
        <u val="none"/>
        <vertAlign val="baseline"/>
        <color theme="3"/>
        <name val="Arial"/>
        <family val="2"/>
        <charset val="238"/>
        <scheme val="none"/>
      </font>
      <numFmt numFmtId="165" formatCode="#,##0.00\ &quot;lei&quot;;[Red]\-#,##0.00\ &quot;lei&quot;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65" formatCode="#,##0.00\ &quot;lei&quot;;[Red]\-#,##0.0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65" formatCode="#,##0.00\ &quot;lei&quot;;[Red]\-#,##0.00\ &quot;lei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family val="2"/>
        <charset val="238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3646B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3646B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3646B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3646B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3646B"/>
        <name val="Arial"/>
        <family val="2"/>
        <charset val="238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family val="2"/>
        <charset val="238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family val="2"/>
        <charset val="238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family val="2"/>
        <charset val="238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family val="2"/>
        <charset val="238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family val="2"/>
        <charset val="238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family val="2"/>
        <charset val="238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family val="2"/>
        <charset val="238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family val="2"/>
        <charset val="238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  <numFmt numFmtId="165" formatCode="#,##0.00\ &quot;lei&quot;;[Red]\-#,##0.0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strike val="0"/>
        <outline val="0"/>
        <shadow val="0"/>
        <u val="none"/>
        <vertAlign val="baseline"/>
        <sz val="11"/>
        <color theme="3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7A1AB"/>
        <name val="Arial"/>
        <family val="2"/>
        <charset val="23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818B8A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7A1AB"/>
        <name val="Arial"/>
        <family val="2"/>
        <charset val="238"/>
        <scheme val="none"/>
      </font>
      <numFmt numFmtId="169" formatCode="#,##0\ &quot;lei&quot;;[Red]#,##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color rgb="FF818B8A"/>
        <name val="Arial"/>
        <family val="2"/>
        <charset val="238"/>
        <scheme val="none"/>
      </font>
      <numFmt numFmtId="164" formatCode="#,##0\ &quot;lei&quot;;[Red]\-#,##0\ &quot;lei&quot;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7A1AB"/>
        <name val="Arial"/>
        <family val="2"/>
        <charset val="238"/>
        <scheme val="none"/>
      </font>
      <numFmt numFmtId="169" formatCode="#,##0\ &quot;lei&quot;;[Red]#,##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color rgb="FF818B8A"/>
        <name val="Arial"/>
        <family val="2"/>
        <charset val="238"/>
        <scheme val="none"/>
      </font>
      <numFmt numFmtId="164" formatCode="#,##0\ &quot;lei&quot;;[Red]\-#,##0\ &quot;lei&quot;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7A1AB"/>
        <name val="Arial"/>
        <family val="2"/>
        <charset val="238"/>
        <scheme val="none"/>
      </font>
      <numFmt numFmtId="169" formatCode="#,##0\ &quot;lei&quot;;[Red]#,##0\ &quot;le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color rgb="FF818B8A"/>
        <name val="Arial"/>
        <family val="2"/>
        <charset val="238"/>
        <scheme val="none"/>
      </font>
      <numFmt numFmtId="164" formatCode="#,##0\ &quot;lei&quot;;[Red]\-#,##0\ &quot;lei&quot;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7A1AB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b/>
        <strike val="0"/>
        <outline val="0"/>
        <shadow val="0"/>
        <u val="none"/>
        <vertAlign val="baseline"/>
        <sz val="14"/>
        <color rgb="FF17A1AB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818B8A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7A1AB"/>
        <name val="Arial"/>
        <family val="2"/>
        <charset val="238"/>
        <scheme val="none"/>
      </font>
      <fill>
        <patternFill patternType="solid">
          <fgColor indexed="64"/>
          <bgColor rgb="FF43646B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i val="0"/>
      </font>
      <fill>
        <patternFill patternType="none">
          <bgColor auto="1"/>
        </patternFill>
      </fill>
      <border>
        <top style="medium">
          <color theme="4"/>
        </top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medium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StyleMedium3 2" pivot="0" count="7" xr9:uid="{00000000-0011-0000-FFFF-FFFF00000000}">
      <tableStyleElement type="wholeTable" dxfId="151"/>
      <tableStyleElement type="headerRow" dxfId="150"/>
      <tableStyleElement type="totalRow" dxfId="149"/>
      <tableStyleElement type="firstColumn" dxfId="148"/>
      <tableStyleElement type="lastColumn" dxfId="147"/>
      <tableStyleElement type="firstRowStripe" dxfId="146"/>
      <tableStyleElement type="firstColumnStripe" dxfId="145"/>
    </tableStyle>
  </tableStyles>
  <colors>
    <mruColors>
      <color rgb="FF818B8A"/>
      <color rgb="FF17A1AB"/>
      <color rgb="FF43646B"/>
      <color rgb="FFF8F8F8"/>
      <color rgb="FF807E81"/>
      <color rgb="FF018B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85028364866725"/>
          <c:y val="4.4788523412869236E-2"/>
          <c:w val="0.80609494072101495"/>
          <c:h val="0.955211476587130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'Buget de nuntă'!$C$5</c:f>
              <c:strCache>
                <c:ptCount val="1"/>
                <c:pt idx="0">
                  <c:v>COSTUL ESTIMAT</c:v>
                </c:pt>
              </c:strCache>
            </c:strRef>
          </c:tx>
          <c:spPr>
            <a:solidFill>
              <a:srgbClr val="17A1AB"/>
            </a:solidFill>
            <a:ln w="41275">
              <a:solidFill>
                <a:srgbClr val="17A1AB"/>
              </a:solidFill>
            </a:ln>
            <a:effectLst/>
          </c:spPr>
          <c:invertIfNegative val="0"/>
          <c:cat>
            <c:strRef>
              <c:f>'Buget de nuntă'!$B$6:$B$15</c:f>
              <c:strCache>
                <c:ptCount val="10"/>
                <c:pt idx="0">
                  <c:v>Recepție</c:v>
                </c:pt>
                <c:pt idx="1">
                  <c:v>Îmbrăcăminte</c:v>
                </c:pt>
                <c:pt idx="2">
                  <c:v>Flori și decorațiuni</c:v>
                </c:pt>
                <c:pt idx="3">
                  <c:v>Fotografii și videoclipuri</c:v>
                </c:pt>
                <c:pt idx="4">
                  <c:v>Muzică</c:v>
                </c:pt>
                <c:pt idx="5">
                  <c:v>Favoruri și daruri</c:v>
                </c:pt>
                <c:pt idx="6">
                  <c:v>Verighete</c:v>
                </c:pt>
                <c:pt idx="7">
                  <c:v>Ceremonie</c:v>
                </c:pt>
                <c:pt idx="8">
                  <c:v>Papetărie</c:v>
                </c:pt>
                <c:pt idx="9">
                  <c:v>Transport</c:v>
                </c:pt>
              </c:strCache>
            </c:strRef>
          </c:cat>
          <c:val>
            <c:numRef>
              <c:f>'Buget de nuntă'!$C$6:$C$15</c:f>
              <c:numCache>
                <c:formatCode>#,##0\ "lei";[Red]\-#,##0\ "lei"</c:formatCode>
                <c:ptCount val="10"/>
                <c:pt idx="0">
                  <c:v>14500</c:v>
                </c:pt>
                <c:pt idx="1">
                  <c:v>4000</c:v>
                </c:pt>
                <c:pt idx="2">
                  <c:v>3000</c:v>
                </c:pt>
                <c:pt idx="3">
                  <c:v>2500</c:v>
                </c:pt>
                <c:pt idx="4">
                  <c:v>1800</c:v>
                </c:pt>
                <c:pt idx="5">
                  <c:v>1100</c:v>
                </c:pt>
                <c:pt idx="6">
                  <c:v>1100</c:v>
                </c:pt>
                <c:pt idx="7">
                  <c:v>800</c:v>
                </c:pt>
                <c:pt idx="8">
                  <c:v>500</c:v>
                </c:pt>
                <c:pt idx="9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BF-4F3B-B7C9-B667BE6D5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4022976"/>
        <c:axId val="534026256"/>
      </c:barChart>
      <c:catAx>
        <c:axId val="534022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18B8A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818B8A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026256"/>
        <c:crosses val="autoZero"/>
        <c:auto val="1"/>
        <c:lblAlgn val="ctr"/>
        <c:lblOffset val="100"/>
        <c:noMultiLvlLbl val="0"/>
      </c:catAx>
      <c:valAx>
        <c:axId val="534026256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\ &quot;lei&quot;;[Red]\-#,##0\ &quot;lei&quot;" sourceLinked="1"/>
        <c:majorTickMark val="none"/>
        <c:minorTickMark val="none"/>
        <c:tickLblPos val="nextTo"/>
        <c:crossAx val="5340229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206828</xdr:colOff>
      <xdr:row>2</xdr:row>
      <xdr:rowOff>15240</xdr:rowOff>
    </xdr:from>
    <xdr:to>
      <xdr:col>5</xdr:col>
      <xdr:colOff>1155246</xdr:colOff>
      <xdr:row>2</xdr:row>
      <xdr:rowOff>2795997</xdr:rowOff>
    </xdr:to>
    <xdr:graphicFrame macro="">
      <xdr:nvGraphicFramePr>
        <xdr:cNvPr id="2" name="Diagrama 1" descr="Diagramă care rezumă bugetul de nuntă după categorie. Cheltuielile pe categorii sunt afișate în ordine descendentă pe baza costurilor estimate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0</xdr:colOff>
      <xdr:row>1</xdr:row>
      <xdr:rowOff>45720</xdr:rowOff>
    </xdr:to>
    <xdr:pic>
      <xdr:nvPicPr>
        <xdr:cNvPr id="5" name="Imagine 4">
          <a:extLst>
            <a:ext uri="{FF2B5EF4-FFF2-40B4-BE49-F238E27FC236}">
              <a16:creationId xmlns:a16="http://schemas.microsoft.com/office/drawing/2014/main" id="{C5020B3B-CC06-49E7-A495-CDA4280648E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1450" y="0"/>
          <a:ext cx="9467850" cy="9601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TBL_Summary" displayName="TBL_Summary" ref="B5:F16" totalsRowCount="1" headerRowDxfId="144" dataDxfId="143" totalsRowDxfId="142">
  <tableColumns count="5">
    <tableColumn id="1" xr3:uid="{00000000-0010-0000-0000-000001000000}" name="CATEGORIE" totalsRowLabel="Total" dataDxfId="141" totalsRowDxfId="140"/>
    <tableColumn id="2" xr3:uid="{00000000-0010-0000-0000-000002000000}" name="COSTUL ESTIMAT" totalsRowFunction="sum" dataDxfId="139" totalsRowDxfId="138">
      <calculatedColumnFormula>VLOOKUP(TBL_Summary[[#This Row],[CATEGORIE]],TBL_RankingData,2,FALSE)</calculatedColumnFormula>
    </tableColumn>
    <tableColumn id="3" xr3:uid="{00000000-0010-0000-0000-000003000000}" name="COST REAL" totalsRowFunction="sum" dataDxfId="137" totalsRowDxfId="136">
      <calculatedColumnFormula>IF(VLOOKUP(TBL_Summary[[#This Row],[CATEGORIE]],TBL_RankingData,3,FALSE)=0,"",VLOOKUP(TBL_Summary[[#This Row],[CATEGORIE]],TBL_RankingData,3,FALSE))</calculatedColumnFormula>
    </tableColumn>
    <tableColumn id="4" xr3:uid="{00000000-0010-0000-0000-000004000000}" name="VARIANȚĂ" totalsRowFunction="custom" dataDxfId="135" totalsRowDxfId="134">
      <calculatedColumnFormula>IF(OR(TBL_Summary[[#This Row],[COSTUL ESTIMAT]]="",TBL_Summary[[#This Row],[COST REAL]]=""),"",TBL_Summary[[#This Row],[COSTUL ESTIMAT]]-TBL_Summary[[#This Row],[COST REAL]])</calculatedColumnFormula>
      <totalsRowFormula>TBL_Summary[[#Totals],[COSTUL ESTIMAT]]-TBL_Summary[[#Totals],[COST REAL]]</totalsRowFormula>
    </tableColumn>
    <tableColumn id="5" xr3:uid="{00000000-0010-0000-0000-000005000000}" name="BUGET %" totalsRowFunction="sum" dataDxfId="133" totalsRowDxfId="1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abel cu rezumatul bugetului după categoriile de cheltuieli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9000000}" name="TBL_Verighete" displayName="TBL_Verighete" ref="B79:E82" totalsRowCount="1" headerRowDxfId="25" dataDxfId="23" totalsRowDxfId="22" headerRowBorderDxfId="24" totalsRowBorderDxfId="21">
  <tableColumns count="4">
    <tableColumn id="1" xr3:uid="{00000000-0010-0000-0900-000001000000}" name="VERIGHETE" totalsRowLabel="TOTAL VERIGHETE" dataDxfId="20" totalsRowDxfId="19"/>
    <tableColumn id="2" xr3:uid="{00000000-0010-0000-0900-000002000000}" name="ESTIMAT" totalsRowFunction="sum" dataDxfId="18" totalsRowDxfId="17"/>
    <tableColumn id="3" xr3:uid="{00000000-0010-0000-0900-000003000000}" name="REAL" totalsRowFunction="sum" dataDxfId="16" totalsRowDxfId="15"/>
    <tableColumn id="4" xr3:uid="{00000000-0010-0000-0900-000004000000}" name="VARIANȚĂ" totalsRowFunction="custom" dataDxfId="14" totalsRowDxfId="13">
      <totalsRowFormula>TBL_Verighete[[#Totals],[ESTIMAT]]-TBL_Verighete[[#Totals],[REAL]]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el cu costurile legate de verighete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A000000}" name="TBL_Transport" displayName="TBL_Transport" ref="B85:E91" totalsRowCount="1" headerRowDxfId="12" dataDxfId="10" totalsRowDxfId="9" headerRowBorderDxfId="11" totalsRowBorderDxfId="8">
  <autoFilter ref="B85:E90" xr:uid="{1874CCD5-90DA-4D63-B97F-603C66F43EBF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TRANSPORT  " totalsRowLabel="TOTAL TRANSPORT" dataDxfId="7" totalsRowDxfId="6"/>
    <tableColumn id="2" xr3:uid="{00000000-0010-0000-0A00-000002000000}" name="ESTIMAT" totalsRowFunction="sum" dataDxfId="5" totalsRowDxfId="4"/>
    <tableColumn id="3" xr3:uid="{00000000-0010-0000-0A00-000003000000}" name="REAL" totalsRowFunction="sum" dataDxfId="3" totalsRowDxfId="2"/>
    <tableColumn id="4" xr3:uid="{00000000-0010-0000-0A00-000004000000}" name="VARIANȚĂ" totalsRowFunction="custom" dataDxfId="1" totalsRowDxfId="0">
      <totalsRowFormula>TBL_Transport[[#Totals],[ESTIMAT]]-TBL_Transport[[#Totals],[REAL]]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el cu costurile legate de transpor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BL_Recepție" displayName="TBL_Recepție" ref="B4:E10" totalsRowCount="1" headerRowDxfId="131" dataDxfId="129" totalsRowDxfId="127" headerRowBorderDxfId="130" tableBorderDxfId="128" totalsRowBorderDxfId="126">
  <tableColumns count="4">
    <tableColumn id="1" xr3:uid="{00000000-0010-0000-0100-000001000000}" name="RECEPȚIE" totalsRowLabel="TOTAL RECEPȚIE" dataDxfId="125" totalsRowDxfId="124"/>
    <tableColumn id="2" xr3:uid="{00000000-0010-0000-0100-000002000000}" name="ESTIMAT" totalsRowFunction="sum" dataDxfId="123" totalsRowDxfId="122"/>
    <tableColumn id="3" xr3:uid="{00000000-0010-0000-0100-000003000000}" name="REAL" totalsRowFunction="sum" dataDxfId="121" totalsRowDxfId="120"/>
    <tableColumn id="4" xr3:uid="{00000000-0010-0000-0100-000004000000}" name="VARIANȚĂ" totalsRowFunction="custom" dataDxfId="119" totalsRowDxfId="118">
      <calculatedColumnFormula>IF(OR(TBL_Recepție[[#This Row],[ESTIMAT]]="",TBL_Recepție[[#This Row],[REAL]]=""),"",TBL_Recepție[[#This Row],[ESTIMAT]]-TBL_Recepție[[#This Row],[REAL]])</calculatedColumnFormula>
      <totalsRowFormula>TBL_Recepție[[#Totals],[ESTIMAT]]-TBL_Recepție[[#Totals],[REAL]]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el cu costurile legate de recepți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BL_Îmbrăcăminte" displayName="TBL_Îmbrăcăminte" ref="B13:E20" totalsRowCount="1" headerRowDxfId="117" dataDxfId="115" totalsRowDxfId="113" headerRowBorderDxfId="116" tableBorderDxfId="114" totalsRowBorderDxfId="112">
  <tableColumns count="4">
    <tableColumn id="1" xr3:uid="{00000000-0010-0000-0200-000001000000}" name="ÎMBRĂCĂMINTE" totalsRowLabel="TOTAL ÎMBRĂCĂMINTE" dataDxfId="111" totalsRowDxfId="110"/>
    <tableColumn id="2" xr3:uid="{00000000-0010-0000-0200-000002000000}" name="ESTIMAT" totalsRowFunction="sum" dataDxfId="109" totalsRowDxfId="108"/>
    <tableColumn id="3" xr3:uid="{00000000-0010-0000-0200-000003000000}" name="REAL" totalsRowFunction="sum" dataDxfId="107" totalsRowDxfId="106"/>
    <tableColumn id="4" xr3:uid="{00000000-0010-0000-0200-000004000000}" name="VARIANȚĂ" totalsRowFunction="custom" dataDxfId="105" totalsRowDxfId="104">
      <totalsRowFormula>TBL_Îmbrăcăminte[[#Totals],[ESTIMAT]]-TBL_Îmbrăcăminte[[#Totals],[REAL]]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el cu costurile legate de îmbrăcămint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BL_FloriȘiDecorațiuni" displayName="TBL_FloriȘiDecorațiuni" ref="B23:E33" totalsRowCount="1" headerRowDxfId="103" dataDxfId="101" totalsRowDxfId="100" headerRowBorderDxfId="102" totalsRowBorderDxfId="99">
  <tableColumns count="4">
    <tableColumn id="1" xr3:uid="{00000000-0010-0000-0300-000001000000}" name="FLORI ȘI DECORAȚIUNI" totalsRowLabel="TOTAL FLORI ȘI DECORAȚIUNI" dataDxfId="98" totalsRowDxfId="97"/>
    <tableColumn id="2" xr3:uid="{00000000-0010-0000-0300-000002000000}" name="ESTIMAT" totalsRowFunction="sum" dataDxfId="96" totalsRowDxfId="95"/>
    <tableColumn id="3" xr3:uid="{00000000-0010-0000-0300-000003000000}" name="REAL" totalsRowFunction="sum" dataDxfId="94" totalsRowDxfId="93"/>
    <tableColumn id="4" xr3:uid="{00000000-0010-0000-0300-000004000000}" name="VARIANȚĂ" totalsRowFunction="custom" dataDxfId="92" totalsRowDxfId="91">
      <totalsRowFormula>TBL_FloriȘiDecorațiuni[[#Totals],[ESTIMAT]]-TBL_FloriȘiDecorațiuni[[#Totals],[REAL]]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el cu costurile legate de flori și decorațiuni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BL_Muzică" displayName="TBL_Muzică" ref="B36:E42" totalsRowCount="1" headerRowDxfId="90" dataDxfId="88" totalsRowDxfId="87" headerRowBorderDxfId="89" totalsRowBorderDxfId="86">
  <tableColumns count="4">
    <tableColumn id="1" xr3:uid="{00000000-0010-0000-0400-000001000000}" name="MUZICĂ" totalsRowLabel="TOTAL MUZICĂ" dataDxfId="85" totalsRowDxfId="84"/>
    <tableColumn id="2" xr3:uid="{00000000-0010-0000-0400-000002000000}" name="ESTIMAT" totalsRowFunction="sum" dataDxfId="83" totalsRowDxfId="82"/>
    <tableColumn id="3" xr3:uid="{00000000-0010-0000-0400-000003000000}" name="REAL" totalsRowFunction="sum" dataDxfId="81" totalsRowDxfId="80"/>
    <tableColumn id="4" xr3:uid="{00000000-0010-0000-0400-000004000000}" name="VARIANȚĂ" totalsRowFunction="custom" dataDxfId="79" totalsRowDxfId="78">
      <totalsRowFormula>TBL_Muzică[[#Totals],[ESTIMAT]]-TBL_Muzică[[#Totals],[REAL]]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el cu costurile legate de muzică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BL_FotografiiȘiVideoclipuri" displayName="TBL_FotografiiȘiVideoclipuri" ref="B45:E50" totalsRowCount="1" headerRowDxfId="77" dataDxfId="75" totalsRowDxfId="74" headerRowBorderDxfId="76" totalsRowBorderDxfId="73">
  <tableColumns count="4">
    <tableColumn id="1" xr3:uid="{00000000-0010-0000-0500-000001000000}" name="FOTOGRAFII ȘI VIDEOCLIPURI" totalsRowLabel="TOTAL FOTOGRAFII ȘI VIDEOCLIPURI" dataDxfId="72" totalsRowDxfId="71"/>
    <tableColumn id="2" xr3:uid="{00000000-0010-0000-0500-000002000000}" name="ESTIMAT" totalsRowFunction="sum" dataDxfId="70" totalsRowDxfId="69"/>
    <tableColumn id="3" xr3:uid="{00000000-0010-0000-0500-000003000000}" name="REAL" totalsRowFunction="sum" dataDxfId="68" totalsRowDxfId="67"/>
    <tableColumn id="4" xr3:uid="{00000000-0010-0000-0500-000004000000}" name="VARIANȚĂ" totalsRowFunction="custom" dataDxfId="66" totalsRowDxfId="65">
      <totalsRowFormula>TBL_FotografiiȘiVideoclipuri[[#Totals],[ESTIMAT]]-TBL_FotografiiȘiVideoclipuri[[#Totals],[REAL]]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el cu costurile legate de fotografii și videoclipuri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BL_FavoruriȘiDaruri" displayName="TBL_FavoruriȘiDaruri" ref="B53:E57" totalsRowCount="1" headerRowDxfId="64" dataDxfId="62" totalsRowDxfId="61" headerRowBorderDxfId="63" totalsRowBorderDxfId="60">
  <tableColumns count="4">
    <tableColumn id="1" xr3:uid="{00000000-0010-0000-0600-000001000000}" name="FAVORURI ȘI DARURI" totalsRowLabel="TOTAL FAVORURI ȘI DARURI" dataDxfId="59" totalsRowDxfId="58"/>
    <tableColumn id="2" xr3:uid="{00000000-0010-0000-0600-000002000000}" name="ESTIMAT" totalsRowFunction="sum" dataDxfId="57" totalsRowDxfId="56"/>
    <tableColumn id="3" xr3:uid="{00000000-0010-0000-0600-000003000000}" name="REAL" totalsRowFunction="sum" dataDxfId="55" totalsRowDxfId="54"/>
    <tableColumn id="4" xr3:uid="{00000000-0010-0000-0600-000004000000}" name="VARIANȚĂ" totalsRowFunction="custom" dataDxfId="53" totalsRowDxfId="52">
      <totalsRowFormula>TBL_FavoruriȘiDaruri[[#Totals],[ESTIMAT]]-TBL_FavoruriȘiDaruri[[#Totals],[REAL]]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el cu costurile legate de favoruri și daruri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BL_Ceremonie" displayName="TBL_Ceremonie" ref="B60:E64" totalsRowCount="1" headerRowDxfId="51" dataDxfId="49" totalsRowDxfId="48" headerRowBorderDxfId="50" totalsRowBorderDxfId="47">
  <tableColumns count="4">
    <tableColumn id="1" xr3:uid="{00000000-0010-0000-0700-000001000000}" name="CEREMONIE" totalsRowLabel="TOTAL CEREMONIE" dataDxfId="46" totalsRowDxfId="45"/>
    <tableColumn id="2" xr3:uid="{00000000-0010-0000-0700-000002000000}" name="ESTIMAT" totalsRowFunction="sum" dataDxfId="44" totalsRowDxfId="43"/>
    <tableColumn id="3" xr3:uid="{00000000-0010-0000-0700-000003000000}" name="REAL" totalsRowFunction="sum" dataDxfId="42" totalsRowDxfId="41"/>
    <tableColumn id="4" xr3:uid="{00000000-0010-0000-0700-000004000000}" name="VARIANȚĂ" totalsRowFunction="custom" dataDxfId="40" totalsRowDxfId="39">
      <totalsRowFormula>TBL_Ceremonie[[#Totals],[ESTIMAT]]-TBL_Ceremonie[[#Totals],[REAL]]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el cu costurile legate de ceremonie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BL_Papetărie" displayName="TBL_Papetărie" ref="B67:E76" totalsRowCount="1" headerRowDxfId="38" dataDxfId="36" totalsRowDxfId="35" headerRowBorderDxfId="37" totalsRowBorderDxfId="34">
  <tableColumns count="4">
    <tableColumn id="1" xr3:uid="{00000000-0010-0000-0800-000001000000}" name="PAPETĂRIE" totalsRowLabel="TOTAL PAPETĂRIE" dataDxfId="33" totalsRowDxfId="32"/>
    <tableColumn id="2" xr3:uid="{00000000-0010-0000-0800-000002000000}" name="ESTIMAT" totalsRowFunction="sum" dataDxfId="31" totalsRowDxfId="30"/>
    <tableColumn id="3" xr3:uid="{00000000-0010-0000-0800-000003000000}" name="REAL" totalsRowFunction="sum" dataDxfId="29" totalsRowDxfId="28"/>
    <tableColumn id="4" xr3:uid="{00000000-0010-0000-0800-000004000000}" name="VARIANȚĂ" totalsRowFunction="custom" dataDxfId="27" totalsRowDxfId="26">
      <totalsRowFormula>TBL_Papetărie[[#Totals],[ESTIMAT]]-TBL_Papetărie[[#Totals],[REAL]]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el cu costurile legate de papetărie"/>
    </ext>
  </extLst>
</table>
</file>

<file path=xl/theme/theme1.xml><?xml version="1.0" encoding="utf-8"?>
<a:theme xmlns:a="http://schemas.openxmlformats.org/drawingml/2006/main" name="Water Color Wash">
  <a:themeElements>
    <a:clrScheme name="Watercolor Wedding">
      <a:dk1>
        <a:srgbClr val="818B8A"/>
      </a:dk1>
      <a:lt1>
        <a:srgbClr val="FFFFFF"/>
      </a:lt1>
      <a:dk2>
        <a:srgbClr val="17A1AB"/>
      </a:dk2>
      <a:lt2>
        <a:srgbClr val="D6D5D5"/>
      </a:lt2>
      <a:accent1>
        <a:srgbClr val="0C4A80"/>
      </a:accent1>
      <a:accent2>
        <a:srgbClr val="0D6397"/>
      </a:accent2>
      <a:accent3>
        <a:srgbClr val="1E83A9"/>
      </a:accent3>
      <a:accent4>
        <a:srgbClr val="478FB1"/>
      </a:accent4>
      <a:accent5>
        <a:srgbClr val="8CB8D1"/>
      </a:accent5>
      <a:accent6>
        <a:srgbClr val="C9E6F1"/>
      </a:accent6>
      <a:hlink>
        <a:srgbClr val="0000FF"/>
      </a:hlink>
      <a:folHlink>
        <a:srgbClr val="FF00FF"/>
      </a:folHlink>
    </a:clrScheme>
    <a:fontScheme name="_Water color Wash 2">
      <a:majorFont>
        <a:latin typeface="Franklin Gothic Medium Cond"/>
        <a:ea typeface="Gill Sans"/>
        <a:cs typeface="Gill Sans"/>
      </a:majorFont>
      <a:minorFont>
        <a:latin typeface="Franklin Gothic Book"/>
        <a:ea typeface="Gill Sans"/>
        <a:cs typeface="Gill Sans"/>
      </a:minorFont>
    </a:fontScheme>
    <a:fmtScheme name="Whit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38100" tIns="38100" rIns="38100" bIns="381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0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38100" dist="12700" dir="5400000" rotWithShape="0">
                <a:srgbClr val="000000">
                  <a:alpha val="50000"/>
                </a:srgbClr>
              </a:outerShdw>
            </a:effectLst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381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2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  <a:extLst>
    <a:ext uri="{05A4C25C-085E-4340-85A3-A5531E510DB2}">
      <thm15:themeFamily xmlns:thm15="http://schemas.microsoft.com/office/thememl/2012/main" name="Watercolor 1" id="{8A5BE941-2D50-7147-A6D2-425273CFF5A9}" vid="{4F5C25E9-A4BC-F745-AAFC-F933520838C1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4"/>
  <sheetViews>
    <sheetView showGridLines="0" tabSelected="1" zoomScaleNormal="100" workbookViewId="0"/>
  </sheetViews>
  <sheetFormatPr defaultColWidth="8.7109375" defaultRowHeight="21" customHeight="1" x14ac:dyDescent="0.25"/>
  <cols>
    <col min="1" max="1" width="2.5703125" style="6" customWidth="1"/>
    <col min="2" max="2" width="27.140625" style="63" customWidth="1"/>
    <col min="3" max="6" width="28.7109375" style="6" customWidth="1"/>
    <col min="7" max="7" width="1.42578125" style="6" customWidth="1"/>
    <col min="8" max="9" width="8.7109375" style="6" customWidth="1"/>
    <col min="10" max="10" width="23" style="43" hidden="1" customWidth="1"/>
    <col min="11" max="11" width="16.42578125" style="43" hidden="1" customWidth="1"/>
    <col min="12" max="12" width="12.85546875" style="43" hidden="1" customWidth="1"/>
    <col min="13" max="13" width="25.5703125" style="6" hidden="1" customWidth="1"/>
    <col min="14" max="14" width="4.42578125" style="6" hidden="1" customWidth="1"/>
    <col min="15" max="15" width="3.7109375" style="6" hidden="1" customWidth="1"/>
    <col min="16" max="16" width="23" style="43" hidden="1" customWidth="1"/>
    <col min="17" max="16384" width="8.7109375" style="6"/>
  </cols>
  <sheetData>
    <row r="1" spans="1:17" ht="72.599999999999994" customHeight="1" x14ac:dyDescent="0.25">
      <c r="A1" s="40"/>
      <c r="B1" s="41"/>
      <c r="C1" s="40"/>
      <c r="D1" s="40"/>
      <c r="E1" s="40"/>
      <c r="F1" s="40"/>
      <c r="G1" s="42" t="s">
        <v>6</v>
      </c>
    </row>
    <row r="2" spans="1:17" s="45" customFormat="1" ht="73.150000000000006" customHeight="1" x14ac:dyDescent="0.6">
      <c r="A2" s="44"/>
      <c r="B2" s="66" t="s">
        <v>88</v>
      </c>
      <c r="C2" s="66"/>
      <c r="D2" s="66"/>
      <c r="E2" s="66"/>
      <c r="F2" s="66"/>
      <c r="G2" s="44"/>
      <c r="J2" s="9"/>
      <c r="K2" s="9"/>
      <c r="L2" s="9"/>
      <c r="P2" s="9"/>
    </row>
    <row r="3" spans="1:17" ht="220.15" customHeight="1" x14ac:dyDescent="0.25">
      <c r="A3" s="40"/>
      <c r="B3" s="46"/>
      <c r="C3" s="40"/>
      <c r="D3" s="40"/>
      <c r="E3" s="40"/>
      <c r="F3" s="40"/>
      <c r="G3" s="47"/>
      <c r="H3" s="48" t="s">
        <v>6</v>
      </c>
      <c r="Q3" s="49"/>
    </row>
    <row r="4" spans="1:17" ht="15" customHeight="1" x14ac:dyDescent="0.25">
      <c r="A4" s="40"/>
      <c r="B4" s="50"/>
      <c r="C4" s="51"/>
      <c r="D4" s="51"/>
      <c r="E4" s="51"/>
      <c r="F4" s="51"/>
      <c r="G4" s="47"/>
    </row>
    <row r="5" spans="1:17" ht="34.9" customHeight="1" x14ac:dyDescent="0.25">
      <c r="A5" s="40"/>
      <c r="B5" s="52" t="s">
        <v>0</v>
      </c>
      <c r="C5" s="53" t="s">
        <v>2</v>
      </c>
      <c r="D5" s="53" t="s">
        <v>3</v>
      </c>
      <c r="E5" s="53" t="s">
        <v>4</v>
      </c>
      <c r="F5" s="53" t="s">
        <v>5</v>
      </c>
      <c r="J5" s="43" t="s">
        <v>7</v>
      </c>
      <c r="K5" s="6" t="s">
        <v>18</v>
      </c>
      <c r="L5" s="6" t="s">
        <v>19</v>
      </c>
      <c r="M5" s="54" t="s">
        <v>20</v>
      </c>
      <c r="N5" s="6" t="s">
        <v>21</v>
      </c>
      <c r="O5" s="6" t="s">
        <v>22</v>
      </c>
      <c r="P5" s="43" t="s">
        <v>23</v>
      </c>
    </row>
    <row r="6" spans="1:17" ht="19.899999999999999" customHeight="1" x14ac:dyDescent="0.25">
      <c r="A6" s="40"/>
      <c r="B6" s="55" t="str">
        <f>P6</f>
        <v>Recepție</v>
      </c>
      <c r="C6" s="64">
        <f>VLOOKUP(TBL_Summary[[#This Row],[CATEGORIE]],TBL_RankingData,2,FALSE)</f>
        <v>14500</v>
      </c>
      <c r="D6" s="64">
        <f>IF(VLOOKUP(TBL_Summary[[#This Row],[CATEGORIE]],TBL_RankingData,3,FALSE)=0,"",VLOOKUP(TBL_Summary[[#This Row],[CATEGORIE]],TBL_RankingData,3,FALSE))</f>
        <v>12800</v>
      </c>
      <c r="E6" s="64">
        <f>IF(OR(TBL_Summary[[#This Row],[COSTUL ESTIMAT]]="",TBL_Summary[[#This Row],[COST REAL]]=""),"",TBL_Summary[[#This Row],[COSTUL ESTIMAT]]-TBL_Summary[[#This Row],[COST REAL]])</f>
        <v>1700</v>
      </c>
      <c r="F6" s="56">
        <f>TBL_Summary[[#This Row],[COSTUL ESTIMAT]]/SUM(TBL_Summary[COSTUL ESTIMAT])</f>
        <v>0.48739495798319327</v>
      </c>
      <c r="J6" s="43" t="s">
        <v>8</v>
      </c>
      <c r="K6" s="6">
        <f>TBL_Recepție[[#Totals],[ESTIMAT]]</f>
        <v>14500</v>
      </c>
      <c r="L6" s="6">
        <f>TBL_Recepție[[#Totals],[REAL]]</f>
        <v>12800</v>
      </c>
      <c r="M6" s="6">
        <f>K6-O6/100</f>
        <v>14499.99</v>
      </c>
      <c r="N6" s="6">
        <f t="shared" ref="N6:N15" si="0">_xlfn.RANK.AVG(M6,$M$6:$M$15)</f>
        <v>1</v>
      </c>
      <c r="O6" s="6">
        <v>1</v>
      </c>
      <c r="P6" s="43" t="str">
        <f t="shared" ref="P6:P15" si="1">INDEX(TBL_RankingData,MATCH(O6,$N$6:$N$15,0),1)</f>
        <v>Recepție</v>
      </c>
    </row>
    <row r="7" spans="1:17" ht="19.899999999999999" customHeight="1" x14ac:dyDescent="0.25">
      <c r="A7" s="40"/>
      <c r="B7" s="55" t="str">
        <f t="shared" ref="B7:B15" si="2">P7</f>
        <v>Îmbrăcăminte</v>
      </c>
      <c r="C7" s="64">
        <f>VLOOKUP(TBL_Summary[[#This Row],[CATEGORIE]],TBL_RankingData,2,FALSE)</f>
        <v>4000</v>
      </c>
      <c r="D7" s="64">
        <f>IF(VLOOKUP(TBL_Summary[[#This Row],[CATEGORIE]],TBL_RankingData,3,FALSE)=0,"",VLOOKUP(TBL_Summary[[#This Row],[CATEGORIE]],TBL_RankingData,3,FALSE))</f>
        <v>2900</v>
      </c>
      <c r="E7" s="64">
        <f>IF(OR(TBL_Summary[[#This Row],[COSTUL ESTIMAT]]="",TBL_Summary[[#This Row],[COST REAL]]=""),"",TBL_Summary[[#This Row],[COSTUL ESTIMAT]]-TBL_Summary[[#This Row],[COST REAL]])</f>
        <v>1100</v>
      </c>
      <c r="F7" s="56">
        <f>TBL_Summary[[#This Row],[COSTUL ESTIMAT]]/SUM(TBL_Summary[COSTUL ESTIMAT])</f>
        <v>0.13445378151260504</v>
      </c>
      <c r="J7" s="43" t="s">
        <v>9</v>
      </c>
      <c r="K7" s="6">
        <f>TBL_Îmbrăcăminte[[#Totals],[ESTIMAT]]</f>
        <v>4000</v>
      </c>
      <c r="L7" s="6">
        <f>TBL_Îmbrăcăminte[[#Totals],[REAL]]</f>
        <v>2900</v>
      </c>
      <c r="M7" s="6">
        <f t="shared" ref="M7:M15" si="3">K7-O7/100</f>
        <v>3999.98</v>
      </c>
      <c r="N7" s="6">
        <f t="shared" si="0"/>
        <v>2</v>
      </c>
      <c r="O7" s="6">
        <v>2</v>
      </c>
      <c r="P7" s="43" t="str">
        <f t="shared" si="1"/>
        <v>Îmbrăcăminte</v>
      </c>
    </row>
    <row r="8" spans="1:17" ht="19.899999999999999" customHeight="1" x14ac:dyDescent="0.25">
      <c r="A8" s="40"/>
      <c r="B8" s="55" t="str">
        <f t="shared" si="2"/>
        <v>Flori și decorațiuni</v>
      </c>
      <c r="C8" s="64">
        <f>VLOOKUP(TBL_Summary[[#This Row],[CATEGORIE]],TBL_RankingData,2,FALSE)</f>
        <v>3000</v>
      </c>
      <c r="D8" s="64" t="str">
        <f>IF(VLOOKUP(TBL_Summary[[#This Row],[CATEGORIE]],TBL_RankingData,3,FALSE)=0,"",VLOOKUP(TBL_Summary[[#This Row],[CATEGORIE]],TBL_RankingData,3,FALSE))</f>
        <v/>
      </c>
      <c r="E8" s="64" t="str">
        <f>IF(OR(TBL_Summary[[#This Row],[COSTUL ESTIMAT]]="",TBL_Summary[[#This Row],[COST REAL]]=""),"",TBL_Summary[[#This Row],[COSTUL ESTIMAT]]-TBL_Summary[[#This Row],[COST REAL]])</f>
        <v/>
      </c>
      <c r="F8" s="56">
        <f>TBL_Summary[[#This Row],[COSTUL ESTIMAT]]/SUM(TBL_Summary[COSTUL ESTIMAT])</f>
        <v>0.10084033613445378</v>
      </c>
      <c r="J8" s="43" t="s">
        <v>10</v>
      </c>
      <c r="K8" s="6">
        <f>TBL_FloriȘiDecorațiuni[[#Totals],[ESTIMAT]]</f>
        <v>3000</v>
      </c>
      <c r="L8" s="6">
        <f>TBL_FloriȘiDecorațiuni[[#Totals],[REAL]]</f>
        <v>0</v>
      </c>
      <c r="M8" s="6">
        <f t="shared" si="3"/>
        <v>2999.97</v>
      </c>
      <c r="N8" s="6">
        <f t="shared" si="0"/>
        <v>3</v>
      </c>
      <c r="O8" s="6">
        <v>3</v>
      </c>
      <c r="P8" s="43" t="str">
        <f t="shared" si="1"/>
        <v>Flori și decorațiuni</v>
      </c>
    </row>
    <row r="9" spans="1:17" ht="19.899999999999999" customHeight="1" x14ac:dyDescent="0.25">
      <c r="A9" s="40"/>
      <c r="B9" s="55" t="str">
        <f t="shared" si="2"/>
        <v>Fotografii și videoclipuri</v>
      </c>
      <c r="C9" s="64">
        <f>VLOOKUP(TBL_Summary[[#This Row],[CATEGORIE]],TBL_RankingData,2,FALSE)</f>
        <v>2500</v>
      </c>
      <c r="D9" s="64" t="str">
        <f>IF(VLOOKUP(TBL_Summary[[#This Row],[CATEGORIE]],TBL_RankingData,3,FALSE)=0,"",VLOOKUP(TBL_Summary[[#This Row],[CATEGORIE]],TBL_RankingData,3,FALSE))</f>
        <v/>
      </c>
      <c r="E9" s="64" t="str">
        <f>IF(OR(TBL_Summary[[#This Row],[COSTUL ESTIMAT]]="",TBL_Summary[[#This Row],[COST REAL]]=""),"",TBL_Summary[[#This Row],[COSTUL ESTIMAT]]-TBL_Summary[[#This Row],[COST REAL]])</f>
        <v/>
      </c>
      <c r="F9" s="56">
        <f>TBL_Summary[[#This Row],[COSTUL ESTIMAT]]/SUM(TBL_Summary[COSTUL ESTIMAT])</f>
        <v>8.4033613445378158E-2</v>
      </c>
      <c r="J9" s="43" t="s">
        <v>11</v>
      </c>
      <c r="K9" s="6">
        <f>TBL_Muzică[[#Totals],[ESTIMAT]]</f>
        <v>1800</v>
      </c>
      <c r="L9" s="6">
        <f>TBL_Muzică[[#Totals],[REAL]]</f>
        <v>0</v>
      </c>
      <c r="M9" s="6">
        <f t="shared" si="3"/>
        <v>1799.96</v>
      </c>
      <c r="N9" s="6">
        <f t="shared" si="0"/>
        <v>5</v>
      </c>
      <c r="O9" s="6">
        <v>4</v>
      </c>
      <c r="P9" s="43" t="str">
        <f t="shared" si="1"/>
        <v>Fotografii și videoclipuri</v>
      </c>
    </row>
    <row r="10" spans="1:17" ht="19.899999999999999" customHeight="1" x14ac:dyDescent="0.25">
      <c r="A10" s="40"/>
      <c r="B10" s="55" t="str">
        <f t="shared" si="2"/>
        <v>Muzică</v>
      </c>
      <c r="C10" s="64">
        <f>VLOOKUP(TBL_Summary[[#This Row],[CATEGORIE]],TBL_RankingData,2,FALSE)</f>
        <v>1800</v>
      </c>
      <c r="D10" s="64" t="str">
        <f>IF(VLOOKUP(TBL_Summary[[#This Row],[CATEGORIE]],TBL_RankingData,3,FALSE)=0,"",VLOOKUP(TBL_Summary[[#This Row],[CATEGORIE]],TBL_RankingData,3,FALSE))</f>
        <v/>
      </c>
      <c r="E10" s="64" t="str">
        <f>IF(OR(TBL_Summary[[#This Row],[COSTUL ESTIMAT]]="",TBL_Summary[[#This Row],[COST REAL]]=""),"",TBL_Summary[[#This Row],[COSTUL ESTIMAT]]-TBL_Summary[[#This Row],[COST REAL]])</f>
        <v/>
      </c>
      <c r="F10" s="56">
        <f>TBL_Summary[[#This Row],[COSTUL ESTIMAT]]/SUM(TBL_Summary[COSTUL ESTIMAT])</f>
        <v>6.0504201680672269E-2</v>
      </c>
      <c r="J10" s="43" t="s">
        <v>12</v>
      </c>
      <c r="K10" s="6">
        <f>TBL_FotografiiȘiVideoclipuri[[#Totals],[ESTIMAT]]</f>
        <v>2500</v>
      </c>
      <c r="L10" s="6">
        <f>TBL_FotografiiȘiVideoclipuri[[#Totals],[REAL]]</f>
        <v>0</v>
      </c>
      <c r="M10" s="6">
        <f t="shared" si="3"/>
        <v>2499.9499999999998</v>
      </c>
      <c r="N10" s="6">
        <f t="shared" si="0"/>
        <v>4</v>
      </c>
      <c r="O10" s="6">
        <v>5</v>
      </c>
      <c r="P10" s="43" t="str">
        <f t="shared" si="1"/>
        <v>Muzică</v>
      </c>
    </row>
    <row r="11" spans="1:17" ht="19.899999999999999" customHeight="1" x14ac:dyDescent="0.25">
      <c r="A11" s="40"/>
      <c r="B11" s="55" t="str">
        <f t="shared" si="2"/>
        <v>Favoruri și daruri</v>
      </c>
      <c r="C11" s="64">
        <f>VLOOKUP(TBL_Summary[[#This Row],[CATEGORIE]],TBL_RankingData,2,FALSE)</f>
        <v>1100</v>
      </c>
      <c r="D11" s="64" t="str">
        <f>IF(VLOOKUP(TBL_Summary[[#This Row],[CATEGORIE]],TBL_RankingData,3,FALSE)=0,"",VLOOKUP(TBL_Summary[[#This Row],[CATEGORIE]],TBL_RankingData,3,FALSE))</f>
        <v/>
      </c>
      <c r="E11" s="64" t="str">
        <f>IF(OR(TBL_Summary[[#This Row],[COSTUL ESTIMAT]]="",TBL_Summary[[#This Row],[COST REAL]]=""),"",TBL_Summary[[#This Row],[COSTUL ESTIMAT]]-TBL_Summary[[#This Row],[COST REAL]])</f>
        <v/>
      </c>
      <c r="F11" s="56">
        <f>TBL_Summary[[#This Row],[COSTUL ESTIMAT]]/SUM(TBL_Summary[COSTUL ESTIMAT])</f>
        <v>3.6974789915966387E-2</v>
      </c>
      <c r="J11" s="43" t="s">
        <v>13</v>
      </c>
      <c r="K11" s="6">
        <f>TBL_FavoruriȘiDaruri[[#Totals],[ESTIMAT]]</f>
        <v>1100</v>
      </c>
      <c r="L11" s="6">
        <f>TBL_FavoruriȘiDaruri[[#Totals],[REAL]]</f>
        <v>0</v>
      </c>
      <c r="M11" s="6">
        <f t="shared" si="3"/>
        <v>1099.94</v>
      </c>
      <c r="N11" s="6">
        <f t="shared" si="0"/>
        <v>6</v>
      </c>
      <c r="O11" s="6">
        <v>6</v>
      </c>
      <c r="P11" s="43" t="str">
        <f t="shared" si="1"/>
        <v>Favoruri și daruri</v>
      </c>
    </row>
    <row r="12" spans="1:17" ht="19.899999999999999" customHeight="1" x14ac:dyDescent="0.25">
      <c r="A12" s="40"/>
      <c r="B12" s="55" t="str">
        <f>P12</f>
        <v>Verighete</v>
      </c>
      <c r="C12" s="64">
        <f>VLOOKUP(TBL_Summary[[#This Row],[CATEGORIE]],TBL_RankingData,2,FALSE)</f>
        <v>1100</v>
      </c>
      <c r="D12" s="64" t="str">
        <f>IF(VLOOKUP(TBL_Summary[[#This Row],[CATEGORIE]],TBL_RankingData,3,FALSE)=0,"",VLOOKUP(TBL_Summary[[#This Row],[CATEGORIE]],TBL_RankingData,3,FALSE))</f>
        <v/>
      </c>
      <c r="E12" s="64" t="str">
        <f>IF(OR(TBL_Summary[[#This Row],[COSTUL ESTIMAT]]="",TBL_Summary[[#This Row],[COST REAL]]=""),"",TBL_Summary[[#This Row],[COSTUL ESTIMAT]]-TBL_Summary[[#This Row],[COST REAL]])</f>
        <v/>
      </c>
      <c r="F12" s="56">
        <f>TBL_Summary[[#This Row],[COSTUL ESTIMAT]]/SUM(TBL_Summary[COSTUL ESTIMAT])</f>
        <v>3.6974789915966387E-2</v>
      </c>
      <c r="J12" s="43" t="s">
        <v>14</v>
      </c>
      <c r="K12" s="6">
        <f>TBL_Ceremonie[[#Totals],[ESTIMAT]]</f>
        <v>800</v>
      </c>
      <c r="L12" s="6">
        <f>TBL_Ceremonie[[#Totals],[REAL]]</f>
        <v>0</v>
      </c>
      <c r="M12" s="6">
        <f t="shared" si="3"/>
        <v>799.93</v>
      </c>
      <c r="N12" s="6">
        <f t="shared" si="0"/>
        <v>8</v>
      </c>
      <c r="O12" s="6">
        <v>7</v>
      </c>
      <c r="P12" s="43" t="str">
        <f t="shared" si="1"/>
        <v>Verighete</v>
      </c>
    </row>
    <row r="13" spans="1:17" ht="19.899999999999999" customHeight="1" x14ac:dyDescent="0.25">
      <c r="A13" s="40"/>
      <c r="B13" s="55" t="str">
        <f t="shared" si="2"/>
        <v>Ceremonie</v>
      </c>
      <c r="C13" s="64">
        <f>VLOOKUP(TBL_Summary[[#This Row],[CATEGORIE]],TBL_RankingData,2,FALSE)</f>
        <v>800</v>
      </c>
      <c r="D13" s="64" t="str">
        <f>IF(VLOOKUP(TBL_Summary[[#This Row],[CATEGORIE]],TBL_RankingData,3,FALSE)=0,"",VLOOKUP(TBL_Summary[[#This Row],[CATEGORIE]],TBL_RankingData,3,FALSE))</f>
        <v/>
      </c>
      <c r="E13" s="64" t="str">
        <f>IF(OR(TBL_Summary[[#This Row],[COSTUL ESTIMAT]]="",TBL_Summary[[#This Row],[COST REAL]]=""),"",TBL_Summary[[#This Row],[COSTUL ESTIMAT]]-TBL_Summary[[#This Row],[COST REAL]])</f>
        <v/>
      </c>
      <c r="F13" s="56">
        <f>TBL_Summary[[#This Row],[COSTUL ESTIMAT]]/SUM(TBL_Summary[COSTUL ESTIMAT])</f>
        <v>2.689075630252101E-2</v>
      </c>
      <c r="J13" s="43" t="s">
        <v>15</v>
      </c>
      <c r="K13" s="6">
        <f>TBL_Papetărie[[#Totals],[ESTIMAT]]</f>
        <v>500</v>
      </c>
      <c r="L13" s="6">
        <f>TBL_Papetărie[[#Totals],[REAL]]</f>
        <v>0</v>
      </c>
      <c r="M13" s="6">
        <f t="shared" si="3"/>
        <v>499.92</v>
      </c>
      <c r="N13" s="6">
        <f t="shared" si="0"/>
        <v>9</v>
      </c>
      <c r="O13" s="6">
        <v>8</v>
      </c>
      <c r="P13" s="43" t="str">
        <f t="shared" si="1"/>
        <v>Ceremonie</v>
      </c>
    </row>
    <row r="14" spans="1:17" ht="19.899999999999999" customHeight="1" x14ac:dyDescent="0.25">
      <c r="A14" s="40"/>
      <c r="B14" s="55" t="str">
        <f t="shared" si="2"/>
        <v>Papetărie</v>
      </c>
      <c r="C14" s="64">
        <f>VLOOKUP(TBL_Summary[[#This Row],[CATEGORIE]],TBL_RankingData,2,FALSE)</f>
        <v>500</v>
      </c>
      <c r="D14" s="64" t="str">
        <f>IF(VLOOKUP(TBL_Summary[[#This Row],[CATEGORIE]],TBL_RankingData,3,FALSE)=0,"",VLOOKUP(TBL_Summary[[#This Row],[CATEGORIE]],TBL_RankingData,3,FALSE))</f>
        <v/>
      </c>
      <c r="E14" s="64" t="str">
        <f>IF(OR(TBL_Summary[[#This Row],[COSTUL ESTIMAT]]="",TBL_Summary[[#This Row],[COST REAL]]=""),"",TBL_Summary[[#This Row],[COSTUL ESTIMAT]]-TBL_Summary[[#This Row],[COST REAL]])</f>
        <v/>
      </c>
      <c r="F14" s="56">
        <f>TBL_Summary[[#This Row],[COSTUL ESTIMAT]]/SUM(TBL_Summary[COSTUL ESTIMAT])</f>
        <v>1.680672268907563E-2</v>
      </c>
      <c r="J14" s="43" t="s">
        <v>16</v>
      </c>
      <c r="K14" s="6">
        <f>TBL_Verighete[[#Totals],[ESTIMAT]]</f>
        <v>1100</v>
      </c>
      <c r="L14" s="6">
        <f>TBL_Verighete[[#Totals],[REAL]]</f>
        <v>0</v>
      </c>
      <c r="M14" s="6">
        <f t="shared" si="3"/>
        <v>1099.9100000000001</v>
      </c>
      <c r="N14" s="6">
        <f t="shared" si="0"/>
        <v>7</v>
      </c>
      <c r="O14" s="6">
        <v>9</v>
      </c>
      <c r="P14" s="43" t="str">
        <f t="shared" si="1"/>
        <v>Papetărie</v>
      </c>
    </row>
    <row r="15" spans="1:17" ht="19.899999999999999" customHeight="1" x14ac:dyDescent="0.25">
      <c r="A15" s="40"/>
      <c r="B15" s="55" t="str">
        <f t="shared" si="2"/>
        <v>Transport</v>
      </c>
      <c r="C15" s="64">
        <f>VLOOKUP(TBL_Summary[[#This Row],[CATEGORIE]],TBL_RankingData,2,FALSE)</f>
        <v>450</v>
      </c>
      <c r="D15" s="64" t="str">
        <f>IF(VLOOKUP(TBL_Summary[[#This Row],[CATEGORIE]],TBL_RankingData,3,FALSE)=0,"",VLOOKUP(TBL_Summary[[#This Row],[CATEGORIE]],TBL_RankingData,3,FALSE))</f>
        <v/>
      </c>
      <c r="E15" s="64" t="str">
        <f>IF(OR(TBL_Summary[[#This Row],[COSTUL ESTIMAT]]="",TBL_Summary[[#This Row],[COST REAL]]=""),"",TBL_Summary[[#This Row],[COSTUL ESTIMAT]]-TBL_Summary[[#This Row],[COST REAL]])</f>
        <v/>
      </c>
      <c r="F15" s="56">
        <f>TBL_Summary[[#This Row],[COSTUL ESTIMAT]]/SUM(TBL_Summary[COSTUL ESTIMAT])</f>
        <v>1.5126050420168067E-2</v>
      </c>
      <c r="J15" s="43" t="s">
        <v>17</v>
      </c>
      <c r="K15" s="6">
        <f>TBL_Transport[[#Totals],[ESTIMAT]]</f>
        <v>450</v>
      </c>
      <c r="L15" s="6">
        <f>TBL_Transport[[#Totals],[REAL]]</f>
        <v>0</v>
      </c>
      <c r="M15" s="6">
        <f t="shared" si="3"/>
        <v>449.9</v>
      </c>
      <c r="N15" s="6">
        <f t="shared" si="0"/>
        <v>10</v>
      </c>
      <c r="O15" s="6">
        <v>10</v>
      </c>
      <c r="P15" s="43" t="str">
        <f t="shared" si="1"/>
        <v>Transport</v>
      </c>
    </row>
    <row r="16" spans="1:17" s="60" customFormat="1" ht="34.9" customHeight="1" x14ac:dyDescent="0.25">
      <c r="A16" s="57"/>
      <c r="B16" s="58" t="s">
        <v>1</v>
      </c>
      <c r="C16" s="65">
        <f>SUBTOTAL(109,TBL_Summary[COSTUL ESTIMAT])</f>
        <v>29750</v>
      </c>
      <c r="D16" s="65">
        <f>SUBTOTAL(109,TBL_Summary[COST REAL])</f>
        <v>15700</v>
      </c>
      <c r="E16" s="65">
        <f>TBL_Summary[[#Totals],[COSTUL ESTIMAT]]-TBL_Summary[[#Totals],[COST REAL]]</f>
        <v>14050</v>
      </c>
      <c r="F16" s="59">
        <f>SUBTOTAL(109,TBL_Summary[BUGET %])</f>
        <v>1</v>
      </c>
      <c r="J16" s="61"/>
      <c r="K16" s="61"/>
      <c r="L16" s="61"/>
      <c r="P16" s="61"/>
    </row>
    <row r="17" spans="1:7" ht="21" customHeight="1" x14ac:dyDescent="0.25">
      <c r="A17" s="40"/>
      <c r="B17" s="50"/>
      <c r="C17" s="51"/>
      <c r="D17" s="51"/>
      <c r="E17" s="51"/>
      <c r="F17" s="51"/>
    </row>
    <row r="18" spans="1:7" ht="21" customHeight="1" x14ac:dyDescent="0.25">
      <c r="A18" s="40"/>
      <c r="B18" s="51"/>
      <c r="C18" s="51"/>
      <c r="D18" s="51"/>
      <c r="E18" s="51"/>
      <c r="F18" s="51"/>
    </row>
    <row r="19" spans="1:7" ht="21" customHeight="1" x14ac:dyDescent="0.25">
      <c r="A19" s="40"/>
      <c r="B19" s="51"/>
      <c r="C19" s="51"/>
      <c r="D19" s="51"/>
      <c r="E19" s="51"/>
      <c r="F19" s="51"/>
    </row>
    <row r="20" spans="1:7" ht="21" customHeight="1" x14ac:dyDescent="0.25">
      <c r="A20" s="40"/>
      <c r="B20" s="51"/>
      <c r="C20" s="51"/>
      <c r="D20" s="51"/>
      <c r="E20" s="51"/>
      <c r="F20" s="51"/>
    </row>
    <row r="21" spans="1:7" ht="21" customHeight="1" x14ac:dyDescent="0.25">
      <c r="B21" s="6"/>
    </row>
    <row r="22" spans="1:7" ht="21" customHeight="1" x14ac:dyDescent="0.25">
      <c r="B22" s="6"/>
    </row>
    <row r="23" spans="1:7" ht="21" customHeight="1" x14ac:dyDescent="0.25">
      <c r="B23" s="6"/>
    </row>
    <row r="24" spans="1:7" ht="21" customHeight="1" x14ac:dyDescent="0.25">
      <c r="B24" s="6"/>
      <c r="G24" s="62"/>
    </row>
  </sheetData>
  <mergeCells count="1">
    <mergeCell ref="B2:F2"/>
  </mergeCells>
  <dataValidations count="6">
    <dataValidation allowBlank="1" showInputMessage="1" showErrorMessage="1" promptTitle="Buget de nuntă" prompt="_x000a_Utilizați acest șablon pentru a crea bugetul de nuntă._x000a__x000a_În fila Detaliile bugetului, introduceți detalii pentru categoriile de cheltuieli._x000a__x000a_Tabelul rezumat din celula B5 și diagrama din B3 se actualizează automat._x000a_" sqref="A1" xr:uid="{00000000-0002-0000-0000-000000000000}"/>
    <dataValidation allowBlank="1" showInputMessage="1" showErrorMessage="1" prompt="Bugetul de nuntă este rezumat automat în acest tabel. _x000a__x000a_Categoriile de cheltuieli sunt sortate automat în ordine descendentă pe baza costurilor totale estimate._x000a__x000a_" sqref="B5" xr:uid="{00000000-0002-0000-0000-000001000000}"/>
    <dataValidation allowBlank="1" showInputMessage="1" showErrorMessage="1" prompt="Costurile estimate sunt calculate automat._x000a__x000a_Datele sunt citite din fila Detaliile bugetului." sqref="C5" xr:uid="{00000000-0002-0000-0000-000002000000}"/>
    <dataValidation allowBlank="1" showInputMessage="1" showErrorMessage="1" prompt="Costurile reale sunt calculate automat._x000a__x000a_Datele sunt citite din fila Detaliile bugetului." sqref="D5" xr:uid="{00000000-0002-0000-0000-000003000000}"/>
    <dataValidation allowBlank="1" showInputMessage="1" showErrorMessage="1" prompt="Varianța este calculată automat._x000a__x000a_Aceasta arată diferența dintre costurile estimate și costurile reale." sqref="E5" xr:uid="{00000000-0002-0000-0000-000004000000}"/>
    <dataValidation allowBlank="1" showInputMessage="1" showErrorMessage="1" prompt="Buget % este calculat automat._x000a__x000a_Acesta arată defalcarea pe baza costurilor estimate totale." sqref="F5" xr:uid="{00000000-0002-0000-0000-000005000000}"/>
  </dataValidations>
  <printOptions horizontalCentered="1"/>
  <pageMargins left="0.25" right="0.25" top="0.75" bottom="0.75" header="0.3" footer="0.3"/>
  <pageSetup paperSize="9" scale="85" orientation="portrait" r:id="rId1"/>
  <rowBreaks count="1" manualBreakCount="1">
    <brk id="19" max="16383" man="1"/>
  </rowBreaks>
  <colBreaks count="1" manualBreakCount="1">
    <brk id="5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94"/>
  <sheetViews>
    <sheetView showGridLines="0" zoomScaleNormal="100" workbookViewId="0"/>
  </sheetViews>
  <sheetFormatPr defaultColWidth="8.7109375" defaultRowHeight="21" customHeight="1" x14ac:dyDescent="0.25"/>
  <cols>
    <col min="1" max="1" width="1.42578125" style="2" customWidth="1"/>
    <col min="2" max="2" width="49.42578125" style="3" customWidth="1"/>
    <col min="3" max="5" width="15.7109375" style="4" customWidth="1"/>
    <col min="6" max="6" width="1.42578125" style="6" customWidth="1"/>
    <col min="7" max="16384" width="8.7109375" style="6"/>
  </cols>
  <sheetData>
    <row r="1" spans="1:6" ht="9" customHeight="1" x14ac:dyDescent="0.25">
      <c r="F1" s="5" t="s">
        <v>6</v>
      </c>
    </row>
    <row r="2" spans="1:6" s="9" customFormat="1" ht="41.25" customHeight="1" x14ac:dyDescent="0.25">
      <c r="A2" s="7"/>
      <c r="B2" s="39" t="s">
        <v>24</v>
      </c>
      <c r="C2" s="8"/>
      <c r="D2" s="8"/>
      <c r="E2" s="8"/>
    </row>
    <row r="3" spans="1:6" ht="21" customHeight="1" x14ac:dyDescent="0.25">
      <c r="A3" s="10"/>
      <c r="B3" s="1"/>
      <c r="C3" s="11"/>
      <c r="D3" s="11"/>
      <c r="E3" s="11"/>
    </row>
    <row r="4" spans="1:6" ht="21" customHeight="1" x14ac:dyDescent="0.25">
      <c r="B4" s="12" t="s">
        <v>25</v>
      </c>
      <c r="C4" s="13" t="s">
        <v>86</v>
      </c>
      <c r="D4" s="13" t="s">
        <v>87</v>
      </c>
      <c r="E4" s="14" t="s">
        <v>4</v>
      </c>
    </row>
    <row r="5" spans="1:6" ht="21" customHeight="1" x14ac:dyDescent="0.25">
      <c r="B5" s="15" t="s">
        <v>26</v>
      </c>
      <c r="C5" s="16">
        <v>8000</v>
      </c>
      <c r="D5" s="17">
        <v>7800</v>
      </c>
      <c r="E5" s="18">
        <f>IF(OR(TBL_Recepție[[#This Row],[ESTIMAT]]="",TBL_Recepție[[#This Row],[REAL]]=""),"",TBL_Recepție[[#This Row],[ESTIMAT]]-TBL_Recepție[[#This Row],[REAL]])</f>
        <v>200</v>
      </c>
    </row>
    <row r="6" spans="1:6" ht="21" customHeight="1" x14ac:dyDescent="0.25">
      <c r="B6" s="19" t="s">
        <v>27</v>
      </c>
      <c r="C6" s="20">
        <v>4000</v>
      </c>
      <c r="D6" s="21">
        <v>4200</v>
      </c>
      <c r="E6" s="22">
        <f>IF(OR(TBL_Recepție[[#This Row],[ESTIMAT]]="",TBL_Recepție[[#This Row],[REAL]]=""),"",TBL_Recepție[[#This Row],[ESTIMAT]]-TBL_Recepție[[#This Row],[REAL]])</f>
        <v>-200</v>
      </c>
    </row>
    <row r="7" spans="1:6" ht="21" customHeight="1" x14ac:dyDescent="0.25">
      <c r="B7" s="19" t="s">
        <v>28</v>
      </c>
      <c r="C7" s="20">
        <v>1000</v>
      </c>
      <c r="D7" s="21">
        <v>800</v>
      </c>
      <c r="E7" s="22">
        <f>IF(OR(TBL_Recepție[[#This Row],[ESTIMAT]]="",TBL_Recepție[[#This Row],[REAL]]=""),"",TBL_Recepție[[#This Row],[ESTIMAT]]-TBL_Recepție[[#This Row],[REAL]])</f>
        <v>200</v>
      </c>
    </row>
    <row r="8" spans="1:6" ht="21" customHeight="1" x14ac:dyDescent="0.25">
      <c r="B8" s="19" t="s">
        <v>29</v>
      </c>
      <c r="C8" s="20">
        <v>1000</v>
      </c>
      <c r="D8" s="21"/>
      <c r="E8" s="22" t="str">
        <f>IF(OR(TBL_Recepție[[#This Row],[ESTIMAT]]="",TBL_Recepție[[#This Row],[REAL]]=""),"",TBL_Recepție[[#This Row],[ESTIMAT]]-TBL_Recepție[[#This Row],[REAL]])</f>
        <v/>
      </c>
    </row>
    <row r="9" spans="1:6" ht="21" customHeight="1" x14ac:dyDescent="0.25">
      <c r="B9" s="23" t="s">
        <v>30</v>
      </c>
      <c r="C9" s="24">
        <v>500</v>
      </c>
      <c r="D9" s="25"/>
      <c r="E9" s="26" t="str">
        <f>IF(OR(TBL_Recepție[[#This Row],[ESTIMAT]]="",TBL_Recepție[[#This Row],[REAL]]=""),"",TBL_Recepție[[#This Row],[ESTIMAT]]-TBL_Recepție[[#This Row],[REAL]])</f>
        <v/>
      </c>
    </row>
    <row r="10" spans="1:6" ht="21" customHeight="1" x14ac:dyDescent="0.25">
      <c r="B10" s="27" t="s">
        <v>31</v>
      </c>
      <c r="C10" s="28">
        <f>SUBTOTAL(109,TBL_Recepție[ESTIMAT])</f>
        <v>14500</v>
      </c>
      <c r="D10" s="28">
        <f>SUBTOTAL(109,TBL_Recepție[REAL])</f>
        <v>12800</v>
      </c>
      <c r="E10" s="29">
        <f>TBL_Recepție[[#Totals],[ESTIMAT]]-TBL_Recepție[[#Totals],[REAL]]</f>
        <v>1700</v>
      </c>
      <c r="F10" s="30"/>
    </row>
    <row r="11" spans="1:6" ht="21" customHeight="1" x14ac:dyDescent="0.25">
      <c r="B11" s="1"/>
      <c r="D11" s="31"/>
    </row>
    <row r="12" spans="1:6" ht="21" customHeight="1" x14ac:dyDescent="0.25">
      <c r="B12" s="1"/>
    </row>
    <row r="13" spans="1:6" ht="21" customHeight="1" x14ac:dyDescent="0.25">
      <c r="B13" s="12" t="s">
        <v>32</v>
      </c>
      <c r="C13" s="32" t="s">
        <v>86</v>
      </c>
      <c r="D13" s="32" t="s">
        <v>87</v>
      </c>
      <c r="E13" s="33" t="s">
        <v>4</v>
      </c>
    </row>
    <row r="14" spans="1:6" ht="21" customHeight="1" x14ac:dyDescent="0.25">
      <c r="B14" s="15" t="s">
        <v>33</v>
      </c>
      <c r="C14" s="20">
        <v>3000</v>
      </c>
      <c r="D14" s="20">
        <v>2900</v>
      </c>
      <c r="E14" s="20">
        <f>IF(OR(TBL_Îmbrăcăminte[[#This Row],[ESTIMAT]]="",TBL_Îmbrăcăminte[[#This Row],[REAL]]=""),"",TBL_Îmbrăcăminte[[#This Row],[ESTIMAT]]-TBL_Îmbrăcăminte[[#This Row],[REAL]])</f>
        <v>100</v>
      </c>
    </row>
    <row r="15" spans="1:6" ht="21" customHeight="1" x14ac:dyDescent="0.25">
      <c r="B15" s="19" t="s">
        <v>34</v>
      </c>
      <c r="C15" s="20">
        <v>100</v>
      </c>
      <c r="D15" s="20"/>
      <c r="E15" s="20" t="str">
        <f>IF(OR(TBL_Îmbrăcăminte[[#This Row],[ESTIMAT]]="",TBL_Îmbrăcăminte[[#This Row],[REAL]]=""),"",TBL_Îmbrăcăminte[[#This Row],[ESTIMAT]]-TBL_Îmbrăcăminte[[#This Row],[REAL]])</f>
        <v/>
      </c>
    </row>
    <row r="16" spans="1:6" ht="21" customHeight="1" x14ac:dyDescent="0.25">
      <c r="B16" s="19" t="s">
        <v>35</v>
      </c>
      <c r="C16" s="20">
        <v>200</v>
      </c>
      <c r="D16" s="20"/>
      <c r="E16" s="20" t="str">
        <f>IF(OR(TBL_Îmbrăcăminte[[#This Row],[ESTIMAT]]="",TBL_Îmbrăcăminte[[#This Row],[REAL]]=""),"",TBL_Îmbrăcăminte[[#This Row],[ESTIMAT]]-TBL_Îmbrăcăminte[[#This Row],[REAL]])</f>
        <v/>
      </c>
    </row>
    <row r="17" spans="2:5" ht="21" customHeight="1" x14ac:dyDescent="0.25">
      <c r="B17" s="19" t="s">
        <v>36</v>
      </c>
      <c r="C17" s="20">
        <v>100</v>
      </c>
      <c r="D17" s="20"/>
      <c r="E17" s="20" t="str">
        <f>IF(OR(TBL_Îmbrăcăminte[[#This Row],[ESTIMAT]]="",TBL_Îmbrăcăminte[[#This Row],[REAL]]=""),"",TBL_Îmbrăcăminte[[#This Row],[ESTIMAT]]-TBL_Îmbrăcăminte[[#This Row],[REAL]])</f>
        <v/>
      </c>
    </row>
    <row r="18" spans="2:5" ht="21" customHeight="1" x14ac:dyDescent="0.25">
      <c r="B18" s="19" t="s">
        <v>37</v>
      </c>
      <c r="C18" s="20">
        <v>500</v>
      </c>
      <c r="D18" s="20"/>
      <c r="E18" s="20" t="str">
        <f>IF(OR(TBL_Îmbrăcăminte[[#This Row],[ESTIMAT]]="",TBL_Îmbrăcăminte[[#This Row],[REAL]]=""),"",TBL_Îmbrăcăminte[[#This Row],[ESTIMAT]]-TBL_Îmbrăcăminte[[#This Row],[REAL]])</f>
        <v/>
      </c>
    </row>
    <row r="19" spans="2:5" ht="21" customHeight="1" x14ac:dyDescent="0.25">
      <c r="B19" s="23" t="s">
        <v>30</v>
      </c>
      <c r="C19" s="20">
        <v>100</v>
      </c>
      <c r="D19" s="20"/>
      <c r="E19" s="20" t="str">
        <f>IF(OR(TBL_Îmbrăcăminte[[#This Row],[ESTIMAT]]="",TBL_Îmbrăcăminte[[#This Row],[REAL]]=""),"",TBL_Îmbrăcăminte[[#This Row],[ESTIMAT]]-TBL_Îmbrăcăminte[[#This Row],[REAL]])</f>
        <v/>
      </c>
    </row>
    <row r="20" spans="2:5" ht="21" customHeight="1" x14ac:dyDescent="0.25">
      <c r="B20" s="34" t="s">
        <v>38</v>
      </c>
      <c r="C20" s="28">
        <f>SUBTOTAL(109,TBL_Îmbrăcăminte[ESTIMAT])</f>
        <v>4000</v>
      </c>
      <c r="D20" s="28">
        <f>SUBTOTAL(109,TBL_Îmbrăcăminte[REAL])</f>
        <v>2900</v>
      </c>
      <c r="E20" s="29">
        <f>TBL_Îmbrăcăminte[[#Totals],[ESTIMAT]]-TBL_Îmbrăcăminte[[#Totals],[REAL]]</f>
        <v>1100</v>
      </c>
    </row>
    <row r="21" spans="2:5" ht="21" customHeight="1" x14ac:dyDescent="0.25">
      <c r="B21" s="1"/>
    </row>
    <row r="22" spans="2:5" ht="21" customHeight="1" x14ac:dyDescent="0.25">
      <c r="B22" s="1"/>
    </row>
    <row r="23" spans="2:5" ht="21" customHeight="1" x14ac:dyDescent="0.25">
      <c r="B23" s="12" t="s">
        <v>39</v>
      </c>
      <c r="C23" s="32" t="s">
        <v>86</v>
      </c>
      <c r="D23" s="32" t="s">
        <v>87</v>
      </c>
      <c r="E23" s="33" t="s">
        <v>4</v>
      </c>
    </row>
    <row r="24" spans="2:5" ht="21" customHeight="1" x14ac:dyDescent="0.25">
      <c r="B24" s="15" t="s">
        <v>40</v>
      </c>
      <c r="C24" s="35">
        <v>1000</v>
      </c>
      <c r="D24" s="35"/>
      <c r="E24" s="35" t="str">
        <f>IF(OR(TBL_FloriȘiDecorațiuni[[#This Row],[ESTIMAT]]="",TBL_FloriȘiDecorațiuni[[#This Row],[REAL]]=""),"",TBL_FloriȘiDecorațiuni[[#This Row],[ESTIMAT]]-TBL_FloriȘiDecorațiuni[[#This Row],[REAL]])</f>
        <v/>
      </c>
    </row>
    <row r="25" spans="2:5" ht="21" customHeight="1" x14ac:dyDescent="0.25">
      <c r="B25" s="19" t="s">
        <v>41</v>
      </c>
      <c r="C25" s="35">
        <v>500</v>
      </c>
      <c r="D25" s="35"/>
      <c r="E25" s="35" t="str">
        <f>IF(OR(TBL_FloriȘiDecorațiuni[[#This Row],[ESTIMAT]]="",TBL_FloriȘiDecorațiuni[[#This Row],[REAL]]=""),"",TBL_FloriȘiDecorațiuni[[#This Row],[ESTIMAT]]-TBL_FloriȘiDecorațiuni[[#This Row],[REAL]])</f>
        <v/>
      </c>
    </row>
    <row r="26" spans="2:5" ht="21" customHeight="1" x14ac:dyDescent="0.25">
      <c r="B26" s="19" t="s">
        <v>42</v>
      </c>
      <c r="C26" s="35">
        <v>100</v>
      </c>
      <c r="D26" s="35"/>
      <c r="E26" s="35" t="str">
        <f>IF(OR(TBL_FloriȘiDecorațiuni[[#This Row],[ESTIMAT]]="",TBL_FloriȘiDecorațiuni[[#This Row],[REAL]]=""),"",TBL_FloriȘiDecorațiuni[[#This Row],[ESTIMAT]]-TBL_FloriȘiDecorațiuni[[#This Row],[REAL]])</f>
        <v/>
      </c>
    </row>
    <row r="27" spans="2:5" ht="21" customHeight="1" x14ac:dyDescent="0.25">
      <c r="B27" s="19" t="s">
        <v>43</v>
      </c>
      <c r="C27" s="35">
        <v>500</v>
      </c>
      <c r="D27" s="35"/>
      <c r="E27" s="35" t="str">
        <f>IF(OR(TBL_FloriȘiDecorațiuni[[#This Row],[ESTIMAT]]="",TBL_FloriȘiDecorațiuni[[#This Row],[REAL]]=""),"",TBL_FloriȘiDecorațiuni[[#This Row],[ESTIMAT]]-TBL_FloriȘiDecorațiuni[[#This Row],[REAL]])</f>
        <v/>
      </c>
    </row>
    <row r="28" spans="2:5" ht="21" customHeight="1" x14ac:dyDescent="0.25">
      <c r="B28" s="19" t="s">
        <v>44</v>
      </c>
      <c r="C28" s="35">
        <v>100</v>
      </c>
      <c r="D28" s="35"/>
      <c r="E28" s="35" t="str">
        <f>IF(OR(TBL_FloriȘiDecorațiuni[[#This Row],[ESTIMAT]]="",TBL_FloriȘiDecorațiuni[[#This Row],[REAL]]=""),"",TBL_FloriȘiDecorațiuni[[#This Row],[ESTIMAT]]-TBL_FloriȘiDecorațiuni[[#This Row],[REAL]])</f>
        <v/>
      </c>
    </row>
    <row r="29" spans="2:5" ht="21" customHeight="1" x14ac:dyDescent="0.25">
      <c r="B29" s="19" t="s">
        <v>45</v>
      </c>
      <c r="C29" s="35">
        <v>200</v>
      </c>
      <c r="D29" s="35"/>
      <c r="E29" s="35" t="str">
        <f>IF(OR(TBL_FloriȘiDecorațiuni[[#This Row],[ESTIMAT]]="",TBL_FloriȘiDecorațiuni[[#This Row],[REAL]]=""),"",TBL_FloriȘiDecorațiuni[[#This Row],[ESTIMAT]]-TBL_FloriȘiDecorațiuni[[#This Row],[REAL]])</f>
        <v/>
      </c>
    </row>
    <row r="30" spans="2:5" ht="21" customHeight="1" x14ac:dyDescent="0.25">
      <c r="B30" s="19" t="s">
        <v>46</v>
      </c>
      <c r="C30" s="35">
        <v>300</v>
      </c>
      <c r="D30" s="35"/>
      <c r="E30" s="35" t="str">
        <f>IF(OR(TBL_FloriȘiDecorațiuni[[#This Row],[ESTIMAT]]="",TBL_FloriȘiDecorațiuni[[#This Row],[REAL]]=""),"",TBL_FloriȘiDecorațiuni[[#This Row],[ESTIMAT]]-TBL_FloriȘiDecorațiuni[[#This Row],[REAL]])</f>
        <v/>
      </c>
    </row>
    <row r="31" spans="2:5" ht="21" customHeight="1" x14ac:dyDescent="0.25">
      <c r="B31" s="19" t="s">
        <v>47</v>
      </c>
      <c r="C31" s="35">
        <v>200</v>
      </c>
      <c r="D31" s="35"/>
      <c r="E31" s="35" t="str">
        <f>IF(OR(TBL_FloriȘiDecorațiuni[[#This Row],[ESTIMAT]]="",TBL_FloriȘiDecorațiuni[[#This Row],[REAL]]=""),"",TBL_FloriȘiDecorațiuni[[#This Row],[ESTIMAT]]-TBL_FloriȘiDecorațiuni[[#This Row],[REAL]])</f>
        <v/>
      </c>
    </row>
    <row r="32" spans="2:5" ht="21" customHeight="1" x14ac:dyDescent="0.25">
      <c r="B32" s="23" t="s">
        <v>30</v>
      </c>
      <c r="C32" s="35">
        <v>100</v>
      </c>
      <c r="D32" s="35"/>
      <c r="E32" s="35" t="str">
        <f>IF(OR(TBL_FloriȘiDecorațiuni[[#This Row],[ESTIMAT]]="",TBL_FloriȘiDecorațiuni[[#This Row],[REAL]]=""),"",TBL_FloriȘiDecorațiuni[[#This Row],[ESTIMAT]]-TBL_FloriȘiDecorațiuni[[#This Row],[REAL]])</f>
        <v/>
      </c>
    </row>
    <row r="33" spans="2:5" ht="21" customHeight="1" x14ac:dyDescent="0.25">
      <c r="B33" s="34" t="s">
        <v>48</v>
      </c>
      <c r="C33" s="28">
        <f>SUBTOTAL(109,TBL_FloriȘiDecorațiuni[ESTIMAT])</f>
        <v>3000</v>
      </c>
      <c r="D33" s="28">
        <f>SUBTOTAL(109,TBL_FloriȘiDecorațiuni[REAL])</f>
        <v>0</v>
      </c>
      <c r="E33" s="29">
        <f>TBL_FloriȘiDecorațiuni[[#Totals],[ESTIMAT]]-TBL_FloriȘiDecorațiuni[[#Totals],[REAL]]</f>
        <v>3000</v>
      </c>
    </row>
    <row r="34" spans="2:5" ht="21" customHeight="1" x14ac:dyDescent="0.25">
      <c r="B34" s="1"/>
    </row>
    <row r="35" spans="2:5" ht="21" customHeight="1" x14ac:dyDescent="0.25">
      <c r="B35" s="1"/>
    </row>
    <row r="36" spans="2:5" ht="21" customHeight="1" x14ac:dyDescent="0.25">
      <c r="B36" s="12" t="s">
        <v>49</v>
      </c>
      <c r="C36" s="32" t="s">
        <v>86</v>
      </c>
      <c r="D36" s="32" t="s">
        <v>87</v>
      </c>
      <c r="E36" s="33" t="s">
        <v>4</v>
      </c>
    </row>
    <row r="37" spans="2:5" ht="21" customHeight="1" x14ac:dyDescent="0.25">
      <c r="B37" s="15" t="s">
        <v>50</v>
      </c>
      <c r="C37" s="35">
        <v>700</v>
      </c>
      <c r="D37" s="35"/>
      <c r="E37" s="35" t="str">
        <f>IF(OR(TBL_Muzică[[#This Row],[ESTIMAT]]="",TBL_Muzică[[#This Row],[REAL]]=""),"",TBL_Muzică[[#This Row],[ESTIMAT]]-TBL_Muzică[[#This Row],[REAL]])</f>
        <v/>
      </c>
    </row>
    <row r="38" spans="2:5" ht="21" customHeight="1" x14ac:dyDescent="0.25">
      <c r="B38" s="19" t="s">
        <v>51</v>
      </c>
      <c r="C38" s="35">
        <v>300</v>
      </c>
      <c r="D38" s="35"/>
      <c r="E38" s="35" t="str">
        <f>IF(OR(TBL_Muzică[[#This Row],[ESTIMAT]]="",TBL_Muzică[[#This Row],[REAL]]=""),"",TBL_Muzică[[#This Row],[ESTIMAT]]-TBL_Muzică[[#This Row],[REAL]])</f>
        <v/>
      </c>
    </row>
    <row r="39" spans="2:5" ht="21" customHeight="1" x14ac:dyDescent="0.25">
      <c r="B39" s="19" t="s">
        <v>52</v>
      </c>
      <c r="C39" s="35">
        <v>200</v>
      </c>
      <c r="D39" s="35"/>
      <c r="E39" s="35" t="str">
        <f>IF(OR(TBL_Muzică[[#This Row],[ESTIMAT]]="",TBL_Muzică[[#This Row],[REAL]]=""),"",TBL_Muzică[[#This Row],[ESTIMAT]]-TBL_Muzică[[#This Row],[REAL]])</f>
        <v/>
      </c>
    </row>
    <row r="40" spans="2:5" ht="21" customHeight="1" x14ac:dyDescent="0.25">
      <c r="B40" s="19" t="s">
        <v>53</v>
      </c>
      <c r="C40" s="35">
        <v>400</v>
      </c>
      <c r="D40" s="35"/>
      <c r="E40" s="35" t="str">
        <f>IF(OR(TBL_Muzică[[#This Row],[ESTIMAT]]="",TBL_Muzică[[#This Row],[REAL]]=""),"",TBL_Muzică[[#This Row],[ESTIMAT]]-TBL_Muzică[[#This Row],[REAL]])</f>
        <v/>
      </c>
    </row>
    <row r="41" spans="2:5" ht="21" customHeight="1" x14ac:dyDescent="0.25">
      <c r="B41" s="23" t="s">
        <v>30</v>
      </c>
      <c r="C41" s="35">
        <v>200</v>
      </c>
      <c r="D41" s="35"/>
      <c r="E41" s="35" t="str">
        <f>IF(OR(TBL_Muzică[[#This Row],[ESTIMAT]]="",TBL_Muzică[[#This Row],[REAL]]=""),"",TBL_Muzică[[#This Row],[ESTIMAT]]-TBL_Muzică[[#This Row],[REAL]])</f>
        <v/>
      </c>
    </row>
    <row r="42" spans="2:5" ht="21" customHeight="1" x14ac:dyDescent="0.25">
      <c r="B42" s="34" t="s">
        <v>54</v>
      </c>
      <c r="C42" s="28">
        <f>SUBTOTAL(109,TBL_Muzică[ESTIMAT])</f>
        <v>1800</v>
      </c>
      <c r="D42" s="28">
        <f>SUBTOTAL(109,TBL_Muzică[REAL])</f>
        <v>0</v>
      </c>
      <c r="E42" s="28">
        <f>TBL_Muzică[[#Totals],[ESTIMAT]]-TBL_Muzică[[#Totals],[REAL]]</f>
        <v>1800</v>
      </c>
    </row>
    <row r="43" spans="2:5" ht="21" customHeight="1" x14ac:dyDescent="0.25">
      <c r="B43" s="1"/>
    </row>
    <row r="44" spans="2:5" ht="21" customHeight="1" x14ac:dyDescent="0.25">
      <c r="B44" s="1"/>
    </row>
    <row r="45" spans="2:5" ht="21" customHeight="1" x14ac:dyDescent="0.25">
      <c r="B45" s="12" t="s">
        <v>55</v>
      </c>
      <c r="C45" s="32" t="s">
        <v>86</v>
      </c>
      <c r="D45" s="32" t="s">
        <v>87</v>
      </c>
      <c r="E45" s="33" t="s">
        <v>4</v>
      </c>
    </row>
    <row r="46" spans="2:5" ht="21" customHeight="1" x14ac:dyDescent="0.25">
      <c r="B46" s="15" t="s">
        <v>56</v>
      </c>
      <c r="C46" s="35">
        <v>1000</v>
      </c>
      <c r="D46" s="35"/>
      <c r="E46" s="35" t="str">
        <f>IF(OR(TBL_FotografiiȘiVideoclipuri[[#This Row],[ESTIMAT]]="",TBL_FotografiiȘiVideoclipuri[[#This Row],[REAL]]=""),"",TBL_FotografiiȘiVideoclipuri[[#This Row],[ESTIMAT]]-TBL_FotografiiȘiVideoclipuri[[#This Row],[REAL]])</f>
        <v/>
      </c>
    </row>
    <row r="47" spans="2:5" ht="21" customHeight="1" x14ac:dyDescent="0.25">
      <c r="B47" s="19" t="s">
        <v>57</v>
      </c>
      <c r="C47" s="35">
        <v>800</v>
      </c>
      <c r="D47" s="35"/>
      <c r="E47" s="35" t="str">
        <f>IF(OR(TBL_FotografiiȘiVideoclipuri[[#This Row],[ESTIMAT]]="",TBL_FotografiiȘiVideoclipuri[[#This Row],[REAL]]=""),"",TBL_FotografiiȘiVideoclipuri[[#This Row],[ESTIMAT]]-TBL_FotografiiȘiVideoclipuri[[#This Row],[REAL]])</f>
        <v/>
      </c>
    </row>
    <row r="48" spans="2:5" ht="21" customHeight="1" x14ac:dyDescent="0.25">
      <c r="B48" s="19" t="s">
        <v>58</v>
      </c>
      <c r="C48" s="35">
        <v>500</v>
      </c>
      <c r="D48" s="35"/>
      <c r="E48" s="35" t="str">
        <f>IF(OR(TBL_FotografiiȘiVideoclipuri[[#This Row],[ESTIMAT]]="",TBL_FotografiiȘiVideoclipuri[[#This Row],[REAL]]=""),"",TBL_FotografiiȘiVideoclipuri[[#This Row],[ESTIMAT]]-TBL_FotografiiȘiVideoclipuri[[#This Row],[REAL]])</f>
        <v/>
      </c>
    </row>
    <row r="49" spans="2:5" ht="21" customHeight="1" x14ac:dyDescent="0.25">
      <c r="B49" s="23" t="s">
        <v>30</v>
      </c>
      <c r="C49" s="35">
        <v>200</v>
      </c>
      <c r="D49" s="35"/>
      <c r="E49" s="35" t="str">
        <f>IF(OR(TBL_FotografiiȘiVideoclipuri[[#This Row],[ESTIMAT]]="",TBL_FotografiiȘiVideoclipuri[[#This Row],[REAL]]=""),"",TBL_FotografiiȘiVideoclipuri[[#This Row],[ESTIMAT]]-TBL_FotografiiȘiVideoclipuri[[#This Row],[REAL]])</f>
        <v/>
      </c>
    </row>
    <row r="50" spans="2:5" ht="21" customHeight="1" x14ac:dyDescent="0.25">
      <c r="B50" s="34" t="s">
        <v>59</v>
      </c>
      <c r="C50" s="28">
        <f>SUBTOTAL(109,TBL_FotografiiȘiVideoclipuri[ESTIMAT])</f>
        <v>2500</v>
      </c>
      <c r="D50" s="28">
        <f>SUBTOTAL(109,TBL_FotografiiȘiVideoclipuri[REAL])</f>
        <v>0</v>
      </c>
      <c r="E50" s="28">
        <f>TBL_FotografiiȘiVideoclipuri[[#Totals],[ESTIMAT]]-TBL_FotografiiȘiVideoclipuri[[#Totals],[REAL]]</f>
        <v>2500</v>
      </c>
    </row>
    <row r="51" spans="2:5" ht="21" customHeight="1" x14ac:dyDescent="0.25">
      <c r="B51" s="1"/>
    </row>
    <row r="52" spans="2:5" ht="21" customHeight="1" x14ac:dyDescent="0.25">
      <c r="B52" s="1"/>
    </row>
    <row r="53" spans="2:5" ht="21" customHeight="1" x14ac:dyDescent="0.25">
      <c r="B53" s="12" t="s">
        <v>60</v>
      </c>
      <c r="C53" s="32" t="s">
        <v>86</v>
      </c>
      <c r="D53" s="32" t="s">
        <v>87</v>
      </c>
      <c r="E53" s="33" t="s">
        <v>4</v>
      </c>
    </row>
    <row r="54" spans="2:5" ht="21" customHeight="1" x14ac:dyDescent="0.25">
      <c r="B54" s="15" t="s">
        <v>61</v>
      </c>
      <c r="C54" s="35">
        <v>700</v>
      </c>
      <c r="D54" s="35"/>
      <c r="E54" s="35" t="str">
        <f>IF(OR(TBL_FavoruriȘiDaruri[[#This Row],[ESTIMAT]]="",TBL_FavoruriȘiDaruri[[#This Row],[REAL]]=""),"",TBL_FavoruriȘiDaruri[[#This Row],[ESTIMAT]]-TBL_FavoruriȘiDaruri[[#This Row],[REAL]])</f>
        <v/>
      </c>
    </row>
    <row r="55" spans="2:5" ht="21" customHeight="1" x14ac:dyDescent="0.25">
      <c r="B55" s="19" t="s">
        <v>62</v>
      </c>
      <c r="C55" s="35">
        <v>200</v>
      </c>
      <c r="D55" s="35"/>
      <c r="E55" s="35" t="str">
        <f>IF(OR(TBL_FavoruriȘiDaruri[[#This Row],[ESTIMAT]]="",TBL_FavoruriȘiDaruri[[#This Row],[REAL]]=""),"",TBL_FavoruriȘiDaruri[[#This Row],[ESTIMAT]]-TBL_FavoruriȘiDaruri[[#This Row],[REAL]])</f>
        <v/>
      </c>
    </row>
    <row r="56" spans="2:5" ht="21" customHeight="1" x14ac:dyDescent="0.25">
      <c r="B56" s="23" t="s">
        <v>30</v>
      </c>
      <c r="C56" s="35">
        <v>200</v>
      </c>
      <c r="D56" s="35"/>
      <c r="E56" s="35" t="str">
        <f>IF(OR(TBL_FavoruriȘiDaruri[[#This Row],[ESTIMAT]]="",TBL_FavoruriȘiDaruri[[#This Row],[REAL]]=""),"",TBL_FavoruriȘiDaruri[[#This Row],[ESTIMAT]]-TBL_FavoruriȘiDaruri[[#This Row],[REAL]])</f>
        <v/>
      </c>
    </row>
    <row r="57" spans="2:5" ht="21" customHeight="1" x14ac:dyDescent="0.25">
      <c r="B57" s="34" t="s">
        <v>63</v>
      </c>
      <c r="C57" s="28">
        <f>SUBTOTAL(109,TBL_FavoruriȘiDaruri[ESTIMAT])</f>
        <v>1100</v>
      </c>
      <c r="D57" s="28">
        <f>SUBTOTAL(109,TBL_FavoruriȘiDaruri[REAL])</f>
        <v>0</v>
      </c>
      <c r="E57" s="28">
        <f>TBL_FavoruriȘiDaruri[[#Totals],[ESTIMAT]]-TBL_FavoruriȘiDaruri[[#Totals],[REAL]]</f>
        <v>1100</v>
      </c>
    </row>
    <row r="58" spans="2:5" ht="21" customHeight="1" x14ac:dyDescent="0.25">
      <c r="B58" s="1"/>
    </row>
    <row r="59" spans="2:5" ht="21" customHeight="1" x14ac:dyDescent="0.25">
      <c r="B59" s="1"/>
    </row>
    <row r="60" spans="2:5" ht="21" customHeight="1" x14ac:dyDescent="0.25">
      <c r="B60" s="12" t="s">
        <v>64</v>
      </c>
      <c r="C60" s="32" t="s">
        <v>86</v>
      </c>
      <c r="D60" s="32" t="s">
        <v>87</v>
      </c>
      <c r="E60" s="33" t="s">
        <v>4</v>
      </c>
    </row>
    <row r="61" spans="2:5" ht="21" customHeight="1" x14ac:dyDescent="0.25">
      <c r="B61" s="15" t="s">
        <v>65</v>
      </c>
      <c r="C61" s="35">
        <v>500</v>
      </c>
      <c r="D61" s="35"/>
      <c r="E61" s="35" t="str">
        <f>IF(OR(TBL_Ceremonie[[#This Row],[ESTIMAT]]="",TBL_Ceremonie[[#This Row],[REAL]]=""),"",TBL_Ceremonie[[#This Row],[ESTIMAT]]-TBL_Ceremonie[[#This Row],[REAL]])</f>
        <v/>
      </c>
    </row>
    <row r="62" spans="2:5" ht="21" customHeight="1" x14ac:dyDescent="0.25">
      <c r="B62" s="19" t="s">
        <v>66</v>
      </c>
      <c r="C62" s="35">
        <v>200</v>
      </c>
      <c r="D62" s="35"/>
      <c r="E62" s="35" t="str">
        <f>IF(OR(TBL_Ceremonie[[#This Row],[ESTIMAT]]="",TBL_Ceremonie[[#This Row],[REAL]]=""),"",TBL_Ceremonie[[#This Row],[ESTIMAT]]-TBL_Ceremonie[[#This Row],[REAL]])</f>
        <v/>
      </c>
    </row>
    <row r="63" spans="2:5" ht="21" customHeight="1" x14ac:dyDescent="0.25">
      <c r="B63" s="23" t="s">
        <v>30</v>
      </c>
      <c r="C63" s="35">
        <v>100</v>
      </c>
      <c r="D63" s="35"/>
      <c r="E63" s="35" t="str">
        <f>IF(OR(TBL_Ceremonie[[#This Row],[ESTIMAT]]="",TBL_Ceremonie[[#This Row],[REAL]]=""),"",TBL_Ceremonie[[#This Row],[ESTIMAT]]-TBL_Ceremonie[[#This Row],[REAL]])</f>
        <v/>
      </c>
    </row>
    <row r="64" spans="2:5" ht="21" customHeight="1" x14ac:dyDescent="0.25">
      <c r="B64" s="34" t="s">
        <v>67</v>
      </c>
      <c r="C64" s="28">
        <f>SUBTOTAL(109,TBL_Ceremonie[ESTIMAT])</f>
        <v>800</v>
      </c>
      <c r="D64" s="28">
        <f>SUBTOTAL(109,TBL_Ceremonie[REAL])</f>
        <v>0</v>
      </c>
      <c r="E64" s="28">
        <f>TBL_Ceremonie[[#Totals],[ESTIMAT]]-TBL_Ceremonie[[#Totals],[REAL]]</f>
        <v>800</v>
      </c>
    </row>
    <row r="65" spans="2:5" ht="21" customHeight="1" x14ac:dyDescent="0.25">
      <c r="B65" s="1"/>
    </row>
    <row r="66" spans="2:5" ht="21" customHeight="1" x14ac:dyDescent="0.25">
      <c r="B66" s="1"/>
    </row>
    <row r="67" spans="2:5" ht="21" customHeight="1" x14ac:dyDescent="0.25">
      <c r="B67" s="12" t="s">
        <v>68</v>
      </c>
      <c r="C67" s="32" t="s">
        <v>86</v>
      </c>
      <c r="D67" s="32" t="s">
        <v>87</v>
      </c>
      <c r="E67" s="33" t="s">
        <v>4</v>
      </c>
    </row>
    <row r="68" spans="2:5" ht="21" customHeight="1" x14ac:dyDescent="0.25">
      <c r="B68" s="15" t="s">
        <v>69</v>
      </c>
      <c r="C68" s="35">
        <v>50</v>
      </c>
      <c r="D68" s="35"/>
      <c r="E68" s="35" t="str">
        <f>IF(OR(TBL_Papetărie[[#This Row],[ESTIMAT]]="",TBL_Papetărie[[#This Row],[REAL]]=""),"",TBL_Papetărie[[#This Row],[ESTIMAT]]-TBL_Papetărie[[#This Row],[REAL]])</f>
        <v/>
      </c>
    </row>
    <row r="69" spans="2:5" ht="21" customHeight="1" x14ac:dyDescent="0.25">
      <c r="B69" s="19" t="s">
        <v>70</v>
      </c>
      <c r="C69" s="35">
        <v>100</v>
      </c>
      <c r="D69" s="35"/>
      <c r="E69" s="35" t="str">
        <f>IF(OR(TBL_Papetărie[[#This Row],[ESTIMAT]]="",TBL_Papetărie[[#This Row],[REAL]]=""),"",TBL_Papetărie[[#This Row],[ESTIMAT]]-TBL_Papetărie[[#This Row],[REAL]])</f>
        <v/>
      </c>
    </row>
    <row r="70" spans="2:5" ht="21" customHeight="1" x14ac:dyDescent="0.25">
      <c r="B70" s="19" t="s">
        <v>71</v>
      </c>
      <c r="C70" s="35">
        <v>50</v>
      </c>
      <c r="D70" s="35"/>
      <c r="E70" s="35" t="str">
        <f>IF(OR(TBL_Papetărie[[#This Row],[ESTIMAT]]="",TBL_Papetărie[[#This Row],[REAL]]=""),"",TBL_Papetărie[[#This Row],[ESTIMAT]]-TBL_Papetărie[[#This Row],[REAL]])</f>
        <v/>
      </c>
    </row>
    <row r="71" spans="2:5" ht="21" customHeight="1" x14ac:dyDescent="0.25">
      <c r="B71" s="19" t="s">
        <v>72</v>
      </c>
      <c r="C71" s="35">
        <v>50</v>
      </c>
      <c r="D71" s="35"/>
      <c r="E71" s="35" t="str">
        <f>IF(OR(TBL_Papetărie[[#This Row],[ESTIMAT]]="",TBL_Papetărie[[#This Row],[REAL]]=""),"",TBL_Papetărie[[#This Row],[ESTIMAT]]-TBL_Papetărie[[#This Row],[REAL]])</f>
        <v/>
      </c>
    </row>
    <row r="72" spans="2:5" ht="21" customHeight="1" x14ac:dyDescent="0.25">
      <c r="B72" s="19" t="s">
        <v>73</v>
      </c>
      <c r="C72" s="35">
        <v>50</v>
      </c>
      <c r="D72" s="35"/>
      <c r="E72" s="35" t="str">
        <f>IF(OR(TBL_Papetărie[[#This Row],[ESTIMAT]]="",TBL_Papetărie[[#This Row],[REAL]]=""),"",TBL_Papetărie[[#This Row],[ESTIMAT]]-TBL_Papetărie[[#This Row],[REAL]])</f>
        <v/>
      </c>
    </row>
    <row r="73" spans="2:5" ht="21" customHeight="1" x14ac:dyDescent="0.25">
      <c r="B73" s="19" t="s">
        <v>74</v>
      </c>
      <c r="C73" s="35">
        <v>50</v>
      </c>
      <c r="D73" s="35"/>
      <c r="E73" s="35" t="str">
        <f>IF(OR(TBL_Papetărie[[#This Row],[ESTIMAT]]="",TBL_Papetărie[[#This Row],[REAL]]=""),"",TBL_Papetărie[[#This Row],[ESTIMAT]]-TBL_Papetărie[[#This Row],[REAL]])</f>
        <v/>
      </c>
    </row>
    <row r="74" spans="2:5" ht="21" customHeight="1" x14ac:dyDescent="0.25">
      <c r="B74" s="19" t="s">
        <v>75</v>
      </c>
      <c r="C74" s="35">
        <v>50</v>
      </c>
      <c r="D74" s="35"/>
      <c r="E74" s="35" t="str">
        <f>IF(OR(TBL_Papetărie[[#This Row],[ESTIMAT]]="",TBL_Papetărie[[#This Row],[REAL]]=""),"",TBL_Papetărie[[#This Row],[ESTIMAT]]-TBL_Papetărie[[#This Row],[REAL]])</f>
        <v/>
      </c>
    </row>
    <row r="75" spans="2:5" ht="21" customHeight="1" x14ac:dyDescent="0.25">
      <c r="B75" s="23" t="s">
        <v>30</v>
      </c>
      <c r="C75" s="35">
        <v>100</v>
      </c>
      <c r="D75" s="35"/>
      <c r="E75" s="35" t="str">
        <f>IF(OR(TBL_Papetărie[[#This Row],[ESTIMAT]]="",TBL_Papetărie[[#This Row],[REAL]]=""),"",TBL_Papetărie[[#This Row],[ESTIMAT]]-TBL_Papetărie[[#This Row],[REAL]])</f>
        <v/>
      </c>
    </row>
    <row r="76" spans="2:5" ht="21" customHeight="1" x14ac:dyDescent="0.25">
      <c r="B76" s="34" t="s">
        <v>76</v>
      </c>
      <c r="C76" s="28">
        <f>SUBTOTAL(109,TBL_Papetărie[ESTIMAT])</f>
        <v>500</v>
      </c>
      <c r="D76" s="28">
        <f>SUBTOTAL(109,TBL_Papetărie[REAL])</f>
        <v>0</v>
      </c>
      <c r="E76" s="28">
        <f>TBL_Papetărie[[#Totals],[ESTIMAT]]-TBL_Papetărie[[#Totals],[REAL]]</f>
        <v>500</v>
      </c>
    </row>
    <row r="77" spans="2:5" ht="21" customHeight="1" x14ac:dyDescent="0.25">
      <c r="B77" s="1"/>
    </row>
    <row r="78" spans="2:5" ht="21" customHeight="1" x14ac:dyDescent="0.25">
      <c r="B78" s="1"/>
    </row>
    <row r="79" spans="2:5" ht="21" customHeight="1" x14ac:dyDescent="0.25">
      <c r="B79" s="12" t="s">
        <v>77</v>
      </c>
      <c r="C79" s="32" t="s">
        <v>86</v>
      </c>
      <c r="D79" s="32" t="s">
        <v>87</v>
      </c>
      <c r="E79" s="33" t="s">
        <v>4</v>
      </c>
    </row>
    <row r="80" spans="2:5" ht="21" customHeight="1" x14ac:dyDescent="0.25">
      <c r="B80" s="36" t="s">
        <v>16</v>
      </c>
      <c r="C80" s="37">
        <v>1000</v>
      </c>
      <c r="D80" s="37"/>
      <c r="E80" s="37" t="str">
        <f>IF(OR(TBL_Verighete[[#This Row],[ESTIMAT]]="",TBL_Verighete[[#This Row],[REAL]]=""),"",TBL_Verighete[[#This Row],[ESTIMAT]]-TBL_Verighete[[#This Row],[REAL]])</f>
        <v/>
      </c>
    </row>
    <row r="81" spans="2:5" ht="21" customHeight="1" x14ac:dyDescent="0.25">
      <c r="B81" s="38" t="s">
        <v>78</v>
      </c>
      <c r="C81" s="37">
        <v>100</v>
      </c>
      <c r="D81" s="37"/>
      <c r="E81" s="37" t="str">
        <f>IF(OR(TBL_Verighete[[#This Row],[ESTIMAT]]="",TBL_Verighete[[#This Row],[REAL]]=""),"",TBL_Verighete[[#This Row],[ESTIMAT]]-TBL_Verighete[[#This Row],[REAL]])</f>
        <v/>
      </c>
    </row>
    <row r="82" spans="2:5" ht="21" customHeight="1" x14ac:dyDescent="0.25">
      <c r="B82" s="34" t="s">
        <v>79</v>
      </c>
      <c r="C82" s="28">
        <f>SUBTOTAL(109,TBL_Verighete[ESTIMAT])</f>
        <v>1100</v>
      </c>
      <c r="D82" s="28">
        <f>SUBTOTAL(109,TBL_Verighete[REAL])</f>
        <v>0</v>
      </c>
      <c r="E82" s="28">
        <f>TBL_Verighete[[#Totals],[ESTIMAT]]-TBL_Verighete[[#Totals],[REAL]]</f>
        <v>1100</v>
      </c>
    </row>
    <row r="83" spans="2:5" ht="21" customHeight="1" x14ac:dyDescent="0.25">
      <c r="B83" s="1"/>
    </row>
    <row r="84" spans="2:5" ht="21" customHeight="1" x14ac:dyDescent="0.25">
      <c r="B84" s="1"/>
    </row>
    <row r="85" spans="2:5" ht="21" customHeight="1" x14ac:dyDescent="0.25">
      <c r="B85" s="12" t="s">
        <v>80</v>
      </c>
      <c r="C85" s="32" t="s">
        <v>86</v>
      </c>
      <c r="D85" s="32" t="s">
        <v>87</v>
      </c>
      <c r="E85" s="33" t="s">
        <v>4</v>
      </c>
    </row>
    <row r="86" spans="2:5" ht="21" customHeight="1" x14ac:dyDescent="0.25">
      <c r="B86" s="15" t="s">
        <v>81</v>
      </c>
      <c r="C86" s="35">
        <v>100</v>
      </c>
      <c r="D86" s="35"/>
      <c r="E86" s="35" t="str">
        <f>IF(OR(TBL_Transport[[#This Row],[ESTIMAT]]="",TBL_Transport[[#This Row],[REAL]]=""),"",TBL_Transport[[#This Row],[ESTIMAT]]-TBL_Transport[[#This Row],[REAL]])</f>
        <v/>
      </c>
    </row>
    <row r="87" spans="2:5" ht="21" customHeight="1" x14ac:dyDescent="0.25">
      <c r="B87" s="19" t="s">
        <v>82</v>
      </c>
      <c r="C87" s="35">
        <v>100</v>
      </c>
      <c r="D87" s="35"/>
      <c r="E87" s="35" t="str">
        <f>IF(OR(TBL_Transport[[#This Row],[ESTIMAT]]="",TBL_Transport[[#This Row],[REAL]]=""),"",TBL_Transport[[#This Row],[ESTIMAT]]-TBL_Transport[[#This Row],[REAL]])</f>
        <v/>
      </c>
    </row>
    <row r="88" spans="2:5" ht="21" customHeight="1" x14ac:dyDescent="0.25">
      <c r="B88" s="19" t="s">
        <v>83</v>
      </c>
      <c r="C88" s="35">
        <v>100</v>
      </c>
      <c r="D88" s="35"/>
      <c r="E88" s="35" t="str">
        <f>IF(OR(TBL_Transport[[#This Row],[ESTIMAT]]="",TBL_Transport[[#This Row],[REAL]]=""),"",TBL_Transport[[#This Row],[ESTIMAT]]-TBL_Transport[[#This Row],[REAL]])</f>
        <v/>
      </c>
    </row>
    <row r="89" spans="2:5" ht="21" customHeight="1" x14ac:dyDescent="0.25">
      <c r="B89" s="19" t="s">
        <v>84</v>
      </c>
      <c r="C89" s="35">
        <v>50</v>
      </c>
      <c r="D89" s="35"/>
      <c r="E89" s="35" t="str">
        <f>IF(OR(TBL_Transport[[#This Row],[ESTIMAT]]="",TBL_Transport[[#This Row],[REAL]]=""),"",TBL_Transport[[#This Row],[ESTIMAT]]-TBL_Transport[[#This Row],[REAL]])</f>
        <v/>
      </c>
    </row>
    <row r="90" spans="2:5" ht="21" customHeight="1" x14ac:dyDescent="0.25">
      <c r="B90" s="23" t="s">
        <v>30</v>
      </c>
      <c r="C90" s="35">
        <v>100</v>
      </c>
      <c r="D90" s="35"/>
      <c r="E90" s="35" t="str">
        <f>IF(OR(TBL_Transport[[#This Row],[ESTIMAT]]="",TBL_Transport[[#This Row],[REAL]]=""),"",TBL_Transport[[#This Row],[ESTIMAT]]-TBL_Transport[[#This Row],[REAL]])</f>
        <v/>
      </c>
    </row>
    <row r="91" spans="2:5" ht="21" customHeight="1" x14ac:dyDescent="0.25">
      <c r="B91" s="34" t="s">
        <v>85</v>
      </c>
      <c r="C91" s="28">
        <f>SUBTOTAL(109,TBL_Transport[ESTIMAT])</f>
        <v>450</v>
      </c>
      <c r="D91" s="28">
        <f>SUBTOTAL(109,TBL_Transport[REAL])</f>
        <v>0</v>
      </c>
      <c r="E91" s="28">
        <f>TBL_Transport[[#Totals],[ESTIMAT]]-TBL_Transport[[#Totals],[REAL]]</f>
        <v>450</v>
      </c>
    </row>
    <row r="92" spans="2:5" ht="21" customHeight="1" x14ac:dyDescent="0.25">
      <c r="B92" s="1"/>
    </row>
    <row r="93" spans="2:5" ht="21" customHeight="1" x14ac:dyDescent="0.25">
      <c r="B93" s="1"/>
    </row>
    <row r="94" spans="2:5" ht="21" customHeight="1" x14ac:dyDescent="0.25">
      <c r="B94" s="1"/>
    </row>
  </sheetData>
  <dataValidations count="1">
    <dataValidation allowBlank="1" showInputMessage="1" showErrorMessage="1" prompt="Adăugați sau editați anumite elemente de cheltuieli pentru fiecare categorie._x000a__x000a_Introduceți costurile estimate și costurile reale. Coloanele cu Varianța și rândurile totale sunt calculate automat." sqref="A1" xr:uid="{00000000-0002-0000-0100-000000000000}"/>
  </dataValidations>
  <printOptions horizontalCentered="1"/>
  <pageMargins left="0.7" right="0.7" top="0.75" bottom="0.75" header="0.3" footer="0.3"/>
  <pageSetup paperSize="9" scale="95" orientation="portrait" r:id="rId1"/>
  <rowBreaks count="3" manualBreakCount="3">
    <brk id="34" max="16383" man="1"/>
    <brk id="35" max="16383" man="1"/>
    <brk id="66" max="16383" man="1"/>
  </rowBreaks>
  <colBreaks count="1" manualBreakCount="1">
    <brk id="4" max="1048575" man="1"/>
  </colBreaks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26e97fa315356fffbdcd9876fe988c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4b8f0def80e6d70ce3def20c90759a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2A0F02-85C8-4B8F-89D8-668D4E6F9B82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46223853-B9DB-43C6-BAAA-5E1EE7156A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4524A9-AAD4-4D89-AE3F-C59CD6152D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Buget de nuntă</vt:lpstr>
      <vt:lpstr>Detaliile bugetului</vt:lpstr>
      <vt:lpstr>'Detaliile bugetului'!Print_Titles</vt:lpstr>
      <vt:lpstr>TBL_RankingData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2020-06-09T06:03:15Z</dcterms:created>
  <dcterms:modified xsi:type="dcterms:W3CDTF">2020-08-26T09:06:14Z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