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fixing\_Wave3,4\106813\ROM\"/>
    </mc:Choice>
  </mc:AlternateContent>
  <bookViews>
    <workbookView xWindow="0" yWindow="60" windowWidth="19440" windowHeight="14175"/>
  </bookViews>
  <sheets>
    <sheet name="Introducere date" sheetId="1" r:id="rId1"/>
    <sheet name="Raport vânzări" sheetId="2" r:id="rId2"/>
    <sheet name="Prognoză vânzări" sheetId="5" r:id="rId3"/>
  </sheets>
  <definedNames>
    <definedName name="DatăPrognoză">'Prognoză vânzări'!$D$3</definedName>
    <definedName name="fAn">'Prognoză vânzări'!$I$2</definedName>
    <definedName name="fDată">'Prognoză vânzări'!$D$3</definedName>
    <definedName name="fLună">'Prognoză vânzări'!$G$2</definedName>
    <definedName name="fZi">'Prognoză vânzări'!$H$2</definedName>
    <definedName name="_xlnm.Print_Titles" localSheetId="1">'Raport vânzări'!$B:$E,'Raport vânzări'!$5:$5</definedName>
    <definedName name="Zonă_Imprimare" localSheetId="2">'Prognoză vânzări'!$B$2:$J$43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B3" i="5" l="1"/>
  <c r="D3" i="5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K6" i="1" l="1"/>
  <c r="J6" i="1"/>
  <c r="Q6" i="1" s="1"/>
  <c r="N6" i="1"/>
  <c r="H6" i="1"/>
  <c r="I6" i="1" s="1"/>
  <c r="L6" i="1"/>
  <c r="K10" i="1"/>
  <c r="N10" i="1"/>
  <c r="H10" i="1"/>
  <c r="I10" i="1" s="1"/>
  <c r="J10" i="1"/>
  <c r="L10" i="1"/>
  <c r="K14" i="1"/>
  <c r="N14" i="1"/>
  <c r="L14" i="1"/>
  <c r="H14" i="1"/>
  <c r="I14" i="1" s="1"/>
  <c r="J14" i="1"/>
  <c r="K18" i="1"/>
  <c r="N18" i="1"/>
  <c r="H18" i="1"/>
  <c r="I18" i="1" s="1"/>
  <c r="J18" i="1"/>
  <c r="L18" i="1"/>
  <c r="K22" i="1"/>
  <c r="N22" i="1"/>
  <c r="J22" i="1"/>
  <c r="L22" i="1"/>
  <c r="H22" i="1"/>
  <c r="I22" i="1" s="1"/>
  <c r="M22" i="1" s="1"/>
  <c r="K7" i="1"/>
  <c r="O14" i="1" s="1"/>
  <c r="N7" i="1"/>
  <c r="L7" i="1"/>
  <c r="J7" i="1"/>
  <c r="Q7" i="1" s="1"/>
  <c r="H7" i="1"/>
  <c r="I7" i="1" s="1"/>
  <c r="M10" i="1" s="1"/>
  <c r="O7" i="1"/>
  <c r="K11" i="1"/>
  <c r="N11" i="1"/>
  <c r="H11" i="1"/>
  <c r="I11" i="1" s="1"/>
  <c r="L11" i="1"/>
  <c r="J11" i="1"/>
  <c r="K15" i="1"/>
  <c r="H15" i="1"/>
  <c r="I15" i="1" s="1"/>
  <c r="N15" i="1"/>
  <c r="L15" i="1"/>
  <c r="J15" i="1"/>
  <c r="K19" i="1"/>
  <c r="N19" i="1"/>
  <c r="L19" i="1"/>
  <c r="J19" i="1"/>
  <c r="H19" i="1"/>
  <c r="I19" i="1" s="1"/>
  <c r="M19" i="1" s="1"/>
  <c r="K23" i="1"/>
  <c r="H23" i="1"/>
  <c r="I23" i="1" s="1"/>
  <c r="N23" i="1"/>
  <c r="L23" i="1"/>
  <c r="J23" i="1"/>
  <c r="K8" i="1"/>
  <c r="O11" i="1" s="1"/>
  <c r="L8" i="1"/>
  <c r="J8" i="1"/>
  <c r="O8" i="1"/>
  <c r="N8" i="1"/>
  <c r="H8" i="1"/>
  <c r="I8" i="1" s="1"/>
  <c r="K12" i="1"/>
  <c r="J12" i="1"/>
  <c r="H12" i="1"/>
  <c r="I12" i="1" s="1"/>
  <c r="L12" i="1"/>
  <c r="N12" i="1"/>
  <c r="K16" i="1"/>
  <c r="L16" i="1"/>
  <c r="N16" i="1"/>
  <c r="J16" i="1"/>
  <c r="H16" i="1"/>
  <c r="I16" i="1" s="1"/>
  <c r="M15" i="1" s="1"/>
  <c r="K20" i="1"/>
  <c r="J20" i="1"/>
  <c r="H20" i="1"/>
  <c r="I20" i="1" s="1"/>
  <c r="L20" i="1"/>
  <c r="N20" i="1"/>
  <c r="K24" i="1"/>
  <c r="N24" i="1"/>
  <c r="L24" i="1"/>
  <c r="J24" i="1"/>
  <c r="H24" i="1"/>
  <c r="I24" i="1" s="1"/>
  <c r="M24" i="1" s="1"/>
  <c r="K9" i="1"/>
  <c r="O9" i="1"/>
  <c r="L9" i="1"/>
  <c r="J9" i="1"/>
  <c r="N9" i="1"/>
  <c r="H9" i="1"/>
  <c r="I9" i="1" s="1"/>
  <c r="K13" i="1"/>
  <c r="J13" i="1"/>
  <c r="N13" i="1"/>
  <c r="H13" i="1"/>
  <c r="I13" i="1" s="1"/>
  <c r="L13" i="1"/>
  <c r="M13" i="1"/>
  <c r="K17" i="1"/>
  <c r="L17" i="1"/>
  <c r="J17" i="1"/>
  <c r="Q17" i="1" s="1"/>
  <c r="N17" i="1"/>
  <c r="H17" i="1"/>
  <c r="I17" i="1" s="1"/>
  <c r="K21" i="1"/>
  <c r="L21" i="1"/>
  <c r="N21" i="1"/>
  <c r="H21" i="1"/>
  <c r="I21" i="1" s="1"/>
  <c r="J21" i="1"/>
  <c r="G10" i="5"/>
  <c r="C10" i="5"/>
  <c r="H7" i="5"/>
  <c r="H8" i="5"/>
  <c r="G6" i="5"/>
  <c r="G7" i="5"/>
  <c r="C7" i="5"/>
  <c r="C8" i="5"/>
  <c r="G8" i="5"/>
  <c r="D8" i="5"/>
  <c r="D7" i="5"/>
  <c r="C6" i="5"/>
  <c r="Q13" i="1" l="1"/>
  <c r="Q12" i="1"/>
  <c r="O23" i="1"/>
  <c r="O19" i="1"/>
  <c r="M6" i="1"/>
  <c r="P11" i="1" s="1"/>
  <c r="O21" i="1"/>
  <c r="M17" i="1"/>
  <c r="M9" i="1"/>
  <c r="Q24" i="1"/>
  <c r="O20" i="1"/>
  <c r="M16" i="1"/>
  <c r="O15" i="1"/>
  <c r="M11" i="1"/>
  <c r="M7" i="1"/>
  <c r="P18" i="1" s="1"/>
  <c r="O22" i="1"/>
  <c r="O10" i="1"/>
  <c r="Q22" i="1"/>
  <c r="M14" i="1"/>
  <c r="Q10" i="1"/>
  <c r="O13" i="1"/>
  <c r="Q9" i="1"/>
  <c r="O24" i="1"/>
  <c r="M20" i="1"/>
  <c r="Q16" i="1"/>
  <c r="O12" i="1"/>
  <c r="M8" i="1"/>
  <c r="M23" i="1"/>
  <c r="Q19" i="1"/>
  <c r="Q15" i="1"/>
  <c r="O18" i="1"/>
  <c r="P10" i="1"/>
  <c r="I14" i="5"/>
  <c r="O6" i="1"/>
  <c r="P19" i="1"/>
  <c r="M18" i="1"/>
  <c r="Q21" i="1"/>
  <c r="M21" i="1"/>
  <c r="O17" i="1"/>
  <c r="P24" i="1"/>
  <c r="Q20" i="1"/>
  <c r="O16" i="1"/>
  <c r="M12" i="1"/>
  <c r="P8" i="1"/>
  <c r="Q8" i="1"/>
  <c r="Q23" i="1"/>
  <c r="Q11" i="1"/>
  <c r="Q18" i="1"/>
  <c r="Q14" i="1"/>
  <c r="P6" i="1"/>
  <c r="D14" i="5"/>
  <c r="J7" i="5"/>
  <c r="G9" i="5"/>
  <c r="H9" i="5"/>
  <c r="J8" i="5"/>
  <c r="G11" i="5"/>
  <c r="I8" i="5"/>
  <c r="I7" i="5"/>
  <c r="P9" i="1" l="1"/>
  <c r="P17" i="1"/>
  <c r="P7" i="1"/>
  <c r="P15" i="1"/>
  <c r="P20" i="1"/>
  <c r="P12" i="1"/>
  <c r="P21" i="1"/>
  <c r="P23" i="1"/>
  <c r="P13" i="1"/>
  <c r="P16" i="1"/>
  <c r="P14" i="1"/>
  <c r="F14" i="5"/>
  <c r="P22" i="1"/>
  <c r="J9" i="5"/>
  <c r="F7" i="5"/>
  <c r="C11" i="5"/>
  <c r="F8" i="5"/>
  <c r="D9" i="5"/>
  <c r="C9" i="5"/>
  <c r="E8" i="5"/>
  <c r="E7" i="5"/>
  <c r="F9" i="5" l="1"/>
</calcChain>
</file>

<file path=xl/sharedStrings.xml><?xml version="1.0" encoding="utf-8"?>
<sst xmlns="http://schemas.openxmlformats.org/spreadsheetml/2006/main" count="94" uniqueCount="57">
  <si>
    <t>A. Datum Corporation</t>
  </si>
  <si>
    <t>Contoso Pharmaceuticals</t>
  </si>
  <si>
    <t>Consolidated Messenger</t>
  </si>
  <si>
    <t>Proseware, Inc.</t>
  </si>
  <si>
    <t>School of Fine Art</t>
  </si>
  <si>
    <t>Trey Research</t>
  </si>
  <si>
    <t>Total general</t>
  </si>
  <si>
    <t>%</t>
  </si>
  <si>
    <t>Cantitate</t>
  </si>
  <si>
    <t>Venituri</t>
  </si>
  <si>
    <t>Margine</t>
  </si>
  <si>
    <t>Numărul de comenzi</t>
  </si>
  <si>
    <t>Valoare medie comandă</t>
  </si>
  <si>
    <t>Vânzări</t>
  </si>
  <si>
    <t>% ACTUAL</t>
  </si>
  <si>
    <r>
      <rPr>
        <sz val="22"/>
        <color theme="3"/>
        <rFont val="Arial Black"/>
        <family val="2"/>
        <scheme val="major"/>
      </rPr>
      <t xml:space="preserve">LUNAR </t>
    </r>
    <r>
      <rPr>
        <sz val="22"/>
        <color theme="4"/>
        <rFont val="Arial"/>
        <family val="2"/>
        <scheme val="minor"/>
      </rPr>
      <t>INTRODUCERE DATE</t>
    </r>
  </si>
  <si>
    <t>LUNĂ</t>
  </si>
  <si>
    <t>TRIMESTRU</t>
  </si>
  <si>
    <t xml:space="preserve">LUNĂ </t>
  </si>
  <si>
    <t xml:space="preserve">TRIMESTRU </t>
  </si>
  <si>
    <t xml:space="preserve">ANUAL </t>
  </si>
  <si>
    <t>AN</t>
  </si>
  <si>
    <t xml:space="preserve">LUNĂ  </t>
  </si>
  <si>
    <t xml:space="preserve">TRIMESTRU  </t>
  </si>
  <si>
    <t xml:space="preserve">AN  </t>
  </si>
  <si>
    <t>DATĂ</t>
  </si>
  <si>
    <t>FIRMĂ</t>
  </si>
  <si>
    <t>SUMĂ</t>
  </si>
  <si>
    <t>PLANIFICATE</t>
  </si>
  <si>
    <t>COSTURI</t>
  </si>
  <si>
    <t>VENITURI</t>
  </si>
  <si>
    <t>NUM LUNAR (ASCUNDERE)</t>
  </si>
  <si>
    <t>PROGNOZĂ</t>
  </si>
  <si>
    <t>TOTALURI</t>
  </si>
  <si>
    <r>
      <rPr>
        <sz val="22"/>
        <color theme="3"/>
        <rFont val="Arial Black"/>
        <family val="2"/>
        <scheme val="major"/>
      </rPr>
      <t xml:space="preserve">LUNAR </t>
    </r>
    <r>
      <rPr>
        <sz val="22"/>
        <color theme="4"/>
        <rFont val="Arial"/>
        <family val="2"/>
        <scheme val="minor"/>
      </rPr>
      <t>PROGNOZĂ VÂNZĂRI</t>
    </r>
  </si>
  <si>
    <t>LUNA ACEASTA</t>
  </si>
  <si>
    <t>REAL</t>
  </si>
  <si>
    <t>PLAN</t>
  </si>
  <si>
    <t>VARIANŢĂ</t>
  </si>
  <si>
    <t>PROCENT ACTUAL</t>
  </si>
  <si>
    <t>PLAN ACTUAL</t>
  </si>
  <si>
    <t>VARIANŢĂ ACTUALĂ</t>
  </si>
  <si>
    <t>LUNA URMĂTOARE</t>
  </si>
  <si>
    <t>TRIMESTRUL URMĂTOR</t>
  </si>
  <si>
    <t>ANUL VIITOR</t>
  </si>
  <si>
    <t>ISTORIC VÂNZĂRI</t>
  </si>
  <si>
    <t>PROGNOZĂ ANUALĂ</t>
  </si>
  <si>
    <t>CURS VENITURI</t>
  </si>
  <si>
    <t>PROGNOZĂ LUNARĂ</t>
  </si>
  <si>
    <t>PROGNOZĂ TRIMESTRU</t>
  </si>
  <si>
    <r>
      <rPr>
        <sz val="22"/>
        <color theme="3"/>
        <rFont val="Arial Black"/>
        <family val="2"/>
        <scheme val="major"/>
      </rPr>
      <t xml:space="preserve">LUNAR </t>
    </r>
    <r>
      <rPr>
        <sz val="22"/>
        <color theme="4"/>
        <rFont val="Arial"/>
        <family val="2"/>
        <scheme val="minor"/>
      </rPr>
      <t>RAPORT VÂNZĂRI</t>
    </r>
  </si>
  <si>
    <t xml:space="preserve"> </t>
  </si>
  <si>
    <t>Trimestru 2 Total</t>
  </si>
  <si>
    <t>Trimestru 3 Total</t>
  </si>
  <si>
    <t>Trimestru 4 Total</t>
  </si>
  <si>
    <t>Total 2013</t>
  </si>
  <si>
    <t>TOTAL VÂNZĂRI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</si>
</sst>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l_e_i_-;\-* #,##0.00\ _l_e_i_-;_-* &quot;-&quot;??\ _l_e_i_-;_-@_-"/>
    <numFmt numFmtId="164" formatCode="&quot;$&quot;#,##0.00"/>
    <numFmt numFmtId="165" formatCode="mmmm"/>
    <numFmt numFmtId="166" formatCode="_(0"/>
    <numFmt numFmtId="167" formatCode="&quot; Quarter &quot;0"/>
    <numFmt numFmtId="168" formatCode="_(mmmm"/>
    <numFmt numFmtId="169" formatCode="&quot;Trimestru &quot;0"/>
    <numFmt numFmtId="170" formatCode="#,##0.00\ &quot;lei&quot;"/>
  </numFmts>
  <fonts count="17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"/>
      <color theme="5"/>
      <name val="Arial Black"/>
      <family val="2"/>
      <scheme val="major"/>
    </font>
    <font>
      <sz val="10"/>
      <color theme="1"/>
      <name val="Arial Black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7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5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164" fontId="0" fillId="0" borderId="0" xfId="0" applyNumberForma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164" fontId="10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>
      <alignment vertical="center"/>
    </xf>
    <xf numFmtId="166" fontId="10" fillId="0" borderId="0" xfId="0" applyNumberFormat="1" applyFont="1">
      <alignment vertical="center"/>
    </xf>
    <xf numFmtId="166" fontId="0" fillId="0" borderId="0" xfId="0" applyNumberFormat="1" applyAlignment="1">
      <alignment horizontal="left" vertical="center"/>
    </xf>
    <xf numFmtId="167" fontId="0" fillId="0" borderId="0" xfId="0" applyNumberFormat="1">
      <alignment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164" fontId="7" fillId="0" borderId="4" xfId="4" applyNumberFormat="1" applyFill="1" applyBorder="1" applyAlignment="1">
      <alignment horizontal="left" vertical="center"/>
    </xf>
    <xf numFmtId="164" fontId="7" fillId="0" borderId="4" xfId="4" applyNumberFormat="1" applyFill="1" applyBorder="1" applyAlignment="1">
      <alignment horizontal="right" vertical="center"/>
    </xf>
    <xf numFmtId="0" fontId="7" fillId="0" borderId="0" xfId="4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64" fontId="9" fillId="5" borderId="1" xfId="0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4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pivotButton="1">
      <alignment vertical="center"/>
    </xf>
    <xf numFmtId="169" fontId="3" fillId="5" borderId="0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9" fontId="0" fillId="0" borderId="0" xfId="0" applyNumberFormat="1" applyAlignment="1">
      <alignment horizontal="left" vertical="center"/>
    </xf>
    <xf numFmtId="17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/>
    </xf>
    <xf numFmtId="170" fontId="10" fillId="0" borderId="0" xfId="0" applyNumberFormat="1" applyFont="1">
      <alignment vertical="center"/>
    </xf>
    <xf numFmtId="170" fontId="9" fillId="5" borderId="1" xfId="0" applyNumberFormat="1" applyFont="1" applyFill="1" applyBorder="1" applyAlignment="1">
      <alignment horizontal="left" vertical="center" indent="1"/>
    </xf>
    <xf numFmtId="170" fontId="10" fillId="0" borderId="0" xfId="0" applyNumberFormat="1" applyFont="1" applyFill="1" applyBorder="1" applyAlignment="1">
      <alignment horizontal="left" vertical="center"/>
    </xf>
    <xf numFmtId="170" fontId="3" fillId="5" borderId="0" xfId="0" applyNumberFormat="1" applyFont="1" applyFill="1" applyBorder="1" applyAlignment="1">
      <alignment horizontal="left" vertical="center"/>
    </xf>
    <xf numFmtId="170" fontId="3" fillId="4" borderId="0" xfId="0" applyNumberFormat="1" applyFont="1" applyFill="1" applyBorder="1" applyAlignment="1">
      <alignment horizontal="left" vertical="center"/>
    </xf>
    <xf numFmtId="170" fontId="3" fillId="3" borderId="0" xfId="0" applyNumberFormat="1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pivotButton="1" applyFont="1">
      <alignment vertical="center"/>
    </xf>
    <xf numFmtId="170" fontId="11" fillId="0" borderId="3" xfId="0" applyNumberFormat="1" applyFont="1" applyBorder="1" applyAlignment="1">
      <alignment horizontal="left"/>
    </xf>
    <xf numFmtId="170" fontId="11" fillId="0" borderId="3" xfId="0" applyNumberFormat="1" applyFont="1" applyBorder="1" applyAlignment="1">
      <alignment horizontal="left" vertical="center"/>
    </xf>
  </cellXfs>
  <cellStyles count="5">
    <cellStyle name="Normal" xfId="0" builtinId="0" customBuiltin="1"/>
    <cellStyle name="Titlu 1" xfId="2" builtinId="16" customBuiltin="1"/>
    <cellStyle name="Titlu 2" xfId="3" builtinId="17" customBuiltin="1"/>
    <cellStyle name="Titlu 4" xfId="4" builtinId="19" customBuiltin="1"/>
    <cellStyle name="Virgulă" xfId="1" builtinId="3"/>
  </cellStyles>
  <dxfs count="113"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font>
        <sz val="10"/>
      </font>
    </dxf>
    <dxf>
      <font>
        <name val="Arial Black"/>
        <scheme val="major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font>
        <b/>
      </font>
    </dxf>
    <dxf>
      <font>
        <b/>
      </font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</font>
    </dxf>
    <dxf>
      <font>
        <b/>
      </font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name val="Arial Black"/>
        <scheme val="major"/>
      </font>
    </dxf>
    <dxf>
      <font>
        <sz val="10"/>
      </font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numFmt numFmtId="170" formatCode="#,##0.00\ &quot;lei&quot;"/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#,##0.00\ &quot;lei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#,##0.00\ &quot;lei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#,##0.00\ &quot;lei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#,##0.00\ &quot;lei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#,##0.00\ &quot;lei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#,##0.00\ &quot;lei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0" formatCode="General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1" formatCode="&quot;Quarter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5" formatCode="mmmm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#,##0.00\ &quot;lei&quot;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0" formatCode="#,##0.00\ &quot;lei&quot;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0" formatCode="#,##0.00\ &quot;lei&quot;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0" formatCode="#,##0.00\ &quot;lei&quot;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2" formatCode="mm/dd/yyyy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Raport vânzări Table Style" defaultPivotStyle="Monthly Raport vânzări PivotTable Style">
    <tableStyle name="Monthly Raport vânzări PivotTable Style" table="0" count="8">
      <tableStyleElement type="wholeTable" dxfId="112"/>
      <tableStyleElement type="headerRow" dxfId="111"/>
      <tableStyleElement type="totalRow" dxfId="110"/>
      <tableStyleElement type="secondSubtotalRow" dxfId="109"/>
      <tableStyleElement type="thirdSubtotalRow" dxfId="108"/>
      <tableStyleElement type="firstRowSubheading" dxfId="107"/>
      <tableStyleElement type="secondRowSubheading" dxfId="106"/>
      <tableStyleElement type="thirdRowSubheading" dxfId="105"/>
    </tableStyle>
    <tableStyle name="Monthly Raport vânzări Table Style" pivot="0" count="2">
      <tableStyleElement type="wholeTable" dxfId="104"/>
      <tableStyleElement type="headerRow" dxfId="10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'Introducere date'!$D$5</c:f>
              <c:strCache>
                <c:ptCount val="1"/>
                <c:pt idx="0">
                  <c:v>SUMĂ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'Introducere date'!$B$6:$B$24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'Introducere date'!$D$6:$D$24</c:f>
              <c:numCache>
                <c:formatCode>#,##0.00\ "lei"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'Introducere date'!$E$5</c:f>
              <c:strCache>
                <c:ptCount val="1"/>
                <c:pt idx="0">
                  <c:v>PLANIFICATE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'Introducere date'!$B$6:$B$24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'Introducere date'!$E$6:$E$24</c:f>
              <c:numCache>
                <c:formatCode>#,##0.00\ "lei"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'Introducere date'!$F$5</c:f>
              <c:strCache>
                <c:ptCount val="1"/>
                <c:pt idx="0">
                  <c:v>COSTURI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'Introducere date'!$B$6:$B$24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'Introducere date'!$F$6:$F$24</c:f>
              <c:numCache>
                <c:formatCode>#,##0.00\ "lei"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'Introducere date'!$G$5</c:f>
              <c:strCache>
                <c:ptCount val="1"/>
                <c:pt idx="0">
                  <c:v>VENITURI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'Introducere date'!$B$6:$B$24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'Introducere date'!$G$6:$G$24</c:f>
              <c:numCache>
                <c:formatCode>#,##0.00\ "lei"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4768"/>
        <c:axId val="4545328"/>
      </c:lineChart>
      <c:dateAx>
        <c:axId val="4544768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o-RO"/>
          </a:p>
        </c:txPr>
        <c:crossAx val="4545328"/>
        <c:crosses val="autoZero"/>
        <c:auto val="1"/>
        <c:lblOffset val="100"/>
        <c:baseTimeUnit val="days"/>
        <c:majorUnit val="1"/>
        <c:majorTimeUnit val="months"/>
      </c:dateAx>
      <c:valAx>
        <c:axId val="454532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lei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o-RO"/>
          </a:p>
        </c:txPr>
        <c:crossAx val="4544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'Introducere date'!$O$5</c:f>
              <c:strCache>
                <c:ptCount val="1"/>
                <c:pt idx="0">
                  <c:v>LUNĂ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'Introducere date'!$B$6:$B$24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'Introducere date'!$O$6:$O$24</c:f>
              <c:numCache>
                <c:formatCode>#,##0.00\ "lei"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40240"/>
        <c:axId val="156840800"/>
      </c:lineChart>
      <c:dateAx>
        <c:axId val="15684024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56840800"/>
        <c:crosses val="autoZero"/>
        <c:auto val="1"/>
        <c:lblOffset val="100"/>
        <c:baseTimeUnit val="days"/>
        <c:majorUnit val="1"/>
      </c:dateAx>
      <c:valAx>
        <c:axId val="15684080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lei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o-RO"/>
          </a:p>
        </c:txPr>
        <c:crossAx val="1568402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'Introducere date'!$P$5</c:f>
              <c:strCache>
                <c:ptCount val="1"/>
                <c:pt idx="0">
                  <c:v>TRIMESTRU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'Introducere date'!$B$6:$B$24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'Introducere date'!$P$6:$P$24</c:f>
              <c:numCache>
                <c:formatCode>#,##0.00\ "lei"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43040"/>
        <c:axId val="156843600"/>
      </c:lineChart>
      <c:dateAx>
        <c:axId val="15684304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56843600"/>
        <c:crosses val="autoZero"/>
        <c:auto val="1"/>
        <c:lblOffset val="100"/>
        <c:baseTimeUnit val="days"/>
        <c:majorUnit val="1"/>
      </c:dateAx>
      <c:valAx>
        <c:axId val="15684360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lei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o-RO"/>
          </a:p>
        </c:txPr>
        <c:crossAx val="1568430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'Introducere date'!$Q$5</c:f>
              <c:strCache>
                <c:ptCount val="1"/>
                <c:pt idx="0">
                  <c:v>AN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'Introducere date'!$B$6:$B$24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'Introducere date'!$Q$6:$Q$24</c:f>
              <c:numCache>
                <c:formatCode>#,##0.00\ "lei"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45840"/>
        <c:axId val="157383856"/>
      </c:lineChart>
      <c:dateAx>
        <c:axId val="15684584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57383856"/>
        <c:crosses val="autoZero"/>
        <c:auto val="1"/>
        <c:lblOffset val="100"/>
        <c:baseTimeUnit val="days"/>
        <c:majorUnit val="1"/>
      </c:dateAx>
      <c:valAx>
        <c:axId val="15738385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lei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o-RO"/>
          </a:p>
        </c:txPr>
        <c:crossAx val="156845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'Introducere date'!$G$5</c:f>
              <c:strCache>
                <c:ptCount val="1"/>
                <c:pt idx="0">
                  <c:v>VENITURI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'Introducere date'!$B$6:$B$24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'Introducere date'!$G$6:$G$24</c:f>
              <c:numCache>
                <c:formatCode>#,##0.00\ "lei"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386096"/>
        <c:axId val="157386656"/>
      </c:lineChart>
      <c:dateAx>
        <c:axId val="15738609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57386656"/>
        <c:crosses val="autoZero"/>
        <c:auto val="1"/>
        <c:lblOffset val="100"/>
        <c:baseTimeUnit val="days"/>
        <c:majorUnit val="1"/>
      </c:dateAx>
      <c:valAx>
        <c:axId val="15738665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lei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o-RO"/>
          </a:p>
        </c:txPr>
        <c:crossAx val="1573860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ognoz&#259; v&#226;nz&#259;ri'!A1"/><Relationship Id="rId1" Type="http://schemas.openxmlformats.org/officeDocument/2006/relationships/hyperlink" Target="#'Raport v&#226;nz&#259;ri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ognoz&#259; v&#226;nz&#259;ri'!A1"/><Relationship Id="rId1" Type="http://schemas.openxmlformats.org/officeDocument/2006/relationships/hyperlink" Target="#'Introducere date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Raport v&#226;nz&#259;ri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Introducere date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</xdr:row>
      <xdr:rowOff>85724</xdr:rowOff>
    </xdr:from>
    <xdr:to>
      <xdr:col>6</xdr:col>
      <xdr:colOff>828675</xdr:colOff>
      <xdr:row>1</xdr:row>
      <xdr:rowOff>316124</xdr:rowOff>
    </xdr:to>
    <xdr:sp macro="" textlink="">
      <xdr:nvSpPr>
        <xdr:cNvPr id="2" name="Raport vânzări" descr="Click to view Raport vânzări sheet." title="Raport vânzări navigation button">
          <a:hlinkClick xmlns:r="http://schemas.openxmlformats.org/officeDocument/2006/relationships" r:id="rId1" tooltip="Faceți clic pentru a vizualiza foaia Raport vânzări"/>
        </xdr:cNvPr>
        <xdr:cNvSpPr/>
      </xdr:nvSpPr>
      <xdr:spPr>
        <a:xfrm>
          <a:off x="4981575" y="228599"/>
          <a:ext cx="1123950" cy="2304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Raport vânzări</a:t>
          </a:r>
        </a:p>
      </xdr:txBody>
    </xdr:sp>
    <xdr:clientData fPrintsWithSheet="0"/>
  </xdr:twoCellAnchor>
  <xdr:twoCellAnchor>
    <xdr:from>
      <xdr:col>6</xdr:col>
      <xdr:colOff>904875</xdr:colOff>
      <xdr:row>1</xdr:row>
      <xdr:rowOff>85726</xdr:rowOff>
    </xdr:from>
    <xdr:to>
      <xdr:col>8</xdr:col>
      <xdr:colOff>413004</xdr:colOff>
      <xdr:row>1</xdr:row>
      <xdr:rowOff>314326</xdr:rowOff>
    </xdr:to>
    <xdr:sp macro="" textlink="">
      <xdr:nvSpPr>
        <xdr:cNvPr id="3" name="Prognoză vânzări" descr="Click to view Prognoză vânzări sheet." title="Prognoză vânzări navigation button">
          <a:hlinkClick xmlns:r="http://schemas.openxmlformats.org/officeDocument/2006/relationships" r:id="rId2" tooltip="Faceți clic pentru a vizualiza foaia Prognoză vânzări"/>
        </xdr:cNvPr>
        <xdr:cNvSpPr/>
      </xdr:nvSpPr>
      <xdr:spPr>
        <a:xfrm>
          <a:off x="5848350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Prognoză vânzări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1733550</xdr:colOff>
      <xdr:row>1</xdr:row>
      <xdr:rowOff>76200</xdr:rowOff>
    </xdr:from>
    <xdr:to>
      <xdr:col>5</xdr:col>
      <xdr:colOff>563500</xdr:colOff>
      <xdr:row>1</xdr:row>
      <xdr:rowOff>306600</xdr:rowOff>
    </xdr:to>
    <xdr:sp macro="" textlink="">
      <xdr:nvSpPr>
        <xdr:cNvPr id="7" name="Raport vânzări" descr="Click to view Intrare date sheet." title="Intrare date navigation button">
          <a:hlinkClick xmlns:r="http://schemas.openxmlformats.org/officeDocument/2006/relationships" r:id="rId1" tooltip="Faceți clic pentru a vizualiza foaia Intrare date"/>
        </xdr:cNvPr>
        <xdr:cNvSpPr/>
      </xdr:nvSpPr>
      <xdr:spPr>
        <a:xfrm>
          <a:off x="5048250" y="219075"/>
          <a:ext cx="1077850" cy="2304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Intrare date</a:t>
          </a:r>
        </a:p>
      </xdr:txBody>
    </xdr:sp>
    <xdr:clientData fPrintsWithSheet="0"/>
  </xdr:twoCellAnchor>
  <xdr:twoCellAnchor>
    <xdr:from>
      <xdr:col>5</xdr:col>
      <xdr:colOff>628650</xdr:colOff>
      <xdr:row>1</xdr:row>
      <xdr:rowOff>76201</xdr:rowOff>
    </xdr:from>
    <xdr:to>
      <xdr:col>6</xdr:col>
      <xdr:colOff>374904</xdr:colOff>
      <xdr:row>1</xdr:row>
      <xdr:rowOff>304801</xdr:rowOff>
    </xdr:to>
    <xdr:sp macro="" textlink="">
      <xdr:nvSpPr>
        <xdr:cNvPr id="8" name="Prognoză vânzări" descr="Click to view Prognoză vânzări sheet." title="Prognoză vânzări navigation button">
          <a:hlinkClick xmlns:r="http://schemas.openxmlformats.org/officeDocument/2006/relationships" r:id="rId2" tooltip="Faceți clic pentru a vizualiza foaia Prognoză vânzări"/>
        </xdr:cNvPr>
        <xdr:cNvSpPr/>
      </xdr:nvSpPr>
      <xdr:spPr>
        <a:xfrm>
          <a:off x="6191250" y="219076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Prognoză vânzări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19050</xdr:rowOff>
    </xdr:from>
    <xdr:to>
      <xdr:col>9</xdr:col>
      <xdr:colOff>838199</xdr:colOff>
      <xdr:row>28</xdr:row>
      <xdr:rowOff>0</xdr:rowOff>
    </xdr:to>
    <xdr:graphicFrame macro="">
      <xdr:nvGraphicFramePr>
        <xdr:cNvPr id="4" name="Istoric vânzări" descr="Sales history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Prognoză lunară" descr="Month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9</xdr:col>
      <xdr:colOff>871537</xdr:colOff>
      <xdr:row>35</xdr:row>
      <xdr:rowOff>92919</xdr:rowOff>
    </xdr:to>
    <xdr:graphicFrame macro="">
      <xdr:nvGraphicFramePr>
        <xdr:cNvPr id="6" name="Prognoză trimestru" descr="Quarte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Prognoză anuală" descr="Yea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9</xdr:col>
      <xdr:colOff>874765</xdr:colOff>
      <xdr:row>43</xdr:row>
      <xdr:rowOff>64345</xdr:rowOff>
    </xdr:to>
    <xdr:graphicFrame macro="">
      <xdr:nvGraphicFramePr>
        <xdr:cNvPr id="8" name="Flux venituri" descr="Revenue stream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495299</xdr:colOff>
      <xdr:row>1</xdr:row>
      <xdr:rowOff>76200</xdr:rowOff>
    </xdr:from>
    <xdr:to>
      <xdr:col>6</xdr:col>
      <xdr:colOff>696848</xdr:colOff>
      <xdr:row>1</xdr:row>
      <xdr:rowOff>306600</xdr:rowOff>
    </xdr:to>
    <xdr:sp macro="" textlink="">
      <xdr:nvSpPr>
        <xdr:cNvPr id="10" name="Raport vânzări" descr="Click to view Intrare date sheet." title="Intrare date navigation button">
          <a:hlinkClick xmlns:r="http://schemas.openxmlformats.org/officeDocument/2006/relationships" r:id="rId6" tooltip="Faceți clic pentru a vizualiza foaia Intrare date"/>
        </xdr:cNvPr>
        <xdr:cNvSpPr/>
      </xdr:nvSpPr>
      <xdr:spPr>
        <a:xfrm>
          <a:off x="4667249" y="219075"/>
          <a:ext cx="1115949" cy="2304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Intrare date</a:t>
          </a:r>
        </a:p>
      </xdr:txBody>
    </xdr:sp>
    <xdr:clientData fPrintsWithSheet="0"/>
  </xdr:twoCellAnchor>
  <xdr:twoCellAnchor>
    <xdr:from>
      <xdr:col>6</xdr:col>
      <xdr:colOff>771525</xdr:colOff>
      <xdr:row>1</xdr:row>
      <xdr:rowOff>76201</xdr:rowOff>
    </xdr:from>
    <xdr:to>
      <xdr:col>7</xdr:col>
      <xdr:colOff>581025</xdr:colOff>
      <xdr:row>1</xdr:row>
      <xdr:rowOff>306601</xdr:rowOff>
    </xdr:to>
    <xdr:sp macro="" textlink="">
      <xdr:nvSpPr>
        <xdr:cNvPr id="11" name="Prognoză vânzări" descr="Click to view Raport vânzări sheet." title="Raport vânzări navigation button">
          <a:hlinkClick xmlns:r="http://schemas.openxmlformats.org/officeDocument/2006/relationships" r:id="rId7" tooltip="Faceți clic pentru a vizualiza foaia Raport vânzări"/>
        </xdr:cNvPr>
        <xdr:cNvSpPr/>
      </xdr:nvSpPr>
      <xdr:spPr>
        <a:xfrm>
          <a:off x="5857875" y="219076"/>
          <a:ext cx="1219200" cy="2304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Raport vânzări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r Barborik" refreshedDate="41236.581952777778" createdVersion="5" refreshedVersion="5" minRefreshableVersion="3" recordCount="19">
  <cacheSource type="worksheet">
    <worksheetSource name="tblDate"/>
  </cacheSource>
  <cacheFields count="16">
    <cacheField name="DATĂ" numFmtId="14">
      <sharedItems containsSemiMixedTypes="0" containsNonDate="0" containsDate="1" containsString="0" minDate="2013-04-23T00:00:00" maxDate="2013-12-12T00:00:00"/>
    </cacheField>
    <cacheField name="FIRMĂ" numFmtId="0">
      <sharedItems count="6">
        <s v="A. Datum Corporation"/>
        <s v="Contoso Pharmaceuticals"/>
        <s v="Consolidated Messenger"/>
        <s v="Proseware, Inc."/>
        <s v="School of Fine Art"/>
        <s v="Trey Research"/>
      </sharedItems>
    </cacheField>
    <cacheField name="SUMĂ" numFmtId="170">
      <sharedItems containsSemiMixedTypes="0" containsString="0" containsNumber="1" containsInteger="1" minValue="4400" maxValue="9500"/>
    </cacheField>
    <cacheField name="PLANIFICATE" numFmtId="170">
      <sharedItems containsSemiMixedTypes="0" containsString="0" containsNumber="1" containsInteger="1" minValue="4200" maxValue="10000"/>
    </cacheField>
    <cacheField name="COSTURI" numFmtId="170">
      <sharedItems containsSemiMixedTypes="0" containsString="0" containsNumber="1" containsInteger="1" minValue="2600" maxValue="8500"/>
    </cacheField>
    <cacheField name="VENITURI" numFmtId="170">
      <sharedItems containsSemiMixedTypes="0" containsString="0" containsNumber="1" containsInteger="1" minValue="900" maxValue="1950"/>
    </cacheField>
    <cacheField name="LUNĂ" numFmtId="165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TRIMESTRU" numFmtId="169">
      <sharedItems containsSemiMixedTypes="0" containsString="0" containsNumber="1" containsInteger="1" minValue="2" maxValue="4" count="3">
        <n v="2"/>
        <n v="3"/>
        <n v="4"/>
      </sharedItems>
    </cacheField>
    <cacheField name="AN" numFmtId="0">
      <sharedItems containsSemiMixedTypes="0" containsString="0" containsNumber="1" containsInteger="1" minValue="2013" maxValue="2013" count="1">
        <n v="2013"/>
      </sharedItems>
    </cacheField>
    <cacheField name="NUM LUNAR (ASCUNDERE)" numFmtId="0">
      <sharedItems containsSemiMixedTypes="0" containsString="0" containsNumber="1" containsInteger="1" minValue="4" maxValue="12"/>
    </cacheField>
    <cacheField name="LUNĂ " numFmtId="170">
      <sharedItems containsSemiMixedTypes="0" containsString="0" containsNumber="1" containsInteger="1" minValue="8700" maxValue="25600"/>
    </cacheField>
    <cacheField name="TRIMESTRU " numFmtId="170">
      <sharedItems containsSemiMixedTypes="0" containsString="0" containsNumber="1" containsInteger="1" minValue="43900" maxValue="50800"/>
    </cacheField>
    <cacheField name="ANUAL " numFmtId="170">
      <sharedItems containsSemiMixedTypes="0" containsString="0" containsNumber="1" containsInteger="1" minValue="143800" maxValue="143800"/>
    </cacheField>
    <cacheField name="LUNĂ  " numFmtId="170">
      <sharedItems containsSemiMixedTypes="0" containsString="0" containsNumber="1" minValue="10776.470588235294" maxValue="29000"/>
    </cacheField>
    <cacheField name="TRIMESTRU  " numFmtId="170">
      <sharedItems containsSemiMixedTypes="0" containsString="0" containsNumber="1" minValue="41288.23529411765" maxValue="50800"/>
    </cacheField>
    <cacheField name="AN  " numFmtId="170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ori" grandTotalCaption="Total general" updatedVersion="5" minRefreshableVersion="3" showDrill="0" fieldPrintTitles="1" itemPrintTitles="1" createdVersion="5" indent="0" compact="0" compactData="0" multipleFieldFilters="0">
  <location ref="B5:F28" firstHeaderRow="1" firstDataRow="1" firstDataCol="4"/>
  <pivotFields count="16">
    <pivotField compact="0" numFmtId="14" outline="0" showAll="0"/>
    <pivotField axis="axisRow" compact="0" outline="0" showAll="0">
      <items count="7">
        <item x="0"/>
        <item x="2"/>
        <item x="1"/>
        <item x="3"/>
        <item x="4"/>
        <item x="5"/>
        <item t="default"/>
      </items>
    </pivotField>
    <pivotField dataField="1" compact="0" numFmtId="164" outline="0" showAll="0"/>
    <pivotField compact="0" numFmtId="164" outline="0" showAll="0"/>
    <pivotField compact="0" numFmtId="164" outline="0" showAll="0"/>
    <pivotField compact="0" numFmtId="164" outline="0" showAll="0"/>
    <pivotField axis="axisRow" compact="0" numFmtId="165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9" outline="0" showAll="0">
      <items count="4">
        <item x="0"/>
        <item x="1"/>
        <item x="2"/>
        <item t="default"/>
      </items>
    </pivotField>
    <pivotField axis="axisRow" subtotalCaption="Total ?" compact="0" outline="0" showAll="0">
      <items count="2">
        <item x="0"/>
        <item t="default"/>
      </items>
    </pivotField>
    <pivotField compact="0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1"/>
    </i>
    <i r="2">
      <x v="4"/>
      <x v="3"/>
    </i>
    <i r="3">
      <x v="4"/>
    </i>
    <i r="2">
      <x v="5"/>
      <x v="1"/>
    </i>
    <i r="3">
      <x v="2"/>
    </i>
    <i r="3">
      <x v="5"/>
    </i>
    <i t="default" r="1">
      <x v="1"/>
    </i>
    <i r="1">
      <x v="2"/>
      <x v="6"/>
      <x v="3"/>
    </i>
    <i r="2">
      <x v="7"/>
      <x v="4"/>
    </i>
    <i r="3">
      <x v="5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TOTAL VÂNZĂRI" fld="2" baseField="1" baseItem="0"/>
  </dataFields>
  <formats count="37">
    <format dxfId="76">
      <pivotArea collapsedLevelsAreSubtotals="1" fieldPosition="0">
        <references count="4">
          <reference field="1" count="1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0" selected="0"/>
        </references>
      </pivotArea>
    </format>
    <format dxfId="75">
      <pivotArea collapsedLevelsAreSubtotals="1" fieldPosition="0">
        <references count="4">
          <reference field="1" count="1">
            <x v="2"/>
          </reference>
          <reference field="6" count="1" selected="0">
            <x v="0"/>
          </reference>
          <reference field="7" count="1" selected="0">
            <x v="0"/>
          </reference>
          <reference field="8" count="0" selected="0"/>
        </references>
      </pivotArea>
    </format>
    <format dxfId="74">
      <pivotArea collapsedLevelsAreSubtotals="1" fieldPosition="0">
        <references count="4">
          <reference field="1" count="4">
            <x v="1"/>
            <x v="3"/>
            <x v="4"/>
            <x v="5"/>
          </reference>
          <reference field="6" count="1" selected="0">
            <x v="1"/>
          </reference>
          <reference field="7" count="1" selected="0">
            <x v="0"/>
          </reference>
          <reference field="8" count="0" selected="0"/>
        </references>
      </pivotArea>
    </format>
    <format dxfId="73">
      <pivotArea collapsedLevelsAreSubtotals="1" fieldPosition="0">
        <references count="4">
          <reference field="1" count="2">
            <x v="0"/>
            <x v="2"/>
          </reference>
          <reference field="6" count="1" selected="0">
            <x v="2"/>
          </reference>
          <reference field="7" count="1" selected="0">
            <x v="0"/>
          </reference>
          <reference field="8" count="0" selected="0"/>
        </references>
      </pivotArea>
    </format>
    <format dxfId="72">
      <pivotArea collapsedLevelsAreSubtotals="1" fieldPosition="0">
        <references count="2">
          <reference field="7" count="1" defaultSubtotal="1">
            <x v="0"/>
          </reference>
          <reference field="8" count="0" selected="0"/>
        </references>
      </pivotArea>
    </format>
    <format dxfId="71">
      <pivotArea collapsedLevelsAreSubtotals="1" fieldPosition="0">
        <references count="4">
          <reference field="1" count="1">
            <x v="1"/>
          </reference>
          <reference field="6" count="1" selected="0">
            <x v="3"/>
          </reference>
          <reference field="7" count="1" selected="0">
            <x v="1"/>
          </reference>
          <reference field="8" count="0" selected="0"/>
        </references>
      </pivotArea>
    </format>
    <format dxfId="70">
      <pivotArea collapsedLevelsAreSubtotals="1" fieldPosition="0">
        <references count="4">
          <reference field="1" count="2">
            <x v="3"/>
            <x v="4"/>
          </reference>
          <reference field="6" count="1" selected="0">
            <x v="4"/>
          </reference>
          <reference field="7" count="1" selected="0">
            <x v="1"/>
          </reference>
          <reference field="8" count="0" selected="0"/>
        </references>
      </pivotArea>
    </format>
    <format dxfId="69">
      <pivotArea collapsedLevelsAreSubtotals="1" fieldPosition="0">
        <references count="4">
          <reference field="1" count="3">
            <x v="1"/>
            <x v="2"/>
            <x v="5"/>
          </reference>
          <reference field="6" count="1" selected="0">
            <x v="5"/>
          </reference>
          <reference field="7" count="1" selected="0">
            <x v="1"/>
          </reference>
          <reference field="8" count="0" selected="0"/>
        </references>
      </pivotArea>
    </format>
    <format dxfId="68">
      <pivotArea collapsedLevelsAreSubtotals="1" fieldPosition="0">
        <references count="2">
          <reference field="7" count="1" defaultSubtotal="1">
            <x v="1"/>
          </reference>
          <reference field="8" count="0" selected="0"/>
        </references>
      </pivotArea>
    </format>
    <format dxfId="67">
      <pivotArea collapsedLevelsAreSubtotals="1" fieldPosition="0">
        <references count="4">
          <reference field="1" count="1">
            <x v="3"/>
          </reference>
          <reference field="6" count="1" selected="0">
            <x v="6"/>
          </reference>
          <reference field="7" count="1" selected="0">
            <x v="2"/>
          </reference>
          <reference field="8" count="0" selected="0"/>
        </references>
      </pivotArea>
    </format>
    <format dxfId="66">
      <pivotArea collapsedLevelsAreSubtotals="1" fieldPosition="0">
        <references count="4">
          <reference field="1" count="2">
            <x v="4"/>
            <x v="5"/>
          </reference>
          <reference field="6" count="1" selected="0">
            <x v="7"/>
          </reference>
          <reference field="7" count="1" selected="0">
            <x v="2"/>
          </reference>
          <reference field="8" count="0" selected="0"/>
        </references>
      </pivotArea>
    </format>
    <format dxfId="65">
      <pivotArea collapsedLevelsAreSubtotals="1" fieldPosition="0">
        <references count="4">
          <reference field="1" count="1">
            <x v="2"/>
          </reference>
          <reference field="6" count="1" selected="0">
            <x v="8"/>
          </reference>
          <reference field="7" count="1" selected="0">
            <x v="2"/>
          </reference>
          <reference field="8" count="0" selected="0"/>
        </references>
      </pivotArea>
    </format>
    <format dxfId="64">
      <pivotArea collapsedLevelsAreSubtotals="1" fieldPosition="0">
        <references count="2">
          <reference field="7" count="1" defaultSubtotal="1">
            <x v="2"/>
          </reference>
          <reference field="8" count="0" selected="0"/>
        </references>
      </pivotArea>
    </format>
    <format dxfId="63">
      <pivotArea collapsedLevelsAreSubtotals="1" fieldPosition="0">
        <references count="1">
          <reference field="8" count="0" defaultSubtotal="1"/>
        </references>
      </pivotArea>
    </format>
    <format dxfId="62">
      <pivotArea grandRow="1" outline="0" collapsedLevelsAreSubtotals="1" fieldPosition="0"/>
    </format>
    <format dxfId="61">
      <pivotArea field="8" type="button" dataOnly="0" labelOnly="1" outline="0" axis="axisRow" fieldPosition="0"/>
    </format>
    <format dxfId="60">
      <pivotArea field="8" type="button" dataOnly="0" labelOnly="1" outline="0" axis="axisRow" fieldPosition="0"/>
    </format>
    <format dxfId="59">
      <pivotArea dataOnly="0" labelOnly="1" outline="0" fieldPosition="0">
        <references count="1">
          <reference field="8" count="0"/>
        </references>
      </pivotArea>
    </format>
    <format dxfId="58">
      <pivotArea dataOnly="0" labelOnly="1" outline="0" fieldPosition="0">
        <references count="1">
          <reference field="8" count="0" defaultSubtotal="1"/>
        </references>
      </pivotArea>
    </format>
    <format dxfId="57">
      <pivotArea dataOnly="0" labelOnly="1" grandRow="1" outline="0" fieldPosition="0"/>
    </format>
    <format dxfId="56">
      <pivotArea dataOnly="0" labelOnly="1" outline="0" fieldPosition="0">
        <references count="2">
          <reference field="7" count="0"/>
          <reference field="8" count="0" selected="0"/>
        </references>
      </pivotArea>
    </format>
    <format dxfId="55">
      <pivotArea dataOnly="0" labelOnly="1" outline="0" fieldPosition="0">
        <references count="2">
          <reference field="7" count="0" defaultSubtotal="1"/>
          <reference field="8" count="0" selected="0"/>
        </references>
      </pivotArea>
    </format>
    <format dxfId="54">
      <pivotArea dataOnly="0" labelOnly="1" outline="0" fieldPosition="0">
        <references count="3">
          <reference field="6" count="3">
            <x v="0"/>
            <x v="1"/>
            <x v="2"/>
          </reference>
          <reference field="7" count="1" selected="0">
            <x v="0"/>
          </reference>
          <reference field="8" count="0" selected="0"/>
        </references>
      </pivotArea>
    </format>
    <format dxfId="53">
      <pivotArea dataOnly="0" labelOnly="1" outline="0" fieldPosition="0">
        <references count="3">
          <reference field="6" count="3">
            <x v="3"/>
            <x v="4"/>
            <x v="5"/>
          </reference>
          <reference field="7" count="1" selected="0">
            <x v="1"/>
          </reference>
          <reference field="8" count="0" selected="0"/>
        </references>
      </pivotArea>
    </format>
    <format dxfId="52">
      <pivotArea dataOnly="0" labelOnly="1" outline="0" fieldPosition="0">
        <references count="3">
          <reference field="6" count="3">
            <x v="6"/>
            <x v="7"/>
            <x v="8"/>
          </reference>
          <reference field="7" count="1" selected="0">
            <x v="2"/>
          </reference>
          <reference field="8" count="0" selected="0"/>
        </references>
      </pivotArea>
    </format>
    <format dxfId="51">
      <pivotArea dataOnly="0" labelOnly="1" outline="0" fieldPosition="0">
        <references count="4">
          <reference field="1" count="2">
            <x v="0"/>
            <x v="2"/>
          </reference>
          <reference field="6" count="1" selected="0">
            <x v="0"/>
          </reference>
          <reference field="7" count="1" selected="0">
            <x v="0"/>
          </reference>
          <reference field="8" count="0" selected="0"/>
        </references>
      </pivotArea>
    </format>
    <format dxfId="50">
      <pivotArea dataOnly="0" labelOnly="1" outline="0" fieldPosition="0">
        <references count="4">
          <reference field="1" count="4">
            <x v="1"/>
            <x v="3"/>
            <x v="4"/>
            <x v="5"/>
          </reference>
          <reference field="6" count="1" selected="0">
            <x v="1"/>
          </reference>
          <reference field="7" count="1" selected="0">
            <x v="0"/>
          </reference>
          <reference field="8" count="0" selected="0"/>
        </references>
      </pivotArea>
    </format>
    <format dxfId="49">
      <pivotArea dataOnly="0" labelOnly="1" outline="0" fieldPosition="0">
        <references count="4">
          <reference field="1" count="2">
            <x v="0"/>
            <x v="2"/>
          </reference>
          <reference field="6" count="1" selected="0">
            <x v="2"/>
          </reference>
          <reference field="7" count="1" selected="0">
            <x v="0"/>
          </reference>
          <reference field="8" count="0" selected="0"/>
        </references>
      </pivotArea>
    </format>
    <format dxfId="48">
      <pivotArea dataOnly="0" labelOnly="1" outline="0" fieldPosition="0">
        <references count="4">
          <reference field="1" count="1">
            <x v="1"/>
          </reference>
          <reference field="6" count="1" selected="0">
            <x v="3"/>
          </reference>
          <reference field="7" count="1" selected="0">
            <x v="1"/>
          </reference>
          <reference field="8" count="0" selected="0"/>
        </references>
      </pivotArea>
    </format>
    <format dxfId="47">
      <pivotArea dataOnly="0" labelOnly="1" outline="0" fieldPosition="0">
        <references count="4">
          <reference field="1" count="2">
            <x v="3"/>
            <x v="4"/>
          </reference>
          <reference field="6" count="1" selected="0">
            <x v="4"/>
          </reference>
          <reference field="7" count="1" selected="0">
            <x v="1"/>
          </reference>
          <reference field="8" count="0" selected="0"/>
        </references>
      </pivotArea>
    </format>
    <format dxfId="46">
      <pivotArea dataOnly="0" labelOnly="1" outline="0" fieldPosition="0">
        <references count="4">
          <reference field="1" count="3">
            <x v="1"/>
            <x v="2"/>
            <x v="5"/>
          </reference>
          <reference field="6" count="1" selected="0">
            <x v="5"/>
          </reference>
          <reference field="7" count="1" selected="0">
            <x v="1"/>
          </reference>
          <reference field="8" count="0" selected="0"/>
        </references>
      </pivotArea>
    </format>
    <format dxfId="45">
      <pivotArea dataOnly="0" labelOnly="1" outline="0" fieldPosition="0">
        <references count="4">
          <reference field="1" count="1">
            <x v="3"/>
          </reference>
          <reference field="6" count="1" selected="0">
            <x v="6"/>
          </reference>
          <reference field="7" count="1" selected="0">
            <x v="2"/>
          </reference>
          <reference field="8" count="0" selected="0"/>
        </references>
      </pivotArea>
    </format>
    <format dxfId="44">
      <pivotArea dataOnly="0" labelOnly="1" outline="0" fieldPosition="0">
        <references count="4">
          <reference field="1" count="2">
            <x v="4"/>
            <x v="5"/>
          </reference>
          <reference field="6" count="1" selected="0">
            <x v="7"/>
          </reference>
          <reference field="7" count="1" selected="0">
            <x v="2"/>
          </reference>
          <reference field="8" count="0" selected="0"/>
        </references>
      </pivotArea>
    </format>
    <format dxfId="43">
      <pivotArea dataOnly="0" labelOnly="1" outline="0" fieldPosition="0">
        <references count="4">
          <reference field="1" count="1">
            <x v="2"/>
          </reference>
          <reference field="6" count="1" selected="0">
            <x v="8"/>
          </reference>
          <reference field="7" count="1" selected="0">
            <x v="2"/>
          </reference>
          <reference field="8" count="0" selected="0"/>
        </references>
      </pivotArea>
    </format>
    <format dxfId="42">
      <pivotArea dataOnly="0" labelOnly="1" outline="0" axis="axisValues" fieldPosition="0"/>
    </format>
    <format dxfId="41">
      <pivotArea dataOnly="0" outline="0" fieldPosition="0">
        <references count="1">
          <reference field="8" count="0" defaultSubtotal="1"/>
        </references>
      </pivotArea>
    </format>
    <format dxfId="40">
      <pivotArea dataOnly="0" labelOnly="1" outline="0" fieldPosition="0">
        <references count="1">
          <reference field="8" count="0" defaultSubtotal="1"/>
        </references>
      </pivotArea>
    </format>
  </formats>
  <pivotTableStyleInfo name="Monthly Raport vânzări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Date" displayName="tblDate" ref="B5:Q24" totalsRowShown="0" headerRowDxfId="102" dataDxfId="101">
  <autoFilter ref="B5:Q24"/>
  <tableColumns count="16">
    <tableColumn id="1" name="DATĂ" dataDxfId="100"/>
    <tableColumn id="2" name="FIRMĂ" dataDxfId="99"/>
    <tableColumn id="3" name="SUMĂ" dataDxfId="98"/>
    <tableColumn id="4" name="PLANIFICATE" dataDxfId="97"/>
    <tableColumn id="5" name="COSTURI" dataDxfId="96"/>
    <tableColumn id="16" name="VENITURI" dataDxfId="95">
      <calculatedColumnFormula>tblDate[[#This Row],[SUMĂ]]-tblDate[[#This Row],[COSTURI]]</calculatedColumnFormula>
    </tableColumn>
    <tableColumn id="6" name="LUNĂ" dataDxfId="94">
      <calculatedColumnFormula>DATE(YEAR('Introducere date'!$B6),MONTH('Introducere date'!$B6),1)</calculatedColumnFormula>
    </tableColumn>
    <tableColumn id="7" name="TRIMESTRU" dataDxfId="93">
      <calculatedColumnFormula>LOOKUP(MONTH('Introducere date'!$H6),{1,1;2,1;3,1;4,2;5,2;6,2;7,3;8,3;9,3;10,4;11,4;12,4})</calculatedColumnFormula>
    </tableColumn>
    <tableColumn id="8" name="AN" dataDxfId="92">
      <calculatedColumnFormula>YEAR('Introducere date'!$B6)</calculatedColumnFormula>
    </tableColumn>
    <tableColumn id="12" name="NUM LUNAR (ASCUNDERE)" dataDxfId="91">
      <calculatedColumnFormula>MONTH(tblDate[[#This Row],[DATĂ]])</calculatedColumnFormula>
    </tableColumn>
    <tableColumn id="9" name="LUNĂ " dataDxfId="90">
      <calculatedColumnFormula>SUMIFS(tblDate[SUMĂ],tblDate[DATĂ],"&gt;="&amp;EOMONTH(tblDate[[#This Row],[DATĂ]],-1)+1,tblDate[DATĂ],"&lt;="&amp;EOMONTH(tblDate[[#This Row],[DATĂ]],0))</calculatedColumnFormula>
    </tableColumn>
    <tableColumn id="10" name="TRIMESTRU " dataDxfId="89">
      <calculatedColumnFormula>SUMIFS(tblDate[SUMĂ],tblDate[DATĂ],"&gt;="&amp;DATE(YEAR(tblDate[[#This Row],[DATĂ]]),1,1),tblDate[DATĂ],"&lt;="&amp;DATE(YEAR(tblDate[[#This Row],[DATĂ]]),12,31),tblDate[TRIMESTRU],tblDate[[#This Row],[TRIMESTRU]])</calculatedColumnFormula>
    </tableColumn>
    <tableColumn id="11" name="ANUAL " dataDxfId="88">
      <calculatedColumnFormula>SUMIFS(tblDate[SUMĂ],tblDate[DATĂ],"&gt;="&amp;DATE(YEAR(tblDate[[#This Row],[DATĂ]]),1,1),tblDate[DATĂ],"&lt;="&amp;DATE(YEAR(tblDate[[#This Row],[DATĂ]]),12,31))</calculatedColumnFormula>
    </tableColumn>
    <tableColumn id="13" name="LUNĂ  " dataDxfId="87">
      <calculatedColumnFormula>IFERROR(TREND($L$6:INDEX($L:$L,ROW(),1),$K$6:INDEX($K:$K,ROW(),1),IF(MONTH(tblDate[[#This Row],[DATĂ]])=12,13,MONTH(tblDate[[#This Row],[DATĂ]])+1)),"")</calculatedColumnFormula>
    </tableColumn>
    <tableColumn id="14" name="TRIMESTRU  " dataDxfId="86">
      <calculatedColumnFormula>IFERROR(TREND($M$6:INDEX($M:$M,ROW(),1),$I$6:INDEX($I:$I,ROW(),1),IF(tblDate[[#This Row],[TRIMESTRU]]=4,5,tblDate[[#This Row],[TRIMESTRU]]+1)),"")</calculatedColumnFormula>
    </tableColumn>
    <tableColumn id="15" name="AN  " dataDxfId="85">
      <calculatedColumnFormula>IFERROR(TREND($N$6:INDEX($N:$N,ROW(),1),$J$6:INDEX($J:$J,ROW(),1),tblDate[[#This Row],[AN]]+1),"")</calculatedColumnFormula>
    </tableColumn>
  </tableColumns>
  <tableStyleInfo name="Monthly Raport vânzări Table Style" showFirstColumn="0" showLastColumn="0" showRowStripes="0" showColumnStripes="0"/>
  <extLst>
    <ext xmlns:x14="http://schemas.microsoft.com/office/spreadsheetml/2009/9/main" uri="{504A1905-F514-4f6f-8877-14C23A59335A}">
      <x14:table altText="Tabel lunar Introducere date" altTextSummary="Introduceţi datele lunare în acest tabel, cum ar fi Data, Firma, Suma, Elementele planificate, Costurile, Veniturile, Luna, Trimestrul şi Anul. Datele curente şi estimate vor fi calculate pentru dvs."/>
    </ext>
  </extLst>
</table>
</file>

<file path=xl/theme/theme1.xml><?xml version="1.0" encoding="utf-8"?>
<a:theme xmlns:a="http://schemas.openxmlformats.org/drawingml/2006/main" name="Office Theme">
  <a:themeElements>
    <a:clrScheme name="Monthly Raport vânzări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Raport vânzări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2.1640625" style="3" customWidth="1"/>
    <col min="3" max="3" width="27.1640625" style="3" customWidth="1"/>
    <col min="4" max="4" width="15.6640625" style="3" customWidth="1"/>
    <col min="5" max="5" width="20.83203125" style="3" customWidth="1"/>
    <col min="6" max="6" width="14.5" style="3" customWidth="1"/>
    <col min="7" max="7" width="16.1640625" style="3" customWidth="1"/>
    <col min="8" max="8" width="14.33203125" style="3" customWidth="1"/>
    <col min="9" max="9" width="17.5" style="3" customWidth="1"/>
    <col min="10" max="10" width="9.5" style="3" customWidth="1"/>
    <col min="11" max="11" width="0.1640625" style="3" customWidth="1"/>
    <col min="12" max="12" width="13.83203125" style="3" customWidth="1"/>
    <col min="13" max="13" width="17.1640625" style="3" customWidth="1"/>
    <col min="14" max="14" width="14.5" style="3" customWidth="1"/>
    <col min="15" max="15" width="14" style="3" customWidth="1"/>
    <col min="16" max="16" width="16.6640625" style="3" customWidth="1"/>
    <col min="17" max="17" width="12.6640625" style="3" customWidth="1"/>
    <col min="18" max="16384" width="9.33203125" style="3"/>
  </cols>
  <sheetData>
    <row r="1" spans="2:17" customFormat="1" ht="11.25" customHeight="1" x14ac:dyDescent="0.2">
      <c r="J1">
        <f>365*2</f>
        <v>730</v>
      </c>
    </row>
    <row r="2" spans="2:17" customFormat="1" ht="33.75" customHeight="1" x14ac:dyDescent="0.2">
      <c r="B2" s="2" t="s">
        <v>15</v>
      </c>
    </row>
    <row r="3" spans="2:17" customFormat="1" ht="17.25" customHeight="1" x14ac:dyDescent="0.2">
      <c r="L3" s="23" t="s">
        <v>33</v>
      </c>
      <c r="M3" s="6"/>
      <c r="N3" s="6"/>
      <c r="O3" s="23" t="s">
        <v>32</v>
      </c>
      <c r="P3" s="6"/>
      <c r="Q3" s="6"/>
    </row>
    <row r="4" spans="2:17" customFormat="1" ht="11.25" customHeight="1" x14ac:dyDescent="0.2">
      <c r="L4" s="24"/>
      <c r="M4" s="25"/>
      <c r="N4" s="26"/>
      <c r="O4" s="24"/>
      <c r="P4" s="25"/>
      <c r="Q4" s="26"/>
    </row>
    <row r="5" spans="2:17" ht="17.25" customHeight="1" x14ac:dyDescent="0.2">
      <c r="B5" s="54" t="s">
        <v>25</v>
      </c>
      <c r="C5" s="54" t="s">
        <v>26</v>
      </c>
      <c r="D5" s="44" t="s">
        <v>27</v>
      </c>
      <c r="E5" s="44" t="s">
        <v>28</v>
      </c>
      <c r="F5" s="44" t="s">
        <v>29</v>
      </c>
      <c r="G5" s="44" t="s">
        <v>30</v>
      </c>
      <c r="H5" s="44" t="s">
        <v>16</v>
      </c>
      <c r="I5" s="44" t="s">
        <v>17</v>
      </c>
      <c r="J5" s="44" t="s">
        <v>21</v>
      </c>
      <c r="K5" s="44" t="s">
        <v>31</v>
      </c>
      <c r="L5" s="44" t="s">
        <v>18</v>
      </c>
      <c r="M5" s="44" t="s">
        <v>19</v>
      </c>
      <c r="N5" s="44" t="s">
        <v>20</v>
      </c>
      <c r="O5" s="44" t="s">
        <v>22</v>
      </c>
      <c r="P5" s="44" t="s">
        <v>23</v>
      </c>
      <c r="Q5" s="44" t="s">
        <v>24</v>
      </c>
    </row>
    <row r="6" spans="2:17" ht="17.25" customHeight="1" x14ac:dyDescent="0.2">
      <c r="B6" s="56">
        <f>40657+(365*2)</f>
        <v>41387</v>
      </c>
      <c r="C6" s="4" t="s">
        <v>0</v>
      </c>
      <c r="D6" s="66">
        <v>6400</v>
      </c>
      <c r="E6" s="66">
        <v>6200</v>
      </c>
      <c r="F6" s="66">
        <v>4450</v>
      </c>
      <c r="G6" s="67">
        <f>tblDate[[#This Row],[SUMĂ]]-tblDate[[#This Row],[COSTURI]]</f>
        <v>1950</v>
      </c>
      <c r="H6" s="5">
        <f>DATE(YEAR('Introducere date'!$B6),MONTH('Introducere date'!$B6),1)</f>
        <v>41365</v>
      </c>
      <c r="I6" s="58">
        <f>LOOKUP(MONTH('Introducere date'!$H6),{1,1;2,1;3,1;4,2;5,2;6,2;7,3;8,3;9,3;10,4;11,4;12,4})</f>
        <v>2</v>
      </c>
      <c r="J6" s="7">
        <f>YEAR('Introducere date'!$B6)</f>
        <v>2013</v>
      </c>
      <c r="K6" s="8">
        <f>MONTH(tblDate[[#This Row],[DATĂ]])</f>
        <v>4</v>
      </c>
      <c r="L6" s="68">
        <f>SUMIFS(tblDate[SUMĂ],tblDate[DATĂ],"&gt;="&amp;EOMONTH(tblDate[[#This Row],[DATĂ]],-1)+1,tblDate[DATĂ],"&lt;="&amp;EOMONTH(tblDate[[#This Row],[DATĂ]],0))</f>
        <v>14600</v>
      </c>
      <c r="M6" s="68">
        <f>SUMIFS(tblDate[SUMĂ],tblDate[DATĂ],"&gt;="&amp;DATE(YEAR(tblDate[[#This Row],[DATĂ]]),1,1),tblDate[DATĂ],"&lt;="&amp;DATE(YEAR(tblDate[[#This Row],[DATĂ]]),12,31),tblDate[TRIMESTRU],tblDate[[#This Row],[TRIMESTRU]])</f>
        <v>50800</v>
      </c>
      <c r="N6" s="68">
        <f>SUMIFS(tblDate[SUMĂ],tblDate[DATĂ],"&gt;="&amp;DATE(YEAR(tblDate[[#This Row],[DATĂ]]),1,1),tblDate[DATĂ],"&lt;="&amp;DATE(YEAR(tblDate[[#This Row],[DATĂ]]),12,31))</f>
        <v>143800</v>
      </c>
      <c r="O6" s="69">
        <f>IFERROR(TREND($L$6:INDEX($L:$L,ROW(),1),$K$6:INDEX($K:$K,ROW(),1),IF(MONTH(tblDate[[#This Row],[DATĂ]])=12,13,MONTH(tblDate[[#This Row],[DATĂ]])+1)),"")</f>
        <v>14600</v>
      </c>
      <c r="P6" s="69">
        <f>IFERROR(TREND($M$6:INDEX($M:$M,ROW(),1),$I$6:INDEX($I:$I,ROW(),1),IF(tblDate[[#This Row],[TRIMESTRU]]=4,5,tblDate[[#This Row],[TRIMESTRU]]+1)),"")</f>
        <v>50800</v>
      </c>
      <c r="Q6" s="69">
        <f>IFERROR(TREND($N$6:INDEX($N:$N,ROW(),1),$J$6:INDEX($J:$J,ROW(),1),tblDate[[#This Row],[AN]]+1),"")</f>
        <v>143800</v>
      </c>
    </row>
    <row r="7" spans="2:17" ht="17.25" customHeight="1" x14ac:dyDescent="0.2">
      <c r="B7" s="56">
        <f>40659+(365*2)</f>
        <v>41389</v>
      </c>
      <c r="C7" s="4" t="s">
        <v>1</v>
      </c>
      <c r="D7" s="66">
        <v>8200</v>
      </c>
      <c r="E7" s="66">
        <v>8000</v>
      </c>
      <c r="F7" s="66">
        <v>6400</v>
      </c>
      <c r="G7" s="67">
        <f>tblDate[[#This Row],[SUMĂ]]-tblDate[[#This Row],[COSTURI]]</f>
        <v>1800</v>
      </c>
      <c r="H7" s="5">
        <f>DATE(YEAR('Introducere date'!$B7),MONTH('Introducere date'!$B7),1)</f>
        <v>41365</v>
      </c>
      <c r="I7" s="58">
        <f>LOOKUP(MONTH('Introducere date'!$H7),{1,1;2,1;3,1;4,2;5,2;6,2;7,3;8,3;9,3;10,4;11,4;12,4})</f>
        <v>2</v>
      </c>
      <c r="J7" s="7">
        <f>YEAR('Introducere date'!$B7)</f>
        <v>2013</v>
      </c>
      <c r="K7" s="8">
        <f>MONTH(tblDate[[#This Row],[DATĂ]])</f>
        <v>4</v>
      </c>
      <c r="L7" s="68">
        <f>SUMIFS(tblDate[SUMĂ],tblDate[DATĂ],"&gt;="&amp;EOMONTH(tblDate[[#This Row],[DATĂ]],-1)+1,tblDate[DATĂ],"&lt;="&amp;EOMONTH(tblDate[[#This Row],[DATĂ]],0))</f>
        <v>14600</v>
      </c>
      <c r="M7" s="68">
        <f>SUMIFS(tblDate[SUMĂ],tblDate[DATĂ],"&gt;="&amp;DATE(YEAR(tblDate[[#This Row],[DATĂ]]),1,1),tblDate[DATĂ],"&lt;="&amp;DATE(YEAR(tblDate[[#This Row],[DATĂ]]),12,31),tblDate[TRIMESTRU],tblDate[[#This Row],[TRIMESTRU]])</f>
        <v>50800</v>
      </c>
      <c r="N7" s="68">
        <f>SUMIFS(tblDate[SUMĂ],tblDate[DATĂ],"&gt;="&amp;DATE(YEAR(tblDate[[#This Row],[DATĂ]]),1,1),tblDate[DATĂ],"&lt;="&amp;DATE(YEAR(tblDate[[#This Row],[DATĂ]]),12,31))</f>
        <v>143800</v>
      </c>
      <c r="O7" s="69">
        <f>IFERROR(TREND($L$6:INDEX($L:$L,ROW(),1),$K$6:INDEX($K:$K,ROW(),1),IF(MONTH(tblDate[[#This Row],[DATĂ]])=12,13,MONTH(tblDate[[#This Row],[DATĂ]])+1)),"")</f>
        <v>14600</v>
      </c>
      <c r="P7" s="69">
        <f>IFERROR(TREND($M$6:INDEX($M:$M,ROW(),1),$I$6:INDEX($I:$I,ROW(),1),IF(tblDate[[#This Row],[TRIMESTRU]]=4,5,tblDate[[#This Row],[TRIMESTRU]]+1)),"")</f>
        <v>50800</v>
      </c>
      <c r="Q7" s="69">
        <f>IFERROR(TREND($N$6:INDEX($N:$N,ROW(),1),$J$6:INDEX($J:$J,ROW(),1),tblDate[[#This Row],[AN]]+1),"")</f>
        <v>143800</v>
      </c>
    </row>
    <row r="8" spans="2:17" ht="17.25" customHeight="1" x14ac:dyDescent="0.2">
      <c r="B8" s="56">
        <f>40671+(365*2)</f>
        <v>41401</v>
      </c>
      <c r="C8" s="4" t="s">
        <v>2</v>
      </c>
      <c r="D8" s="66">
        <v>4400</v>
      </c>
      <c r="E8" s="66">
        <v>4200</v>
      </c>
      <c r="F8" s="66">
        <v>2600</v>
      </c>
      <c r="G8" s="67">
        <f>tblDate[[#This Row],[SUMĂ]]-tblDate[[#This Row],[COSTURI]]</f>
        <v>1800</v>
      </c>
      <c r="H8" s="5">
        <f>DATE(YEAR('Introducere date'!$B8),MONTH('Introducere date'!$B8),1)</f>
        <v>41395</v>
      </c>
      <c r="I8" s="58">
        <f>LOOKUP(MONTH('Introducere date'!$H8),{1,1;2,1;3,1;4,2;5,2;6,2;7,3;8,3;9,3;10,4;11,4;12,4})</f>
        <v>2</v>
      </c>
      <c r="J8" s="7">
        <f>YEAR('Introducere date'!$B8)</f>
        <v>2013</v>
      </c>
      <c r="K8" s="8">
        <f>MONTH(tblDate[[#This Row],[DATĂ]])</f>
        <v>5</v>
      </c>
      <c r="L8" s="68">
        <f>SUMIFS(tblDate[SUMĂ],tblDate[DATĂ],"&gt;="&amp;EOMONTH(tblDate[[#This Row],[DATĂ]],-1)+1,tblDate[DATĂ],"&lt;="&amp;EOMONTH(tblDate[[#This Row],[DATĂ]],0))</f>
        <v>21800</v>
      </c>
      <c r="M8" s="68">
        <f>SUMIFS(tblDate[SUMĂ],tblDate[DATĂ],"&gt;="&amp;DATE(YEAR(tblDate[[#This Row],[DATĂ]]),1,1),tblDate[DATĂ],"&lt;="&amp;DATE(YEAR(tblDate[[#This Row],[DATĂ]]),12,31),tblDate[TRIMESTRU],tblDate[[#This Row],[TRIMESTRU]])</f>
        <v>50800</v>
      </c>
      <c r="N8" s="68">
        <f>SUMIFS(tblDate[SUMĂ],tblDate[DATĂ],"&gt;="&amp;DATE(YEAR(tblDate[[#This Row],[DATĂ]]),1,1),tblDate[DATĂ],"&lt;="&amp;DATE(YEAR(tblDate[[#This Row],[DATĂ]]),12,31))</f>
        <v>143800</v>
      </c>
      <c r="O8" s="69">
        <f>IFERROR(TREND($L$6:INDEX($L:$L,ROW(),1),$K$6:INDEX($K:$K,ROW(),1),IF(MONTH(tblDate[[#This Row],[DATĂ]])=12,13,MONTH(tblDate[[#This Row],[DATĂ]])+1)),"")</f>
        <v>28999.999999999996</v>
      </c>
      <c r="P8" s="69">
        <f>IFERROR(TREND($M$6:INDEX($M:$M,ROW(),1),$I$6:INDEX($I:$I,ROW(),1),IF(tblDate[[#This Row],[TRIMESTRU]]=4,5,tblDate[[#This Row],[TRIMESTRU]]+1)),"")</f>
        <v>50800</v>
      </c>
      <c r="Q8" s="69">
        <f>IFERROR(TREND($N$6:INDEX($N:$N,ROW(),1),$J$6:INDEX($J:$J,ROW(),1),tblDate[[#This Row],[AN]]+1),"")</f>
        <v>143800</v>
      </c>
    </row>
    <row r="9" spans="2:17" ht="17.25" customHeight="1" x14ac:dyDescent="0.2">
      <c r="B9" s="56">
        <f>40678+(365*2)</f>
        <v>41408</v>
      </c>
      <c r="C9" s="4" t="s">
        <v>3</v>
      </c>
      <c r="D9" s="66">
        <v>5400</v>
      </c>
      <c r="E9" s="66">
        <v>5500</v>
      </c>
      <c r="F9" s="66">
        <v>4500</v>
      </c>
      <c r="G9" s="67">
        <f>tblDate[[#This Row],[SUMĂ]]-tblDate[[#This Row],[COSTURI]]</f>
        <v>900</v>
      </c>
      <c r="H9" s="5">
        <f>DATE(YEAR('Introducere date'!$B9),MONTH('Introducere date'!$B9),1)</f>
        <v>41395</v>
      </c>
      <c r="I9" s="58">
        <f>LOOKUP(MONTH('Introducere date'!$H9),{1,1;2,1;3,1;4,2;5,2;6,2;7,3;8,3;9,3;10,4;11,4;12,4})</f>
        <v>2</v>
      </c>
      <c r="J9" s="7">
        <f>YEAR('Introducere date'!$B9)</f>
        <v>2013</v>
      </c>
      <c r="K9" s="8">
        <f>MONTH(tblDate[[#This Row],[DATĂ]])</f>
        <v>5</v>
      </c>
      <c r="L9" s="68">
        <f>SUMIFS(tblDate[SUMĂ],tblDate[DATĂ],"&gt;="&amp;EOMONTH(tblDate[[#This Row],[DATĂ]],-1)+1,tblDate[DATĂ],"&lt;="&amp;EOMONTH(tblDate[[#This Row],[DATĂ]],0))</f>
        <v>21800</v>
      </c>
      <c r="M9" s="68">
        <f>SUMIFS(tblDate[SUMĂ],tblDate[DATĂ],"&gt;="&amp;DATE(YEAR(tblDate[[#This Row],[DATĂ]]),1,1),tblDate[DATĂ],"&lt;="&amp;DATE(YEAR(tblDate[[#This Row],[DATĂ]]),12,31),tblDate[TRIMESTRU],tblDate[[#This Row],[TRIMESTRU]])</f>
        <v>50800</v>
      </c>
      <c r="N9" s="68">
        <f>SUMIFS(tblDate[SUMĂ],tblDate[DATĂ],"&gt;="&amp;DATE(YEAR(tblDate[[#This Row],[DATĂ]]),1,1),tblDate[DATĂ],"&lt;="&amp;DATE(YEAR(tblDate[[#This Row],[DATĂ]]),12,31))</f>
        <v>143800</v>
      </c>
      <c r="O9" s="69">
        <f>IFERROR(TREND($L$6:INDEX($L:$L,ROW(),1),$K$6:INDEX($K:$K,ROW(),1),IF(MONTH(tblDate[[#This Row],[DATĂ]])=12,13,MONTH(tblDate[[#This Row],[DATĂ]])+1)),"")</f>
        <v>29000</v>
      </c>
      <c r="P9" s="69">
        <f>IFERROR(TREND($M$6:INDEX($M:$M,ROW(),1),$I$6:INDEX($I:$I,ROW(),1),IF(tblDate[[#This Row],[TRIMESTRU]]=4,5,tblDate[[#This Row],[TRIMESTRU]]+1)),"")</f>
        <v>50800</v>
      </c>
      <c r="Q9" s="69">
        <f>IFERROR(TREND($N$6:INDEX($N:$N,ROW(),1),$J$6:INDEX($J:$J,ROW(),1),tblDate[[#This Row],[AN]]+1),"")</f>
        <v>143800</v>
      </c>
    </row>
    <row r="10" spans="2:17" ht="17.25" customHeight="1" x14ac:dyDescent="0.2">
      <c r="B10" s="56">
        <f>40678+(365*2)</f>
        <v>41408</v>
      </c>
      <c r="C10" s="4" t="s">
        <v>4</v>
      </c>
      <c r="D10" s="66">
        <v>5800</v>
      </c>
      <c r="E10" s="66">
        <v>6000</v>
      </c>
      <c r="F10" s="66">
        <v>4500</v>
      </c>
      <c r="G10" s="67">
        <f>tblDate[[#This Row],[SUMĂ]]-tblDate[[#This Row],[COSTURI]]</f>
        <v>1300</v>
      </c>
      <c r="H10" s="5">
        <f>DATE(YEAR('Introducere date'!$B10),MONTH('Introducere date'!$B10),1)</f>
        <v>41395</v>
      </c>
      <c r="I10" s="58">
        <f>LOOKUP(MONTH('Introducere date'!$H10),{1,1;2,1;3,1;4,2;5,2;6,2;7,3;8,3;9,3;10,4;11,4;12,4})</f>
        <v>2</v>
      </c>
      <c r="J10" s="7">
        <f>YEAR('Introducere date'!$B10)</f>
        <v>2013</v>
      </c>
      <c r="K10" s="8">
        <f>MONTH(tblDate[[#This Row],[DATĂ]])</f>
        <v>5</v>
      </c>
      <c r="L10" s="68">
        <f>SUMIFS(tblDate[SUMĂ],tblDate[DATĂ],"&gt;="&amp;EOMONTH(tblDate[[#This Row],[DATĂ]],-1)+1,tblDate[DATĂ],"&lt;="&amp;EOMONTH(tblDate[[#This Row],[DATĂ]],0))</f>
        <v>21800</v>
      </c>
      <c r="M10" s="68">
        <f>SUMIFS(tblDate[SUMĂ],tblDate[DATĂ],"&gt;="&amp;DATE(YEAR(tblDate[[#This Row],[DATĂ]]),1,1),tblDate[DATĂ],"&lt;="&amp;DATE(YEAR(tblDate[[#This Row],[DATĂ]]),12,31),tblDate[TRIMESTRU],tblDate[[#This Row],[TRIMESTRU]])</f>
        <v>50800</v>
      </c>
      <c r="N10" s="68">
        <f>SUMIFS(tblDate[SUMĂ],tblDate[DATĂ],"&gt;="&amp;DATE(YEAR(tblDate[[#This Row],[DATĂ]]),1,1),tblDate[DATĂ],"&lt;="&amp;DATE(YEAR(tblDate[[#This Row],[DATĂ]]),12,31))</f>
        <v>143800</v>
      </c>
      <c r="O10" s="69">
        <f>IFERROR(TREND($L$6:INDEX($L:$L,ROW(),1),$K$6:INDEX($K:$K,ROW(),1),IF(MONTH(tblDate[[#This Row],[DATĂ]])=12,13,MONTH(tblDate[[#This Row],[DATĂ]])+1)),"")</f>
        <v>29000</v>
      </c>
      <c r="P10" s="69">
        <f>IFERROR(TREND($M$6:INDEX($M:$M,ROW(),1),$I$6:INDEX($I:$I,ROW(),1),IF(tblDate[[#This Row],[TRIMESTRU]]=4,5,tblDate[[#This Row],[TRIMESTRU]]+1)),"")</f>
        <v>50800</v>
      </c>
      <c r="Q10" s="69">
        <f>IFERROR(TREND($N$6:INDEX($N:$N,ROW(),1),$J$6:INDEX($J:$J,ROW(),1),tblDate[[#This Row],[AN]]+1),"")</f>
        <v>143800</v>
      </c>
    </row>
    <row r="11" spans="2:17" ht="17.25" customHeight="1" x14ac:dyDescent="0.2">
      <c r="B11" s="56">
        <f>40693+(365*2)</f>
        <v>41423</v>
      </c>
      <c r="C11" s="4" t="s">
        <v>5</v>
      </c>
      <c r="D11" s="66">
        <v>6200</v>
      </c>
      <c r="E11" s="66">
        <v>6000</v>
      </c>
      <c r="F11" s="66">
        <v>4500</v>
      </c>
      <c r="G11" s="67">
        <f>tblDate[[#This Row],[SUMĂ]]-tblDate[[#This Row],[COSTURI]]</f>
        <v>1700</v>
      </c>
      <c r="H11" s="5">
        <f>DATE(YEAR('Introducere date'!$B11),MONTH('Introducere date'!$B11),1)</f>
        <v>41395</v>
      </c>
      <c r="I11" s="58">
        <f>LOOKUP(MONTH('Introducere date'!$H11),{1,1;2,1;3,1;4,2;5,2;6,2;7,3;8,3;9,3;10,4;11,4;12,4})</f>
        <v>2</v>
      </c>
      <c r="J11" s="7">
        <f>YEAR('Introducere date'!$B11)</f>
        <v>2013</v>
      </c>
      <c r="K11" s="8">
        <f>MONTH(tblDate[[#This Row],[DATĂ]])</f>
        <v>5</v>
      </c>
      <c r="L11" s="68">
        <f>SUMIFS(tblDate[SUMĂ],tblDate[DATĂ],"&gt;="&amp;EOMONTH(tblDate[[#This Row],[DATĂ]],-1)+1,tblDate[DATĂ],"&lt;="&amp;EOMONTH(tblDate[[#This Row],[DATĂ]],0))</f>
        <v>21800</v>
      </c>
      <c r="M11" s="68">
        <f>SUMIFS(tblDate[SUMĂ],tblDate[DATĂ],"&gt;="&amp;DATE(YEAR(tblDate[[#This Row],[DATĂ]]),1,1),tblDate[DATĂ],"&lt;="&amp;DATE(YEAR(tblDate[[#This Row],[DATĂ]]),12,31),tblDate[TRIMESTRU],tblDate[[#This Row],[TRIMESTRU]])</f>
        <v>50800</v>
      </c>
      <c r="N11" s="68">
        <f>SUMIFS(tblDate[SUMĂ],tblDate[DATĂ],"&gt;="&amp;DATE(YEAR(tblDate[[#This Row],[DATĂ]]),1,1),tblDate[DATĂ],"&lt;="&amp;DATE(YEAR(tblDate[[#This Row],[DATĂ]]),12,31))</f>
        <v>143800</v>
      </c>
      <c r="O11" s="69">
        <f>IFERROR(TREND($L$6:INDEX($L:$L,ROW(),1),$K$6:INDEX($K:$K,ROW(),1),IF(MONTH(tblDate[[#This Row],[DATĂ]])=12,13,MONTH(tblDate[[#This Row],[DATĂ]])+1)),"")</f>
        <v>29000</v>
      </c>
      <c r="P11" s="69">
        <f>IFERROR(TREND($M$6:INDEX($M:$M,ROW(),1),$I$6:INDEX($I:$I,ROW(),1),IF(tblDate[[#This Row],[TRIMESTRU]]=4,5,tblDate[[#This Row],[TRIMESTRU]]+1)),"")</f>
        <v>50800</v>
      </c>
      <c r="Q11" s="69">
        <f>IFERROR(TREND($N$6:INDEX($N:$N,ROW(),1),$J$6:INDEX($J:$J,ROW(),1),tblDate[[#This Row],[AN]]+1),"")</f>
        <v>143800</v>
      </c>
    </row>
    <row r="12" spans="2:17" ht="17.25" customHeight="1" x14ac:dyDescent="0.2">
      <c r="B12" s="56">
        <f>40705+(365*2)</f>
        <v>41435</v>
      </c>
      <c r="C12" s="4" t="s">
        <v>0</v>
      </c>
      <c r="D12" s="66">
        <v>6900</v>
      </c>
      <c r="E12" s="66">
        <v>7500</v>
      </c>
      <c r="F12" s="66">
        <v>5400</v>
      </c>
      <c r="G12" s="67">
        <f>tblDate[[#This Row],[SUMĂ]]-tblDate[[#This Row],[COSTURI]]</f>
        <v>1500</v>
      </c>
      <c r="H12" s="5">
        <f>DATE(YEAR('Introducere date'!$B12),MONTH('Introducere date'!$B12),1)</f>
        <v>41426</v>
      </c>
      <c r="I12" s="58">
        <f>LOOKUP(MONTH('Introducere date'!$H12),{1,1;2,1;3,1;4,2;5,2;6,2;7,3;8,3;9,3;10,4;11,4;12,4})</f>
        <v>2</v>
      </c>
      <c r="J12" s="7">
        <f>YEAR('Introducere date'!$B12)</f>
        <v>2013</v>
      </c>
      <c r="K12" s="8">
        <f>MONTH(tblDate[[#This Row],[DATĂ]])</f>
        <v>6</v>
      </c>
      <c r="L12" s="68">
        <f>SUMIFS(tblDate[SUMĂ],tblDate[DATĂ],"&gt;="&amp;EOMONTH(tblDate[[#This Row],[DATĂ]],-1)+1,tblDate[DATĂ],"&lt;="&amp;EOMONTH(tblDate[[#This Row],[DATĂ]],0))</f>
        <v>14400</v>
      </c>
      <c r="M12" s="68">
        <f>SUMIFS(tblDate[SUMĂ],tblDate[DATĂ],"&gt;="&amp;DATE(YEAR(tblDate[[#This Row],[DATĂ]]),1,1),tblDate[DATĂ],"&lt;="&amp;DATE(YEAR(tblDate[[#This Row],[DATĂ]]),12,31),tblDate[TRIMESTRU],tblDate[[#This Row],[TRIMESTRU]])</f>
        <v>50800</v>
      </c>
      <c r="N12" s="68">
        <f>SUMIFS(tblDate[SUMĂ],tblDate[DATĂ],"&gt;="&amp;DATE(YEAR(tblDate[[#This Row],[DATĂ]]),1,1),tblDate[DATĂ],"&lt;="&amp;DATE(YEAR(tblDate[[#This Row],[DATĂ]]),12,31))</f>
        <v>143800</v>
      </c>
      <c r="O12" s="69">
        <f>IFERROR(TREND($L$6:INDEX($L:$L,ROW(),1),$K$6:INDEX($K:$K,ROW(),1),IF(MONTH(tblDate[[#This Row],[DATĂ]])=12,13,MONTH(tblDate[[#This Row],[DATĂ]])+1)),"")</f>
        <v>21600.000000000004</v>
      </c>
      <c r="P12" s="69">
        <f>IFERROR(TREND($M$6:INDEX($M:$M,ROW(),1),$I$6:INDEX($I:$I,ROW(),1),IF(tblDate[[#This Row],[TRIMESTRU]]=4,5,tblDate[[#This Row],[TRIMESTRU]]+1)),"")</f>
        <v>50800</v>
      </c>
      <c r="Q12" s="69">
        <f>IFERROR(TREND($N$6:INDEX($N:$N,ROW(),1),$J$6:INDEX($J:$J,ROW(),1),tblDate[[#This Row],[AN]]+1),"")</f>
        <v>143800</v>
      </c>
    </row>
    <row r="13" spans="2:17" ht="17.25" customHeight="1" x14ac:dyDescent="0.2">
      <c r="B13" s="56">
        <f>40716+(365*2)</f>
        <v>41446</v>
      </c>
      <c r="C13" s="4" t="s">
        <v>1</v>
      </c>
      <c r="D13" s="66">
        <v>7500</v>
      </c>
      <c r="E13" s="66">
        <v>7200</v>
      </c>
      <c r="F13" s="66">
        <v>6500</v>
      </c>
      <c r="G13" s="67">
        <f>tblDate[[#This Row],[SUMĂ]]-tblDate[[#This Row],[COSTURI]]</f>
        <v>1000</v>
      </c>
      <c r="H13" s="5">
        <f>DATE(YEAR('Introducere date'!$B13),MONTH('Introducere date'!$B13),1)</f>
        <v>41426</v>
      </c>
      <c r="I13" s="58">
        <f>LOOKUP(MONTH('Introducere date'!$H13),{1,1;2,1;3,1;4,2;5,2;6,2;7,3;8,3;9,3;10,4;11,4;12,4})</f>
        <v>2</v>
      </c>
      <c r="J13" s="7">
        <f>YEAR('Introducere date'!$B13)</f>
        <v>2013</v>
      </c>
      <c r="K13" s="8">
        <f>MONTH(tblDate[[#This Row],[DATĂ]])</f>
        <v>6</v>
      </c>
      <c r="L13" s="68">
        <f>SUMIFS(tblDate[SUMĂ],tblDate[DATĂ],"&gt;="&amp;EOMONTH(tblDate[[#This Row],[DATĂ]],-1)+1,tblDate[DATĂ],"&lt;="&amp;EOMONTH(tblDate[[#This Row],[DATĂ]],0))</f>
        <v>14400</v>
      </c>
      <c r="M13" s="68">
        <f>SUMIFS(tblDate[SUMĂ],tblDate[DATĂ],"&gt;="&amp;DATE(YEAR(tblDate[[#This Row],[DATĂ]]),1,1),tblDate[DATĂ],"&lt;="&amp;DATE(YEAR(tblDate[[#This Row],[DATĂ]]),12,31),tblDate[TRIMESTRU],tblDate[[#This Row],[TRIMESTRU]])</f>
        <v>50800</v>
      </c>
      <c r="N13" s="68">
        <f>SUMIFS(tblDate[SUMĂ],tblDate[DATĂ],"&gt;="&amp;DATE(YEAR(tblDate[[#This Row],[DATĂ]]),1,1),tblDate[DATĂ],"&lt;="&amp;DATE(YEAR(tblDate[[#This Row],[DATĂ]]),12,31))</f>
        <v>143800</v>
      </c>
      <c r="O13" s="69">
        <f>IFERROR(TREND($L$6:INDEX($L:$L,ROW(),1),$K$6:INDEX($K:$K,ROW(),1),IF(MONTH(tblDate[[#This Row],[DATĂ]])=12,13,MONTH(tblDate[[#This Row],[DATĂ]])+1)),"")</f>
        <v>17950</v>
      </c>
      <c r="P13" s="69">
        <f>IFERROR(TREND($M$6:INDEX($M:$M,ROW(),1),$I$6:INDEX($I:$I,ROW(),1),IF(tblDate[[#This Row],[TRIMESTRU]]=4,5,tblDate[[#This Row],[TRIMESTRU]]+1)),"")</f>
        <v>50800</v>
      </c>
      <c r="Q13" s="69">
        <f>IFERROR(TREND($N$6:INDEX($N:$N,ROW(),1),$J$6:INDEX($J:$J,ROW(),1),tblDate[[#This Row],[AN]]+1),"")</f>
        <v>143800</v>
      </c>
    </row>
    <row r="14" spans="2:17" ht="17.25" customHeight="1" x14ac:dyDescent="0.2">
      <c r="B14" s="56">
        <f>40731+(365*2)</f>
        <v>41461</v>
      </c>
      <c r="C14" s="4" t="s">
        <v>2</v>
      </c>
      <c r="D14" s="66">
        <v>8700</v>
      </c>
      <c r="E14" s="66">
        <v>8500</v>
      </c>
      <c r="F14" s="66">
        <v>7250</v>
      </c>
      <c r="G14" s="67">
        <f>tblDate[[#This Row],[SUMĂ]]-tblDate[[#This Row],[COSTURI]]</f>
        <v>1450</v>
      </c>
      <c r="H14" s="5">
        <f>DATE(YEAR('Introducere date'!$B14),MONTH('Introducere date'!$B14),1)</f>
        <v>41456</v>
      </c>
      <c r="I14" s="58">
        <f>LOOKUP(MONTH('Introducere date'!$H14),{1,1;2,1;3,1;4,2;5,2;6,2;7,3;8,3;9,3;10,4;11,4;12,4})</f>
        <v>3</v>
      </c>
      <c r="J14" s="7">
        <f>YEAR('Introducere date'!$B14)</f>
        <v>2013</v>
      </c>
      <c r="K14" s="8">
        <f>MONTH(tblDate[[#This Row],[DATĂ]])</f>
        <v>7</v>
      </c>
      <c r="L14" s="68">
        <f>SUMIFS(tblDate[SUMĂ],tblDate[DATĂ],"&gt;="&amp;EOMONTH(tblDate[[#This Row],[DATĂ]],-1)+1,tblDate[DATĂ],"&lt;="&amp;EOMONTH(tblDate[[#This Row],[DATĂ]],0))</f>
        <v>8700</v>
      </c>
      <c r="M14" s="68">
        <f>SUMIFS(tblDate[SUMĂ],tblDate[DATĂ],"&gt;="&amp;DATE(YEAR(tblDate[[#This Row],[DATĂ]]),1,1),tblDate[DATĂ],"&lt;="&amp;DATE(YEAR(tblDate[[#This Row],[DATĂ]]),12,31),tblDate[TRIMESTRU],tblDate[[#This Row],[TRIMESTRU]])</f>
        <v>49100</v>
      </c>
      <c r="N14" s="68">
        <f>SUMIFS(tblDate[SUMĂ],tblDate[DATĂ],"&gt;="&amp;DATE(YEAR(tblDate[[#This Row],[DATĂ]]),1,1),tblDate[DATĂ],"&lt;="&amp;DATE(YEAR(tblDate[[#This Row],[DATĂ]]),12,31))</f>
        <v>143800</v>
      </c>
      <c r="O14" s="69">
        <f>IFERROR(TREND($L$6:INDEX($L:$L,ROW(),1),$K$6:INDEX($K:$K,ROW(),1),IF(MONTH(tblDate[[#This Row],[DATĂ]])=12,13,MONTH(tblDate[[#This Row],[DATĂ]])+1)),"")</f>
        <v>10776.470588235294</v>
      </c>
      <c r="P14" s="69">
        <f>IFERROR(TREND($M$6:INDEX($M:$M,ROW(),1),$I$6:INDEX($I:$I,ROW(),1),IF(tblDate[[#This Row],[TRIMESTRU]]=4,5,tblDate[[#This Row],[TRIMESTRU]]+1)),"")</f>
        <v>47400</v>
      </c>
      <c r="Q14" s="69">
        <f>IFERROR(TREND($N$6:INDEX($N:$N,ROW(),1),$J$6:INDEX($J:$J,ROW(),1),tblDate[[#This Row],[AN]]+1),"")</f>
        <v>143800</v>
      </c>
    </row>
    <row r="15" spans="2:17" ht="17.25" customHeight="1" x14ac:dyDescent="0.2">
      <c r="B15" s="56">
        <f>40761+(365*2)</f>
        <v>41491</v>
      </c>
      <c r="C15" s="4" t="s">
        <v>3</v>
      </c>
      <c r="D15" s="66">
        <v>8500</v>
      </c>
      <c r="E15" s="66">
        <v>8300</v>
      </c>
      <c r="F15" s="66">
        <v>7100</v>
      </c>
      <c r="G15" s="67">
        <f>tblDate[[#This Row],[SUMĂ]]-tblDate[[#This Row],[COSTURI]]</f>
        <v>1400</v>
      </c>
      <c r="H15" s="5">
        <f>DATE(YEAR('Introducere date'!$B15),MONTH('Introducere date'!$B15),1)</f>
        <v>41487</v>
      </c>
      <c r="I15" s="58">
        <f>LOOKUP(MONTH('Introducere date'!$H15),{1,1;2,1;3,1;4,2;5,2;6,2;7,3;8,3;9,3;10,4;11,4;12,4})</f>
        <v>3</v>
      </c>
      <c r="J15" s="7">
        <f>YEAR('Introducere date'!$B15)</f>
        <v>2013</v>
      </c>
      <c r="K15" s="8">
        <f>MONTH(tblDate[[#This Row],[DATĂ]])</f>
        <v>8</v>
      </c>
      <c r="L15" s="68">
        <f>SUMIFS(tblDate[SUMĂ],tblDate[DATĂ],"&gt;="&amp;EOMONTH(tblDate[[#This Row],[DATĂ]],-1)+1,tblDate[DATĂ],"&lt;="&amp;EOMONTH(tblDate[[#This Row],[DATĂ]],0))</f>
        <v>16400</v>
      </c>
      <c r="M15" s="68">
        <f>SUMIFS(tblDate[SUMĂ],tblDate[DATĂ],"&gt;="&amp;DATE(YEAR(tblDate[[#This Row],[DATĂ]]),1,1),tblDate[DATĂ],"&lt;="&amp;DATE(YEAR(tblDate[[#This Row],[DATĂ]]),12,31),tblDate[TRIMESTRU],tblDate[[#This Row],[TRIMESTRU]])</f>
        <v>49100</v>
      </c>
      <c r="N15" s="68">
        <f>SUMIFS(tblDate[SUMĂ],tblDate[DATĂ],"&gt;="&amp;DATE(YEAR(tblDate[[#This Row],[DATĂ]]),1,1),tblDate[DATĂ],"&lt;="&amp;DATE(YEAR(tblDate[[#This Row],[DATĂ]]),12,31))</f>
        <v>143800</v>
      </c>
      <c r="O15" s="69">
        <f>IFERROR(TREND($L$6:INDEX($L:$L,ROW(),1),$K$6:INDEX($K:$K,ROW(),1),IF(MONTH(tblDate[[#This Row],[DATĂ]])=12,13,MONTH(tblDate[[#This Row],[DATĂ]])+1)),"")</f>
        <v>12455.862068965516</v>
      </c>
      <c r="P15" s="69">
        <f>IFERROR(TREND($M$6:INDEX($M:$M,ROW(),1),$I$6:INDEX($I:$I,ROW(),1),IF(tblDate[[#This Row],[TRIMESTRU]]=4,5,tblDate[[#This Row],[TRIMESTRU]]+1)),"")</f>
        <v>47400</v>
      </c>
      <c r="Q15" s="69">
        <f>IFERROR(TREND($N$6:INDEX($N:$N,ROW(),1),$J$6:INDEX($J:$J,ROW(),1),tblDate[[#This Row],[AN]]+1),"")</f>
        <v>143800</v>
      </c>
    </row>
    <row r="16" spans="2:17" ht="17.25" customHeight="1" x14ac:dyDescent="0.2">
      <c r="B16" s="56">
        <f>40775+(365*2)</f>
        <v>41505</v>
      </c>
      <c r="C16" s="4" t="s">
        <v>4</v>
      </c>
      <c r="D16" s="66">
        <v>7900</v>
      </c>
      <c r="E16" s="66">
        <v>7700</v>
      </c>
      <c r="F16" s="66">
        <v>6600</v>
      </c>
      <c r="G16" s="67">
        <f>tblDate[[#This Row],[SUMĂ]]-tblDate[[#This Row],[COSTURI]]</f>
        <v>1300</v>
      </c>
      <c r="H16" s="5">
        <f>DATE(YEAR('Introducere date'!$B16),MONTH('Introducere date'!$B16),1)</f>
        <v>41487</v>
      </c>
      <c r="I16" s="58">
        <f>LOOKUP(MONTH('Introducere date'!$H16),{1,1;2,1;3,1;4,2;5,2;6,2;7,3;8,3;9,3;10,4;11,4;12,4})</f>
        <v>3</v>
      </c>
      <c r="J16" s="7">
        <f>YEAR('Introducere date'!$B16)</f>
        <v>2013</v>
      </c>
      <c r="K16" s="8">
        <f>MONTH(tblDate[[#This Row],[DATĂ]])</f>
        <v>8</v>
      </c>
      <c r="L16" s="68">
        <f>SUMIFS(tblDate[SUMĂ],tblDate[DATĂ],"&gt;="&amp;EOMONTH(tblDate[[#This Row],[DATĂ]],-1)+1,tblDate[DATĂ],"&lt;="&amp;EOMONTH(tblDate[[#This Row],[DATĂ]],0))</f>
        <v>16400</v>
      </c>
      <c r="M16" s="68">
        <f>SUMIFS(tblDate[SUMĂ],tblDate[DATĂ],"&gt;="&amp;DATE(YEAR(tblDate[[#This Row],[DATĂ]]),1,1),tblDate[DATĂ],"&lt;="&amp;DATE(YEAR(tblDate[[#This Row],[DATĂ]]),12,31),tblDate[TRIMESTRU],tblDate[[#This Row],[TRIMESTRU]])</f>
        <v>49100</v>
      </c>
      <c r="N16" s="68">
        <f>SUMIFS(tblDate[SUMĂ],tblDate[DATĂ],"&gt;="&amp;DATE(YEAR(tblDate[[#This Row],[DATĂ]]),1,1),tblDate[DATĂ],"&lt;="&amp;DATE(YEAR(tblDate[[#This Row],[DATĂ]]),12,31))</f>
        <v>143800</v>
      </c>
      <c r="O16" s="69">
        <f>IFERROR(TREND($L$6:INDEX($L:$L,ROW(),1),$K$6:INDEX($K:$K,ROW(),1),IF(MONTH(tblDate[[#This Row],[DATĂ]])=12,13,MONTH(tblDate[[#This Row],[DATĂ]])+1)),"")</f>
        <v>13667.567567567567</v>
      </c>
      <c r="P16" s="69">
        <f>IFERROR(TREND($M$6:INDEX($M:$M,ROW(),1),$I$6:INDEX($I:$I,ROW(),1),IF(tblDate[[#This Row],[TRIMESTRU]]=4,5,tblDate[[#This Row],[TRIMESTRU]]+1)),"")</f>
        <v>47400.000000000007</v>
      </c>
      <c r="Q16" s="69">
        <f>IFERROR(TREND($N$6:INDEX($N:$N,ROW(),1),$J$6:INDEX($J:$J,ROW(),1),tblDate[[#This Row],[AN]]+1),"")</f>
        <v>143800</v>
      </c>
    </row>
    <row r="17" spans="2:17" ht="17.25" customHeight="1" x14ac:dyDescent="0.2">
      <c r="B17" s="56">
        <f>40791+(365*2)</f>
        <v>41521</v>
      </c>
      <c r="C17" s="4" t="s">
        <v>5</v>
      </c>
      <c r="D17" s="66">
        <v>9100</v>
      </c>
      <c r="E17" s="66">
        <v>8900</v>
      </c>
      <c r="F17" s="66">
        <v>7900</v>
      </c>
      <c r="G17" s="67">
        <f>tblDate[[#This Row],[SUMĂ]]-tblDate[[#This Row],[COSTURI]]</f>
        <v>1200</v>
      </c>
      <c r="H17" s="5">
        <f>DATE(YEAR('Introducere date'!$B17),MONTH('Introducere date'!$B17),1)</f>
        <v>41518</v>
      </c>
      <c r="I17" s="58">
        <f>LOOKUP(MONTH('Introducere date'!$H17),{1,1;2,1;3,1;4,2;5,2;6,2;7,3;8,3;9,3;10,4;11,4;12,4})</f>
        <v>3</v>
      </c>
      <c r="J17" s="7">
        <f>YEAR('Introducere date'!$B17)</f>
        <v>2013</v>
      </c>
      <c r="K17" s="8">
        <f>MONTH(tblDate[[#This Row],[DATĂ]])</f>
        <v>9</v>
      </c>
      <c r="L17" s="68">
        <f>SUMIFS(tblDate[SUMĂ],tblDate[DATĂ],"&gt;="&amp;EOMONTH(tblDate[[#This Row],[DATĂ]],-1)+1,tblDate[DATĂ],"&lt;="&amp;EOMONTH(tblDate[[#This Row],[DATĂ]],0))</f>
        <v>24000</v>
      </c>
      <c r="M17" s="68">
        <f>SUMIFS(tblDate[SUMĂ],tblDate[DATĂ],"&gt;="&amp;DATE(YEAR(tblDate[[#This Row],[DATĂ]]),1,1),tblDate[DATĂ],"&lt;="&amp;DATE(YEAR(tblDate[[#This Row],[DATĂ]]),12,31),tblDate[TRIMESTRU],tblDate[[#This Row],[TRIMESTRU]])</f>
        <v>49100</v>
      </c>
      <c r="N17" s="68">
        <f>SUMIFS(tblDate[SUMĂ],tblDate[DATĂ],"&gt;="&amp;DATE(YEAR(tblDate[[#This Row],[DATĂ]]),1,1),tblDate[DATĂ],"&lt;="&amp;DATE(YEAR(tblDate[[#This Row],[DATĂ]]),12,31))</f>
        <v>143800</v>
      </c>
      <c r="O17" s="69">
        <f>IFERROR(TREND($L$6:INDEX($L:$L,ROW(),1),$K$6:INDEX($K:$K,ROW(),1),IF(MONTH(tblDate[[#This Row],[DATĂ]])=12,13,MONTH(tblDate[[#This Row],[DATĂ]])+1)),"")</f>
        <v>17651.666666666668</v>
      </c>
      <c r="P17" s="69">
        <f>IFERROR(TREND($M$6:INDEX($M:$M,ROW(),1),$I$6:INDEX($I:$I,ROW(),1),IF(tblDate[[#This Row],[TRIMESTRU]]=4,5,tblDate[[#This Row],[TRIMESTRU]]+1)),"")</f>
        <v>47400</v>
      </c>
      <c r="Q17" s="69">
        <f>IFERROR(TREND($N$6:INDEX($N:$N,ROW(),1),$J$6:INDEX($J:$J,ROW(),1),tblDate[[#This Row],[AN]]+1),"")</f>
        <v>143800</v>
      </c>
    </row>
    <row r="18" spans="2:17" ht="17.25" customHeight="1" x14ac:dyDescent="0.2">
      <c r="B18" s="56">
        <f>40807+(365*2)</f>
        <v>41537</v>
      </c>
      <c r="C18" s="4" t="s">
        <v>1</v>
      </c>
      <c r="D18" s="66">
        <v>5600</v>
      </c>
      <c r="E18" s="66">
        <v>5800</v>
      </c>
      <c r="F18" s="66">
        <v>4500</v>
      </c>
      <c r="G18" s="67">
        <f>tblDate[[#This Row],[SUMĂ]]-tblDate[[#This Row],[COSTURI]]</f>
        <v>1100</v>
      </c>
      <c r="H18" s="5">
        <f>DATE(YEAR('Introducere date'!$B18),MONTH('Introducere date'!$B18),1)</f>
        <v>41518</v>
      </c>
      <c r="I18" s="58">
        <f>LOOKUP(MONTH('Introducere date'!$H18),{1,1;2,1;3,1;4,2;5,2;6,2;7,3;8,3;9,3;10,4;11,4;12,4})</f>
        <v>3</v>
      </c>
      <c r="J18" s="7">
        <f>YEAR('Introducere date'!$B18)</f>
        <v>2013</v>
      </c>
      <c r="K18" s="8">
        <f>MONTH(tblDate[[#This Row],[DATĂ]])</f>
        <v>9</v>
      </c>
      <c r="L18" s="68">
        <f>SUMIFS(tblDate[SUMĂ],tblDate[DATĂ],"&gt;="&amp;EOMONTH(tblDate[[#This Row],[DATĂ]],-1)+1,tblDate[DATĂ],"&lt;="&amp;EOMONTH(tblDate[[#This Row],[DATĂ]],0))</f>
        <v>24000</v>
      </c>
      <c r="M18" s="68">
        <f>SUMIFS(tblDate[SUMĂ],tblDate[DATĂ],"&gt;="&amp;DATE(YEAR(tblDate[[#This Row],[DATĂ]]),1,1),tblDate[DATĂ],"&lt;="&amp;DATE(YEAR(tblDate[[#This Row],[DATĂ]]),12,31),tblDate[TRIMESTRU],tblDate[[#This Row],[TRIMESTRU]])</f>
        <v>49100</v>
      </c>
      <c r="N18" s="68">
        <f>SUMIFS(tblDate[SUMĂ],tblDate[DATĂ],"&gt;="&amp;DATE(YEAR(tblDate[[#This Row],[DATĂ]]),1,1),tblDate[DATĂ],"&lt;="&amp;DATE(YEAR(tblDate[[#This Row],[DATĂ]]),12,31))</f>
        <v>143800</v>
      </c>
      <c r="O18" s="69">
        <f>IFERROR(TREND($L$6:INDEX($L:$L,ROW(),1),$K$6:INDEX($K:$K,ROW(),1),IF(MONTH(tblDate[[#This Row],[DATĂ]])=12,13,MONTH(tblDate[[#This Row],[DATĂ]])+1)),"")</f>
        <v>19877.911646586344</v>
      </c>
      <c r="P18" s="69">
        <f>IFERROR(TREND($M$6:INDEX($M:$M,ROW(),1),$I$6:INDEX($I:$I,ROW(),1),IF(tblDate[[#This Row],[TRIMESTRU]]=4,5,tblDate[[#This Row],[TRIMESTRU]]+1)),"")</f>
        <v>47400</v>
      </c>
      <c r="Q18" s="69">
        <f>IFERROR(TREND($N$6:INDEX($N:$N,ROW(),1),$J$6:INDEX($J:$J,ROW(),1),tblDate[[#This Row],[AN]]+1),"")</f>
        <v>143800</v>
      </c>
    </row>
    <row r="19" spans="2:17" ht="17.25" customHeight="1" x14ac:dyDescent="0.2">
      <c r="B19" s="56">
        <f>40812+(365*2)</f>
        <v>41542</v>
      </c>
      <c r="C19" s="4" t="s">
        <v>2</v>
      </c>
      <c r="D19" s="66">
        <v>9300</v>
      </c>
      <c r="E19" s="66">
        <v>9100</v>
      </c>
      <c r="F19" s="66">
        <v>7500</v>
      </c>
      <c r="G19" s="67">
        <f>tblDate[[#This Row],[SUMĂ]]-tblDate[[#This Row],[COSTURI]]</f>
        <v>1800</v>
      </c>
      <c r="H19" s="5">
        <f>DATE(YEAR('Introducere date'!$B19),MONTH('Introducere date'!$B19),1)</f>
        <v>41518</v>
      </c>
      <c r="I19" s="58">
        <f>LOOKUP(MONTH('Introducere date'!$H19),{1,1;2,1;3,1;4,2;5,2;6,2;7,3;8,3;9,3;10,4;11,4;12,4})</f>
        <v>3</v>
      </c>
      <c r="J19" s="7">
        <f>YEAR('Introducere date'!$B19)</f>
        <v>2013</v>
      </c>
      <c r="K19" s="8">
        <f>MONTH(tblDate[[#This Row],[DATĂ]])</f>
        <v>9</v>
      </c>
      <c r="L19" s="68">
        <f>SUMIFS(tblDate[SUMĂ],tblDate[DATĂ],"&gt;="&amp;EOMONTH(tblDate[[#This Row],[DATĂ]],-1)+1,tblDate[DATĂ],"&lt;="&amp;EOMONTH(tblDate[[#This Row],[DATĂ]],0))</f>
        <v>24000</v>
      </c>
      <c r="M19" s="68">
        <f>SUMIFS(tblDate[SUMĂ],tblDate[DATĂ],"&gt;="&amp;DATE(YEAR(tblDate[[#This Row],[DATĂ]]),1,1),tblDate[DATĂ],"&lt;="&amp;DATE(YEAR(tblDate[[#This Row],[DATĂ]]),12,31),tblDate[TRIMESTRU],tblDate[[#This Row],[TRIMESTRU]])</f>
        <v>49100</v>
      </c>
      <c r="N19" s="68">
        <f>SUMIFS(tblDate[SUMĂ],tblDate[DATĂ],"&gt;="&amp;DATE(YEAR(tblDate[[#This Row],[DATĂ]]),1,1),tblDate[DATĂ],"&lt;="&amp;DATE(YEAR(tblDate[[#This Row],[DATĂ]]),12,31))</f>
        <v>143800</v>
      </c>
      <c r="O19" s="69">
        <f>IFERROR(TREND($L$6:INDEX($L:$L,ROW(),1),$K$6:INDEX($K:$K,ROW(),1),IF(MONTH(tblDate[[#This Row],[DATĂ]])=12,13,MONTH(tblDate[[#This Row],[DATĂ]])+1)),"")</f>
        <v>21138.050314465407</v>
      </c>
      <c r="P19" s="69">
        <f>IFERROR(TREND($M$6:INDEX($M:$M,ROW(),1),$I$6:INDEX($I:$I,ROW(),1),IF(tblDate[[#This Row],[TRIMESTRU]]=4,5,tblDate[[#This Row],[TRIMESTRU]]+1)),"")</f>
        <v>47400</v>
      </c>
      <c r="Q19" s="69">
        <f>IFERROR(TREND($N$6:INDEX($N:$N,ROW(),1),$J$6:INDEX($J:$J,ROW(),1),tblDate[[#This Row],[AN]]+1),"")</f>
        <v>143800</v>
      </c>
    </row>
    <row r="20" spans="2:17" ht="17.25" customHeight="1" x14ac:dyDescent="0.2">
      <c r="B20" s="56">
        <f>40832+(365*2)</f>
        <v>41562</v>
      </c>
      <c r="C20" s="4" t="s">
        <v>3</v>
      </c>
      <c r="D20" s="66">
        <v>8800</v>
      </c>
      <c r="E20" s="66">
        <v>9350</v>
      </c>
      <c r="F20" s="66">
        <v>7100</v>
      </c>
      <c r="G20" s="67">
        <f>tblDate[[#This Row],[SUMĂ]]-tblDate[[#This Row],[COSTURI]]</f>
        <v>1700</v>
      </c>
      <c r="H20" s="5">
        <f>DATE(YEAR('Introducere date'!$B20),MONTH('Introducere date'!$B20),1)</f>
        <v>41548</v>
      </c>
      <c r="I20" s="58">
        <f>LOOKUP(MONTH('Introducere date'!$H20),{1,1;2,1;3,1;4,2;5,2;6,2;7,3;8,3;9,3;10,4;11,4;12,4})</f>
        <v>4</v>
      </c>
      <c r="J20" s="7">
        <f>YEAR('Introducere date'!$B20)</f>
        <v>2013</v>
      </c>
      <c r="K20" s="8">
        <f>MONTH(tblDate[[#This Row],[DATĂ]])</f>
        <v>10</v>
      </c>
      <c r="L20" s="68">
        <f>SUMIFS(tblDate[SUMĂ],tblDate[DATĂ],"&gt;="&amp;EOMONTH(tblDate[[#This Row],[DATĂ]],-1)+1,tblDate[DATĂ],"&lt;="&amp;EOMONTH(tblDate[[#This Row],[DATĂ]],0))</f>
        <v>8800</v>
      </c>
      <c r="M20" s="68">
        <f>SUMIFS(tblDate[SUMĂ],tblDate[DATĂ],"&gt;="&amp;DATE(YEAR(tblDate[[#This Row],[DATĂ]]),1,1),tblDate[DATĂ],"&lt;="&amp;DATE(YEAR(tblDate[[#This Row],[DATĂ]]),12,31),tblDate[TRIMESTRU],tblDate[[#This Row],[TRIMESTRU]])</f>
        <v>43900</v>
      </c>
      <c r="N20" s="68">
        <f>SUMIFS(tblDate[SUMĂ],tblDate[DATĂ],"&gt;="&amp;DATE(YEAR(tblDate[[#This Row],[DATĂ]]),1,1),tblDate[DATĂ],"&lt;="&amp;DATE(YEAR(tblDate[[#This Row],[DATĂ]]),12,31))</f>
        <v>143800</v>
      </c>
      <c r="O20" s="69">
        <f>IFERROR(TREND($L$6:INDEX($L:$L,ROW(),1),$K$6:INDEX($K:$K,ROW(),1),IF(MONTH(tblDate[[#This Row],[DATĂ]])=12,13,MONTH(tblDate[[#This Row],[DATĂ]])+1)),"")</f>
        <v>17951.744186046511</v>
      </c>
      <c r="P20" s="69">
        <f>IFERROR(TREND($M$6:INDEX($M:$M,ROW(),1),$I$6:INDEX($I:$I,ROW(),1),IF(tblDate[[#This Row],[TRIMESTRU]]=4,5,tblDate[[#This Row],[TRIMESTRU]]+1)),"")</f>
        <v>43258.139534883725</v>
      </c>
      <c r="Q20" s="69">
        <f>IFERROR(TREND($N$6:INDEX($N:$N,ROW(),1),$J$6:INDEX($J:$J,ROW(),1),tblDate[[#This Row],[AN]]+1),"")</f>
        <v>143800</v>
      </c>
    </row>
    <row r="21" spans="2:17" ht="17.25" customHeight="1" x14ac:dyDescent="0.2">
      <c r="B21" s="56">
        <f>40853+(365*2)</f>
        <v>41583</v>
      </c>
      <c r="C21" s="4" t="s">
        <v>4</v>
      </c>
      <c r="D21" s="66">
        <v>9100</v>
      </c>
      <c r="E21" s="66">
        <v>9200</v>
      </c>
      <c r="F21" s="66">
        <v>7850</v>
      </c>
      <c r="G21" s="67">
        <f>tblDate[[#This Row],[SUMĂ]]-tblDate[[#This Row],[COSTURI]]</f>
        <v>1250</v>
      </c>
      <c r="H21" s="5">
        <f>DATE(YEAR('Introducere date'!$B21),MONTH('Introducere date'!$B21),1)</f>
        <v>41579</v>
      </c>
      <c r="I21" s="58">
        <f>LOOKUP(MONTH('Introducere date'!$H21),{1,1;2,1;3,1;4,2;5,2;6,2;7,3;8,3;9,3;10,4;11,4;12,4})</f>
        <v>4</v>
      </c>
      <c r="J21" s="7">
        <f>YEAR('Introducere date'!$B21)</f>
        <v>2013</v>
      </c>
      <c r="K21" s="8">
        <f>MONTH(tblDate[[#This Row],[DATĂ]])</f>
        <v>11</v>
      </c>
      <c r="L21" s="68">
        <f>SUMIFS(tblDate[SUMĂ],tblDate[DATĂ],"&gt;="&amp;EOMONTH(tblDate[[#This Row],[DATĂ]],-1)+1,tblDate[DATĂ],"&lt;="&amp;EOMONTH(tblDate[[#This Row],[DATĂ]],0))</f>
        <v>25600</v>
      </c>
      <c r="M21" s="68">
        <f>SUMIFS(tblDate[SUMĂ],tblDate[DATĂ],"&gt;="&amp;DATE(YEAR(tblDate[[#This Row],[DATĂ]]),1,1),tblDate[DATĂ],"&lt;="&amp;DATE(YEAR(tblDate[[#This Row],[DATĂ]]),12,31),tblDate[TRIMESTRU],tblDate[[#This Row],[TRIMESTRU]])</f>
        <v>43900</v>
      </c>
      <c r="N21" s="68">
        <f>SUMIFS(tblDate[SUMĂ],tblDate[DATĂ],"&gt;="&amp;DATE(YEAR(tblDate[[#This Row],[DATĂ]]),1,1),tblDate[DATĂ],"&lt;="&amp;DATE(YEAR(tblDate[[#This Row],[DATĂ]]),12,31))</f>
        <v>143800</v>
      </c>
      <c r="O21" s="69">
        <f>IFERROR(TREND($L$6:INDEX($L:$L,ROW(),1),$K$6:INDEX($K:$K,ROW(),1),IF(MONTH(tblDate[[#This Row],[DATĂ]])=12,13,MONTH(tblDate[[#This Row],[DATĂ]])+1)),"")</f>
        <v>20556.130108423687</v>
      </c>
      <c r="P21" s="69">
        <f>IFERROR(TREND($M$6:INDEX($M:$M,ROW(),1),$I$6:INDEX($I:$I,ROW(),1),IF(tblDate[[#This Row],[TRIMESTRU]]=4,5,tblDate[[#This Row],[TRIMESTRU]]+1)),"")</f>
        <v>42312.903225806447</v>
      </c>
      <c r="Q21" s="69">
        <f>IFERROR(TREND($N$6:INDEX($N:$N,ROW(),1),$J$6:INDEX($J:$J,ROW(),1),tblDate[[#This Row],[AN]]+1),"")</f>
        <v>143800</v>
      </c>
    </row>
    <row r="22" spans="2:17" ht="17.25" customHeight="1" x14ac:dyDescent="0.2">
      <c r="B22" s="56">
        <f>40874+(365*2)</f>
        <v>41604</v>
      </c>
      <c r="C22" s="4" t="s">
        <v>5</v>
      </c>
      <c r="D22" s="66">
        <v>9000</v>
      </c>
      <c r="E22" s="66">
        <v>10000</v>
      </c>
      <c r="F22" s="66">
        <v>7575</v>
      </c>
      <c r="G22" s="67">
        <f>tblDate[[#This Row],[SUMĂ]]-tblDate[[#This Row],[COSTURI]]</f>
        <v>1425</v>
      </c>
      <c r="H22" s="5">
        <f>DATE(YEAR('Introducere date'!$B22),MONTH('Introducere date'!$B22),1)</f>
        <v>41579</v>
      </c>
      <c r="I22" s="58">
        <f>LOOKUP(MONTH('Introducere date'!$H22),{1,1;2,1;3,1;4,2;5,2;6,2;7,3;8,3;9,3;10,4;11,4;12,4})</f>
        <v>4</v>
      </c>
      <c r="J22" s="7">
        <f>YEAR('Introducere date'!$B22)</f>
        <v>2013</v>
      </c>
      <c r="K22" s="8">
        <f>MONTH(tblDate[[#This Row],[DATĂ]])</f>
        <v>11</v>
      </c>
      <c r="L22" s="68">
        <f>SUMIFS(tblDate[SUMĂ],tblDate[DATĂ],"&gt;="&amp;EOMONTH(tblDate[[#This Row],[DATĂ]],-1)+1,tblDate[DATĂ],"&lt;="&amp;EOMONTH(tblDate[[#This Row],[DATĂ]],0))</f>
        <v>25600</v>
      </c>
      <c r="M22" s="68">
        <f>SUMIFS(tblDate[SUMĂ],tblDate[DATĂ],"&gt;="&amp;DATE(YEAR(tblDate[[#This Row],[DATĂ]]),1,1),tblDate[DATĂ],"&lt;="&amp;DATE(YEAR(tblDate[[#This Row],[DATĂ]]),12,31),tblDate[TRIMESTRU],tblDate[[#This Row],[TRIMESTRU]])</f>
        <v>43900</v>
      </c>
      <c r="N22" s="68">
        <f>SUMIFS(tblDate[SUMĂ],tblDate[DATĂ],"&gt;="&amp;DATE(YEAR(tblDate[[#This Row],[DATĂ]]),1,1),tblDate[DATĂ],"&lt;="&amp;DATE(YEAR(tblDate[[#This Row],[DATĂ]]),12,31))</f>
        <v>143800</v>
      </c>
      <c r="O22" s="69">
        <f>IFERROR(TREND($L$6:INDEX($L:$L,ROW(),1),$K$6:INDEX($K:$K,ROW(),1),IF(MONTH(tblDate[[#This Row],[DATĂ]])=12,13,MONTH(tblDate[[#This Row],[DATĂ]])+1)),"")</f>
        <v>21997.139141742522</v>
      </c>
      <c r="P22" s="69">
        <f>IFERROR(TREND($M$6:INDEX($M:$M,ROW(),1),$I$6:INDEX($I:$I,ROW(),1),IF(tblDate[[#This Row],[TRIMESTRU]]=4,5,tblDate[[#This Row],[TRIMESTRU]]+1)),"")</f>
        <v>41811.111111111109</v>
      </c>
      <c r="Q22" s="69">
        <f>IFERROR(TREND($N$6:INDEX($N:$N,ROW(),1),$J$6:INDEX($J:$J,ROW(),1),tblDate[[#This Row],[AN]]+1),"")</f>
        <v>143800</v>
      </c>
    </row>
    <row r="23" spans="2:17" ht="17.25" customHeight="1" x14ac:dyDescent="0.2">
      <c r="B23" s="56">
        <f>40878+(365*2)</f>
        <v>41608</v>
      </c>
      <c r="C23" s="4" t="s">
        <v>5</v>
      </c>
      <c r="D23" s="66">
        <v>7500</v>
      </c>
      <c r="E23" s="66">
        <v>8000</v>
      </c>
      <c r="F23" s="66">
        <v>5850</v>
      </c>
      <c r="G23" s="67">
        <f>tblDate[[#This Row],[SUMĂ]]-tblDate[[#This Row],[COSTURI]]</f>
        <v>1650</v>
      </c>
      <c r="H23" s="5">
        <f>DATE(YEAR('Introducere date'!$B23),MONTH('Introducere date'!$B23),1)</f>
        <v>41579</v>
      </c>
      <c r="I23" s="58">
        <f>LOOKUP(MONTH('Introducere date'!$H23),{1,1;2,1;3,1;4,2;5,2;6,2;7,3;8,3;9,3;10,4;11,4;12,4})</f>
        <v>4</v>
      </c>
      <c r="J23" s="7">
        <f>YEAR('Introducere date'!$B23)</f>
        <v>2013</v>
      </c>
      <c r="K23" s="8">
        <f>MONTH(tblDate[[#This Row],[DATĂ]])</f>
        <v>11</v>
      </c>
      <c r="L23" s="68">
        <f>SUMIFS(tblDate[SUMĂ],tblDate[DATĂ],"&gt;="&amp;EOMONTH(tblDate[[#This Row],[DATĂ]],-1)+1,tblDate[DATĂ],"&lt;="&amp;EOMONTH(tblDate[[#This Row],[DATĂ]],0))</f>
        <v>25600</v>
      </c>
      <c r="M23" s="68">
        <f>SUMIFS(tblDate[SUMĂ],tblDate[DATĂ],"&gt;="&amp;DATE(YEAR(tblDate[[#This Row],[DATĂ]]),1,1),tblDate[DATĂ],"&lt;="&amp;DATE(YEAR(tblDate[[#This Row],[DATĂ]]),12,31),tblDate[TRIMESTRU],tblDate[[#This Row],[TRIMESTRU]])</f>
        <v>43900</v>
      </c>
      <c r="N23" s="68">
        <f>SUMIFS(tblDate[SUMĂ],tblDate[DATĂ],"&gt;="&amp;DATE(YEAR(tblDate[[#This Row],[DATĂ]]),1,1),tblDate[DATĂ],"&lt;="&amp;DATE(YEAR(tblDate[[#This Row],[DATĂ]]),12,31))</f>
        <v>143800</v>
      </c>
      <c r="O23" s="69">
        <f>IFERROR(TREND($L$6:INDEX($L:$L,ROW(),1),$K$6:INDEX($K:$K,ROW(),1),IF(MONTH(tblDate[[#This Row],[DATĂ]])=12,13,MONTH(tblDate[[#This Row],[DATĂ]])+1)),"")</f>
        <v>22917.634523175278</v>
      </c>
      <c r="P23" s="69">
        <f>IFERROR(TREND($M$6:INDEX($M:$M,ROW(),1),$I$6:INDEX($I:$I,ROW(),1),IF(tblDate[[#This Row],[TRIMESTRU]]=4,5,tblDate[[#This Row],[TRIMESTRU]]+1)),"")</f>
        <v>41500</v>
      </c>
      <c r="Q23" s="69">
        <f>IFERROR(TREND($N$6:INDEX($N:$N,ROW(),1),$J$6:INDEX($J:$J,ROW(),1),tblDate[[#This Row],[AN]]+1),"")</f>
        <v>143800</v>
      </c>
    </row>
    <row r="24" spans="2:17" ht="17.25" customHeight="1" x14ac:dyDescent="0.2">
      <c r="B24" s="56">
        <f>40889+(365*2)</f>
        <v>41619</v>
      </c>
      <c r="C24" s="4" t="s">
        <v>1</v>
      </c>
      <c r="D24" s="66">
        <v>9500</v>
      </c>
      <c r="E24" s="66">
        <v>9200</v>
      </c>
      <c r="F24" s="66">
        <v>8500</v>
      </c>
      <c r="G24" s="67">
        <f>tblDate[[#This Row],[SUMĂ]]-tblDate[[#This Row],[COSTURI]]</f>
        <v>1000</v>
      </c>
      <c r="H24" s="5">
        <f>DATE(YEAR('Introducere date'!$B24),MONTH('Introducere date'!$B24),1)</f>
        <v>41609</v>
      </c>
      <c r="I24" s="58">
        <f>LOOKUP(MONTH('Introducere date'!$H24),{1,1;2,1;3,1;4,2;5,2;6,2;7,3;8,3;9,3;10,4;11,4;12,4})</f>
        <v>4</v>
      </c>
      <c r="J24" s="7">
        <f>YEAR('Introducere date'!$B24)</f>
        <v>2013</v>
      </c>
      <c r="K24" s="8">
        <f>MONTH(tblDate[[#This Row],[DATĂ]])</f>
        <v>12</v>
      </c>
      <c r="L24" s="68">
        <f>SUMIFS(tblDate[SUMĂ],tblDate[DATĂ],"&gt;="&amp;EOMONTH(tblDate[[#This Row],[DATĂ]],-1)+1,tblDate[DATĂ],"&lt;="&amp;EOMONTH(tblDate[[#This Row],[DATĂ]],0))</f>
        <v>9500</v>
      </c>
      <c r="M24" s="68">
        <f>SUMIFS(tblDate[SUMĂ],tblDate[DATĂ],"&gt;="&amp;DATE(YEAR(tblDate[[#This Row],[DATĂ]]),1,1),tblDate[DATĂ],"&lt;="&amp;DATE(YEAR(tblDate[[#This Row],[DATĂ]]),12,31),tblDate[TRIMESTRU],tblDate[[#This Row],[TRIMESTRU]])</f>
        <v>43900</v>
      </c>
      <c r="N24" s="68">
        <f>SUMIFS(tblDate[SUMĂ],tblDate[DATĂ],"&gt;="&amp;DATE(YEAR(tblDate[[#This Row],[DATĂ]]),1,1),tblDate[DATĂ],"&lt;="&amp;DATE(YEAR(tblDate[[#This Row],[DATĂ]]),12,31))</f>
        <v>143800</v>
      </c>
      <c r="O24" s="69">
        <f>IFERROR(TREND($L$6:INDEX($L:$L,ROW(),1),$K$6:INDEX($K:$K,ROW(),1),IF(MONTH(tblDate[[#This Row],[DATĂ]])=12,13,MONTH(tblDate[[#This Row],[DATĂ]])+1)),"")</f>
        <v>20504.314720812181</v>
      </c>
      <c r="P24" s="69">
        <f>IFERROR(TREND($M$6:INDEX($M:$M,ROW(),1),$I$6:INDEX($I:$I,ROW(),1),IF(tblDate[[#This Row],[TRIMESTRU]]=4,5,tblDate[[#This Row],[TRIMESTRU]]+1)),"")</f>
        <v>41288.23529411765</v>
      </c>
      <c r="Q24" s="69">
        <f>IFERROR(TREND($N$6:INDEX($N:$N,ROW(),1),$J$6:INDEX($J:$J,ROW(),1),tblDate[[#This Row],[AN]]+1),"")</f>
        <v>143800</v>
      </c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I86"/>
  <sheetViews>
    <sheetView showGridLines="0" zoomScaleNormal="100" workbookViewId="0"/>
  </sheetViews>
  <sheetFormatPr defaultRowHeight="17.25" customHeight="1" x14ac:dyDescent="0.2"/>
  <cols>
    <col min="1" max="1" width="2" style="32" customWidth="1"/>
    <col min="2" max="2" width="19.5" style="29" customWidth="1"/>
    <col min="3" max="3" width="18.5" style="29" customWidth="1"/>
    <col min="4" max="4" width="18" style="30" customWidth="1"/>
    <col min="5" max="5" width="39.33203125" style="30" customWidth="1"/>
    <col min="6" max="6" width="27" style="31" customWidth="1"/>
    <col min="7" max="7" width="9.33203125" style="32"/>
    <col min="8" max="8" width="24.5" style="32" customWidth="1"/>
    <col min="9" max="16384" width="9.33203125" style="32"/>
  </cols>
  <sheetData>
    <row r="1" spans="1:6" s="28" customFormat="1" ht="11.25" customHeight="1" x14ac:dyDescent="0.2">
      <c r="B1" s="29"/>
      <c r="C1" s="29"/>
      <c r="D1" s="30"/>
      <c r="E1" s="30"/>
      <c r="F1" s="31"/>
    </row>
    <row r="2" spans="1:6" customFormat="1" ht="33.75" x14ac:dyDescent="0.2">
      <c r="B2" s="2" t="s">
        <v>50</v>
      </c>
    </row>
    <row r="3" spans="1:6" ht="17.25" customHeight="1" x14ac:dyDescent="0.2">
      <c r="A3" s="28"/>
    </row>
    <row r="4" spans="1:6" ht="17.25" customHeight="1" x14ac:dyDescent="0.2">
      <c r="A4" s="28"/>
    </row>
    <row r="5" spans="1:6" ht="15" x14ac:dyDescent="0.2">
      <c r="B5" s="71" t="s">
        <v>21</v>
      </c>
      <c r="C5" s="57" t="s">
        <v>17</v>
      </c>
      <c r="D5" s="57" t="s">
        <v>16</v>
      </c>
      <c r="E5" s="57" t="s">
        <v>26</v>
      </c>
      <c r="F5" s="62" t="s">
        <v>56</v>
      </c>
    </row>
    <row r="6" spans="1:6" ht="20.25" customHeight="1" x14ac:dyDescent="0.2">
      <c r="B6" s="35">
        <v>2013</v>
      </c>
      <c r="C6" s="60">
        <v>2</v>
      </c>
      <c r="D6" s="59">
        <v>41365</v>
      </c>
      <c r="E6" s="35" t="s">
        <v>0</v>
      </c>
      <c r="F6" s="61">
        <v>6400</v>
      </c>
    </row>
    <row r="7" spans="1:6" ht="21" customHeight="1" x14ac:dyDescent="0.2">
      <c r="B7" s="35"/>
      <c r="C7" s="35"/>
      <c r="D7" s="35"/>
      <c r="E7" s="35" t="s">
        <v>1</v>
      </c>
      <c r="F7" s="61">
        <v>8200</v>
      </c>
    </row>
    <row r="8" spans="1:6" ht="15.75" customHeight="1" x14ac:dyDescent="0.2">
      <c r="B8" s="35"/>
      <c r="C8" s="35"/>
      <c r="D8" s="59">
        <v>41395</v>
      </c>
      <c r="E8" s="35" t="s">
        <v>2</v>
      </c>
      <c r="F8" s="61">
        <v>4400</v>
      </c>
    </row>
    <row r="9" spans="1:6" ht="18" customHeight="1" x14ac:dyDescent="0.2">
      <c r="B9" s="35"/>
      <c r="C9" s="35"/>
      <c r="D9" s="35"/>
      <c r="E9" s="35" t="s">
        <v>3</v>
      </c>
      <c r="F9" s="61">
        <v>5400</v>
      </c>
    </row>
    <row r="10" spans="1:6" ht="20.25" customHeight="1" x14ac:dyDescent="0.2">
      <c r="B10" s="35"/>
      <c r="C10" s="35"/>
      <c r="D10" s="35"/>
      <c r="E10" s="35" t="s">
        <v>4</v>
      </c>
      <c r="F10" s="61">
        <v>5800</v>
      </c>
    </row>
    <row r="11" spans="1:6" ht="18" customHeight="1" x14ac:dyDescent="0.2">
      <c r="B11" s="35"/>
      <c r="C11" s="35"/>
      <c r="D11" s="35"/>
      <c r="E11" s="35" t="s">
        <v>5</v>
      </c>
      <c r="F11" s="61">
        <v>6200</v>
      </c>
    </row>
    <row r="12" spans="1:6" ht="20.25" customHeight="1" x14ac:dyDescent="0.2">
      <c r="B12" s="35"/>
      <c r="C12" s="35"/>
      <c r="D12" s="59">
        <v>41426</v>
      </c>
      <c r="E12" s="35" t="s">
        <v>0</v>
      </c>
      <c r="F12" s="61">
        <v>6900</v>
      </c>
    </row>
    <row r="13" spans="1:6" ht="11.25" x14ac:dyDescent="0.2">
      <c r="B13" s="35"/>
      <c r="C13" s="35"/>
      <c r="D13" s="35"/>
      <c r="E13" s="35" t="s">
        <v>1</v>
      </c>
      <c r="F13" s="61">
        <v>7500</v>
      </c>
    </row>
    <row r="14" spans="1:6" ht="27" customHeight="1" x14ac:dyDescent="0.2">
      <c r="B14" s="35"/>
      <c r="C14" s="60" t="s">
        <v>52</v>
      </c>
      <c r="D14" s="35"/>
      <c r="E14" s="35"/>
      <c r="F14" s="61">
        <v>50800</v>
      </c>
    </row>
    <row r="15" spans="1:6" ht="18" customHeight="1" x14ac:dyDescent="0.2">
      <c r="B15" s="35"/>
      <c r="C15" s="60">
        <v>3</v>
      </c>
      <c r="D15" s="59">
        <v>41456</v>
      </c>
      <c r="E15" s="35" t="s">
        <v>2</v>
      </c>
      <c r="F15" s="61">
        <v>8700</v>
      </c>
    </row>
    <row r="16" spans="1:6" ht="18.75" customHeight="1" x14ac:dyDescent="0.2">
      <c r="B16" s="35"/>
      <c r="C16" s="35"/>
      <c r="D16" s="59">
        <v>41487</v>
      </c>
      <c r="E16" s="35" t="s">
        <v>3</v>
      </c>
      <c r="F16" s="61">
        <v>8500</v>
      </c>
    </row>
    <row r="17" spans="2:6" ht="18.75" customHeight="1" x14ac:dyDescent="0.2">
      <c r="B17" s="35"/>
      <c r="C17" s="35"/>
      <c r="D17" s="35"/>
      <c r="E17" s="35" t="s">
        <v>4</v>
      </c>
      <c r="F17" s="61">
        <v>7900</v>
      </c>
    </row>
    <row r="18" spans="2:6" ht="16.5" customHeight="1" x14ac:dyDescent="0.2">
      <c r="B18" s="35"/>
      <c r="C18" s="35"/>
      <c r="D18" s="59">
        <v>41518</v>
      </c>
      <c r="E18" s="35" t="s">
        <v>2</v>
      </c>
      <c r="F18" s="61">
        <v>9300</v>
      </c>
    </row>
    <row r="19" spans="2:6" ht="20.25" customHeight="1" x14ac:dyDescent="0.2">
      <c r="B19" s="35"/>
      <c r="C19" s="35"/>
      <c r="D19" s="35"/>
      <c r="E19" s="35" t="s">
        <v>1</v>
      </c>
      <c r="F19" s="61">
        <v>5600</v>
      </c>
    </row>
    <row r="20" spans="2:6" ht="15.75" customHeight="1" x14ac:dyDescent="0.2">
      <c r="B20" s="35"/>
      <c r="C20" s="35"/>
      <c r="D20" s="35"/>
      <c r="E20" s="35" t="s">
        <v>5</v>
      </c>
      <c r="F20" s="61">
        <v>9100</v>
      </c>
    </row>
    <row r="21" spans="2:6" ht="21.75" customHeight="1" x14ac:dyDescent="0.2">
      <c r="B21" s="35"/>
      <c r="C21" s="60" t="s">
        <v>53</v>
      </c>
      <c r="D21" s="35"/>
      <c r="E21" s="35"/>
      <c r="F21" s="61">
        <v>49100</v>
      </c>
    </row>
    <row r="22" spans="2:6" ht="19.5" customHeight="1" x14ac:dyDescent="0.2">
      <c r="B22" s="35"/>
      <c r="C22" s="60">
        <v>4</v>
      </c>
      <c r="D22" s="59">
        <v>41548</v>
      </c>
      <c r="E22" s="35" t="s">
        <v>3</v>
      </c>
      <c r="F22" s="61">
        <v>8800</v>
      </c>
    </row>
    <row r="23" spans="2:6" ht="18" customHeight="1" x14ac:dyDescent="0.2">
      <c r="B23" s="35"/>
      <c r="C23" s="35"/>
      <c r="D23" s="59">
        <v>41579</v>
      </c>
      <c r="E23" s="35" t="s">
        <v>4</v>
      </c>
      <c r="F23" s="61">
        <v>9100</v>
      </c>
    </row>
    <row r="24" spans="2:6" ht="21" customHeight="1" x14ac:dyDescent="0.2">
      <c r="B24" s="35"/>
      <c r="C24" s="35"/>
      <c r="D24" s="35"/>
      <c r="E24" s="35" t="s">
        <v>5</v>
      </c>
      <c r="F24" s="61">
        <v>16500</v>
      </c>
    </row>
    <row r="25" spans="2:6" ht="23.25" customHeight="1" x14ac:dyDescent="0.2">
      <c r="B25" s="35"/>
      <c r="C25" s="35"/>
      <c r="D25" s="59">
        <v>41609</v>
      </c>
      <c r="E25" s="35" t="s">
        <v>1</v>
      </c>
      <c r="F25" s="61">
        <v>9500</v>
      </c>
    </row>
    <row r="26" spans="2:6" ht="20.25" customHeight="1" x14ac:dyDescent="0.2">
      <c r="B26" s="35"/>
      <c r="C26" s="60" t="s">
        <v>54</v>
      </c>
      <c r="D26" s="35"/>
      <c r="E26" s="35"/>
      <c r="F26" s="61">
        <v>43900</v>
      </c>
    </row>
    <row r="27" spans="2:6" ht="11.25" x14ac:dyDescent="0.2">
      <c r="B27" s="63" t="s">
        <v>55</v>
      </c>
      <c r="C27" s="63"/>
      <c r="D27" s="63"/>
      <c r="E27" s="63"/>
      <c r="F27" s="64">
        <v>143800</v>
      </c>
    </row>
    <row r="28" spans="2:6" ht="20.25" customHeight="1" x14ac:dyDescent="0.2">
      <c r="B28" s="35" t="s">
        <v>6</v>
      </c>
      <c r="C28" s="35"/>
      <c r="D28" s="35"/>
      <c r="E28" s="35"/>
      <c r="F28" s="61">
        <v>143800</v>
      </c>
    </row>
    <row r="30" spans="2:6" ht="11.25" x14ac:dyDescent="0.2">
      <c r="B30"/>
      <c r="C30"/>
      <c r="D30"/>
      <c r="E30"/>
      <c r="F30"/>
    </row>
    <row r="31" spans="2:6" ht="11.25" x14ac:dyDescent="0.2">
      <c r="B31"/>
      <c r="C31"/>
      <c r="D31"/>
      <c r="E31"/>
      <c r="F31"/>
    </row>
    <row r="32" spans="2:6" ht="11.25" x14ac:dyDescent="0.2">
      <c r="B32"/>
      <c r="C32"/>
      <c r="D32"/>
      <c r="E32"/>
      <c r="F32"/>
    </row>
    <row r="33" spans="2:6" ht="11.25" x14ac:dyDescent="0.2">
      <c r="B33"/>
      <c r="C33"/>
      <c r="D33"/>
      <c r="E33"/>
      <c r="F33"/>
    </row>
    <row r="34" spans="2:6" ht="11.25" x14ac:dyDescent="0.2">
      <c r="B34"/>
      <c r="C34"/>
      <c r="D34"/>
      <c r="E34"/>
      <c r="F34"/>
    </row>
    <row r="35" spans="2:6" ht="11.25" x14ac:dyDescent="0.2">
      <c r="B35"/>
      <c r="C35"/>
      <c r="D35"/>
      <c r="E35"/>
      <c r="F35"/>
    </row>
    <row r="36" spans="2:6" ht="11.25" x14ac:dyDescent="0.2">
      <c r="B36"/>
      <c r="C36"/>
      <c r="D36"/>
      <c r="E36"/>
      <c r="F36"/>
    </row>
    <row r="37" spans="2:6" ht="11.25" x14ac:dyDescent="0.2">
      <c r="B37"/>
      <c r="C37"/>
      <c r="D37"/>
      <c r="E37"/>
      <c r="F37"/>
    </row>
    <row r="38" spans="2:6" ht="11.25" x14ac:dyDescent="0.2">
      <c r="B38"/>
      <c r="C38"/>
      <c r="D38"/>
      <c r="E38"/>
      <c r="F38"/>
    </row>
    <row r="39" spans="2:6" ht="11.25" x14ac:dyDescent="0.2">
      <c r="B39"/>
      <c r="C39"/>
    </row>
    <row r="40" spans="2:6" ht="11.25" x14ac:dyDescent="0.2">
      <c r="B40"/>
      <c r="C40"/>
    </row>
    <row r="41" spans="2:6" ht="11.25" x14ac:dyDescent="0.2">
      <c r="B41"/>
      <c r="C41"/>
    </row>
    <row r="42" spans="2:6" ht="11.25" x14ac:dyDescent="0.2">
      <c r="B42"/>
      <c r="C42"/>
    </row>
    <row r="43" spans="2:6" ht="11.25" x14ac:dyDescent="0.2">
      <c r="B43"/>
      <c r="C43"/>
    </row>
    <row r="44" spans="2:6" ht="11.25" x14ac:dyDescent="0.2">
      <c r="B44"/>
      <c r="C44"/>
    </row>
    <row r="45" spans="2:6" ht="11.25" x14ac:dyDescent="0.2">
      <c r="B45"/>
      <c r="C45"/>
    </row>
    <row r="46" spans="2:6" ht="11.25" x14ac:dyDescent="0.2">
      <c r="B46"/>
      <c r="C46"/>
    </row>
    <row r="47" spans="2:6" ht="11.25" x14ac:dyDescent="0.2">
      <c r="B47"/>
      <c r="C47"/>
    </row>
    <row r="48" spans="2:6" ht="11.25" x14ac:dyDescent="0.2">
      <c r="B48"/>
      <c r="C48"/>
    </row>
    <row r="49" spans="2:9" ht="11.25" x14ac:dyDescent="0.2">
      <c r="B49"/>
      <c r="C49"/>
    </row>
    <row r="50" spans="2:9" ht="11.25" x14ac:dyDescent="0.2">
      <c r="B50"/>
      <c r="C50"/>
    </row>
    <row r="51" spans="2:9" ht="11.25" x14ac:dyDescent="0.2">
      <c r="B51"/>
      <c r="C51"/>
    </row>
    <row r="52" spans="2:9" ht="11.25" x14ac:dyDescent="0.2">
      <c r="B52"/>
      <c r="C52"/>
      <c r="F52" s="30"/>
      <c r="G52" s="31"/>
    </row>
    <row r="53" spans="2:9" ht="15" x14ac:dyDescent="0.2">
      <c r="B53"/>
      <c r="C53"/>
      <c r="E53" s="70"/>
      <c r="F53"/>
      <c r="G53"/>
      <c r="H53"/>
      <c r="I53" s="55"/>
    </row>
    <row r="54" spans="2:9" ht="11.25" x14ac:dyDescent="0.2">
      <c r="B54"/>
      <c r="C54"/>
      <c r="E54" s="38"/>
      <c r="F54" s="40"/>
      <c r="G54" s="41"/>
      <c r="H54"/>
      <c r="I54" s="27"/>
    </row>
    <row r="55" spans="2:9" ht="11.25" x14ac:dyDescent="0.2">
      <c r="B55"/>
      <c r="C55"/>
      <c r="E55" s="35"/>
      <c r="F55" s="35"/>
      <c r="G55" s="35"/>
      <c r="H55"/>
      <c r="I55" s="27"/>
    </row>
    <row r="56" spans="2:9" ht="11.25" x14ac:dyDescent="0.2">
      <c r="B56"/>
      <c r="C56"/>
      <c r="E56" s="35"/>
      <c r="F56" s="35"/>
      <c r="G56" s="41"/>
      <c r="H56"/>
      <c r="I56" s="27"/>
    </row>
    <row r="57" spans="2:9" ht="11.25" x14ac:dyDescent="0.2">
      <c r="B57"/>
      <c r="C57"/>
      <c r="E57" s="35"/>
      <c r="F57" s="35"/>
      <c r="G57" s="35"/>
      <c r="H57"/>
      <c r="I57" s="27"/>
    </row>
    <row r="58" spans="2:9" ht="11.25" x14ac:dyDescent="0.2">
      <c r="B58"/>
      <c r="C58"/>
      <c r="E58" s="35"/>
      <c r="F58" s="35"/>
      <c r="G58" s="35"/>
      <c r="H58"/>
      <c r="I58" s="27"/>
    </row>
    <row r="59" spans="2:9" ht="11.25" x14ac:dyDescent="0.2">
      <c r="B59"/>
      <c r="C59"/>
      <c r="E59" s="35"/>
      <c r="F59" s="35"/>
      <c r="G59" s="35"/>
      <c r="H59"/>
      <c r="I59" s="27"/>
    </row>
    <row r="60" spans="2:9" ht="11.25" x14ac:dyDescent="0.2">
      <c r="B60"/>
      <c r="C60"/>
      <c r="E60" s="35"/>
      <c r="F60" s="35"/>
      <c r="G60" s="41"/>
      <c r="H60"/>
      <c r="I60" s="27"/>
    </row>
    <row r="61" spans="2:9" ht="11.25" x14ac:dyDescent="0.2">
      <c r="B61"/>
      <c r="C61"/>
      <c r="E61" s="35"/>
      <c r="F61" s="35"/>
      <c r="G61" s="35"/>
      <c r="H61"/>
      <c r="I61" s="27"/>
    </row>
    <row r="62" spans="2:9" ht="11.25" x14ac:dyDescent="0.2">
      <c r="B62"/>
      <c r="C62"/>
      <c r="E62" s="35"/>
      <c r="F62" s="39"/>
      <c r="G62"/>
      <c r="H62"/>
      <c r="I62" s="27"/>
    </row>
    <row r="63" spans="2:9" ht="11.25" x14ac:dyDescent="0.2">
      <c r="B63"/>
      <c r="C63"/>
      <c r="E63" s="35"/>
      <c r="F63" s="40"/>
      <c r="G63" s="41"/>
      <c r="H63"/>
      <c r="I63" s="27"/>
    </row>
    <row r="64" spans="2:9" ht="11.25" x14ac:dyDescent="0.2">
      <c r="B64"/>
      <c r="C64"/>
      <c r="E64" s="35"/>
      <c r="F64" s="35"/>
      <c r="G64" s="41"/>
      <c r="H64"/>
      <c r="I64" s="27"/>
    </row>
    <row r="65" spans="2:9" ht="11.25" x14ac:dyDescent="0.2">
      <c r="B65"/>
      <c r="C65"/>
      <c r="E65" s="35"/>
      <c r="F65" s="35"/>
      <c r="G65" s="35"/>
      <c r="H65"/>
      <c r="I65" s="27"/>
    </row>
    <row r="66" spans="2:9" ht="11.25" x14ac:dyDescent="0.2">
      <c r="B66"/>
      <c r="C66"/>
      <c r="E66" s="35"/>
      <c r="F66" s="35"/>
      <c r="G66" s="41"/>
      <c r="H66"/>
      <c r="I66" s="27"/>
    </row>
    <row r="67" spans="2:9" ht="11.25" x14ac:dyDescent="0.2">
      <c r="B67"/>
      <c r="C67"/>
      <c r="E67" s="35"/>
      <c r="F67" s="35"/>
      <c r="G67" s="35"/>
      <c r="H67"/>
      <c r="I67" s="27"/>
    </row>
    <row r="68" spans="2:9" ht="11.25" x14ac:dyDescent="0.2">
      <c r="B68"/>
      <c r="C68"/>
      <c r="E68" s="35"/>
      <c r="F68" s="35"/>
      <c r="G68" s="35"/>
      <c r="H68"/>
      <c r="I68" s="27"/>
    </row>
    <row r="69" spans="2:9" ht="11.25" x14ac:dyDescent="0.2">
      <c r="B69"/>
      <c r="C69"/>
      <c r="E69" s="35"/>
      <c r="F69" s="39"/>
      <c r="G69"/>
      <c r="H69"/>
      <c r="I69" s="27"/>
    </row>
    <row r="70" spans="2:9" ht="11.25" x14ac:dyDescent="0.2">
      <c r="B70"/>
      <c r="C70"/>
      <c r="E70" s="35"/>
      <c r="F70" s="40"/>
      <c r="G70" s="41"/>
      <c r="H70"/>
      <c r="I70" s="27"/>
    </row>
    <row r="71" spans="2:9" ht="11.25" x14ac:dyDescent="0.2">
      <c r="B71"/>
      <c r="C71"/>
      <c r="E71" s="35"/>
      <c r="F71" s="35"/>
      <c r="G71" s="41"/>
      <c r="H71"/>
      <c r="I71" s="27"/>
    </row>
    <row r="72" spans="2:9" ht="11.25" x14ac:dyDescent="0.2">
      <c r="B72"/>
      <c r="C72"/>
      <c r="E72" s="35"/>
      <c r="F72" s="35"/>
      <c r="G72" s="35"/>
      <c r="H72"/>
      <c r="I72" s="27"/>
    </row>
    <row r="73" spans="2:9" ht="11.25" x14ac:dyDescent="0.2">
      <c r="B73"/>
      <c r="C73"/>
      <c r="E73" s="35"/>
      <c r="F73" s="35"/>
      <c r="G73" s="41"/>
      <c r="H73"/>
      <c r="I73" s="27"/>
    </row>
    <row r="74" spans="2:9" ht="11.25" x14ac:dyDescent="0.2">
      <c r="B74"/>
      <c r="C74"/>
      <c r="E74" s="35"/>
      <c r="F74" s="39"/>
      <c r="G74"/>
      <c r="H74"/>
      <c r="I74" s="27"/>
    </row>
    <row r="75" spans="2:9" ht="11.25" x14ac:dyDescent="0.2">
      <c r="B75"/>
      <c r="C75"/>
      <c r="E75" s="37"/>
      <c r="F75" s="33"/>
      <c r="G75" s="33"/>
      <c r="H75" s="33"/>
      <c r="I75" s="34"/>
    </row>
    <row r="76" spans="2:9" ht="11.25" x14ac:dyDescent="0.2">
      <c r="B76"/>
      <c r="C76"/>
      <c r="E76" s="36"/>
      <c r="F76"/>
      <c r="G76"/>
      <c r="H76"/>
      <c r="I76" s="27"/>
    </row>
    <row r="77" spans="2:9" ht="11.25" x14ac:dyDescent="0.2">
      <c r="B77"/>
      <c r="C77"/>
      <c r="F77" s="30"/>
      <c r="G77" s="31"/>
    </row>
    <row r="78" spans="2:9" ht="11.25" x14ac:dyDescent="0.2">
      <c r="B78"/>
      <c r="C78"/>
    </row>
    <row r="79" spans="2:9" ht="11.25" x14ac:dyDescent="0.2">
      <c r="B79"/>
      <c r="C79"/>
    </row>
    <row r="80" spans="2:9" ht="11.25" x14ac:dyDescent="0.2">
      <c r="B80"/>
      <c r="C80"/>
    </row>
    <row r="81" spans="2:3" ht="11.25" x14ac:dyDescent="0.2">
      <c r="B81"/>
      <c r="C81"/>
    </row>
    <row r="82" spans="2:3" ht="11.25" x14ac:dyDescent="0.2">
      <c r="B82"/>
      <c r="C82"/>
    </row>
    <row r="83" spans="2:3" ht="11.25" x14ac:dyDescent="0.2">
      <c r="B83"/>
      <c r="C83"/>
    </row>
    <row r="84" spans="2:3" ht="11.25" x14ac:dyDescent="0.2">
      <c r="B84"/>
      <c r="C84"/>
    </row>
    <row r="85" spans="2:3" ht="11.25" x14ac:dyDescent="0.2">
      <c r="B85"/>
      <c r="C85"/>
    </row>
    <row r="86" spans="2:3" ht="11.25" x14ac:dyDescent="0.2">
      <c r="B86"/>
      <c r="C86"/>
    </row>
  </sheetData>
  <conditionalFormatting sqref="E1:E3 E78:E1048553">
    <cfRule type="expression" dxfId="84" priority="4">
      <formula>(LEN($E1)&gt;0)*(LEN($D2)&gt;0)</formula>
    </cfRule>
  </conditionalFormatting>
  <conditionalFormatting sqref="D1:D4 F1:F4 D62:D1048576 F78:F1048576">
    <cfRule type="expression" dxfId="83" priority="3">
      <formula>(LEN($D1)&gt;0)*(LEN($C1)=0)</formula>
    </cfRule>
  </conditionalFormatting>
  <conditionalFormatting sqref="E1048554:E1048576">
    <cfRule type="expression" dxfId="82" priority="10">
      <formula>(LEN($E1048554)&gt;0)*(LEN($D1)&gt;0)</formula>
    </cfRule>
  </conditionalFormatting>
  <conditionalFormatting sqref="F77">
    <cfRule type="expression" dxfId="81" priority="20">
      <formula>(LEN($F77)&gt;0)*(LEN($D62)&gt;0)</formula>
    </cfRule>
  </conditionalFormatting>
  <conditionalFormatting sqref="G52 E52 G77 E77">
    <cfRule type="expression" dxfId="80" priority="22">
      <formula>(LEN($E52)&gt;0)*(LEN($C36)=0)</formula>
    </cfRule>
  </conditionalFormatting>
  <conditionalFormatting sqref="E4">
    <cfRule type="expression" dxfId="79" priority="30">
      <formula>(LEN($E4)&gt;0)*(LEN($G53)&gt;0)</formula>
    </cfRule>
  </conditionalFormatting>
  <conditionalFormatting sqref="F52">
    <cfRule type="expression" dxfId="78" priority="31">
      <formula>(LEN($F52)&gt;0)*(LEN(#REF!)&gt;0)</formula>
    </cfRule>
  </conditionalFormatting>
  <conditionalFormatting sqref="G53:G55 G72 G74:G76 I53">
    <cfRule type="expression" dxfId="77" priority="32">
      <formula>(LEN($G53)&gt;0)*(LEN($F53)=0)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23" customWidth="1"/>
    <col min="3" max="3" width="20.33203125" customWidth="1"/>
    <col min="4" max="6" width="16" customWidth="1"/>
    <col min="7" max="7" width="24.6640625" customWidth="1"/>
    <col min="8" max="8" width="18.6640625" customWidth="1"/>
    <col min="9" max="9" width="25.6640625" customWidth="1"/>
    <col min="10" max="10" width="14.6640625" customWidth="1"/>
  </cols>
  <sheetData>
    <row r="2" spans="2:10" ht="33.75" x14ac:dyDescent="0.2">
      <c r="B2" s="2" t="s">
        <v>34</v>
      </c>
    </row>
    <row r="3" spans="2:10" ht="27.75" customHeight="1" x14ac:dyDescent="0.2">
      <c r="B3" s="20" t="str">
        <f ca="1">"DATA DE AZI: "&amp;UPPER(TEXT(TODAY(),"dd mmmm yyyy"))</f>
        <v>DATA DE AZI: 23 NOIEMBRIE 2012</v>
      </c>
      <c r="D3" s="22">
        <f ca="1">--TRIM(RIGHT(B3,LEN(B3)-FIND(":",B3)))</f>
        <v>41236</v>
      </c>
    </row>
    <row r="4" spans="2:10" ht="15" customHeight="1" x14ac:dyDescent="0.2"/>
    <row r="5" spans="2:10" ht="18.75" customHeight="1" x14ac:dyDescent="0.2">
      <c r="B5" s="53" t="s">
        <v>35</v>
      </c>
      <c r="C5" s="52" t="s">
        <v>36</v>
      </c>
      <c r="D5" s="52" t="s">
        <v>37</v>
      </c>
      <c r="E5" s="52" t="s">
        <v>38</v>
      </c>
      <c r="F5" s="52" t="s">
        <v>7</v>
      </c>
      <c r="G5" s="52" t="s">
        <v>39</v>
      </c>
      <c r="H5" s="52" t="s">
        <v>40</v>
      </c>
      <c r="I5" s="52" t="s">
        <v>41</v>
      </c>
      <c r="J5" s="43" t="s">
        <v>14</v>
      </c>
    </row>
    <row r="6" spans="2:10" s="3" customFormat="1" ht="15" customHeight="1" x14ac:dyDescent="0.2">
      <c r="B6" s="9" t="s">
        <v>8</v>
      </c>
      <c r="C6" s="47">
        <f ca="1">COUNTIF('Introducere date'!$B$6:$B$24,"&gt;="&amp;DATE(fAn,MONTH(fDată),1))-COUNTIF('Introducere date'!$B$6:$B$24,"&gt;"&amp;EOMONTH(fDată,0))</f>
        <v>0</v>
      </c>
      <c r="D6" s="51"/>
      <c r="E6" s="11"/>
      <c r="F6" s="12"/>
      <c r="G6" s="47">
        <f ca="1">COUNTIF(tblDate[DATĂ],"&lt;="&amp;EOMONTH(fDată,0))</f>
        <v>0</v>
      </c>
      <c r="H6" s="10"/>
      <c r="I6" s="10"/>
      <c r="J6" s="13"/>
    </row>
    <row r="7" spans="2:10" s="3" customFormat="1" ht="15" customHeight="1" x14ac:dyDescent="0.2">
      <c r="B7" s="14" t="s">
        <v>13</v>
      </c>
      <c r="C7" s="65">
        <f ca="1">SUMIF(tblDate[DATĂ],"&gt;="&amp;DATE(fAn,MONTH(fDată),1),tblDate[SUMĂ])-SUMIF(tblDate[DATĂ],"&gt;"&amp;EOMONTH(fDată,0),tblDate[SUMĂ])</f>
        <v>0</v>
      </c>
      <c r="D7" s="65">
        <f ca="1">SUMIF('Introducere date'!$B$6:$B$24,"&gt;="&amp;DATE(fAn,MONTH(fDată),1),'Introducere date'!$E$6:$E$24)-SUMIF('Introducere date'!$B$6:$B$24,"&gt;"&amp;EOMONTH(fDată,0),'Introducere date'!$E$6:$E$24)</f>
        <v>0</v>
      </c>
      <c r="E7" s="65">
        <f ca="1">D7-C7</f>
        <v>0</v>
      </c>
      <c r="F7" s="49" t="str">
        <f ca="1">IFERROR(D7/C7,"-")</f>
        <v>-</v>
      </c>
      <c r="G7" s="65">
        <f ca="1">SUMIF(tblDate[DATĂ],"&lt;="&amp;EOMONTH(fDată,0),tblDate[SUMĂ])</f>
        <v>0</v>
      </c>
      <c r="H7" s="65">
        <f ca="1">SUMIF(tblDate[DATĂ],"&lt;="&amp;EOMONTH(fDată,0),tblDate[PLANIFICATE])</f>
        <v>0</v>
      </c>
      <c r="I7" s="65">
        <f ca="1">H7-G7</f>
        <v>0</v>
      </c>
      <c r="J7" s="15" t="str">
        <f ca="1">IFERROR(H7/G7,"")</f>
        <v/>
      </c>
    </row>
    <row r="8" spans="2:10" s="3" customFormat="1" ht="15" customHeight="1" x14ac:dyDescent="0.2">
      <c r="B8" s="14" t="s">
        <v>9</v>
      </c>
      <c r="C8" s="65">
        <f ca="1">(SUMIF(tblDate[DATĂ],"&gt;="&amp;DATE(fAn,MONTH(fDată),1),tblDate[SUMĂ])-SUMIF(tblDate[DATĂ],"&gt;"&amp;EOMONTH(fDată,0),tblDate[SUMĂ]))-(SUMIF(tblDate[DATĂ],"&gt;="&amp;DATE(fAn,MONTH(fDată),1),tblDate[COSTURI])-SUMIF(tblDate[DATĂ],"&gt;"&amp;EOMONTH(fDată,0),tblDate[COSTURI]))</f>
        <v>0</v>
      </c>
      <c r="D8" s="65">
        <f ca="1">(SUMIF('Introducere date'!$B$6:$B$24,"&gt;="&amp;DATE(fAn,MONTH(fDată),1),'Introducere date'!$E$6:$E$24)-SUMIF('Introducere date'!$B$6:$B$24,"&gt;"&amp;EOMONTH(fDată,0),'Introducere date'!$E$6:$E$24))-(SUMIF('Introducere date'!$B$6:$B$24,"&gt;="&amp;DATE(fAn,MONTH(fDată),1),'Introducere date'!$F$6:$F$24)-SUMIF('Introducere date'!$B$6:$B$24,"&gt;"&amp;EOMONTH(fDată,0),'Introducere date'!$F$6:$F$24))</f>
        <v>0</v>
      </c>
      <c r="E8" s="65">
        <f ca="1">D8-C8</f>
        <v>0</v>
      </c>
      <c r="F8" s="49" t="str">
        <f ca="1">IFERROR(D8/C8,"-")</f>
        <v>-</v>
      </c>
      <c r="G8" s="65">
        <f ca="1">SUMIF('Introducere date'!$B$6:$B$24,"&lt;="&amp;EOMONTH(fDată,0),'Introducere date'!$F$6:$F$24)</f>
        <v>0</v>
      </c>
      <c r="H8" s="65">
        <f ca="1">SUMIF(tblDate[DATĂ],"&lt;="&amp;EOMONTH(fDată,0),tblDate[COSTURI])</f>
        <v>0</v>
      </c>
      <c r="I8" s="65">
        <f ca="1">H8-G8</f>
        <v>0</v>
      </c>
      <c r="J8" s="15" t="str">
        <f ca="1">IFERROR(H8/G8,"")</f>
        <v/>
      </c>
    </row>
    <row r="9" spans="2:10" s="3" customFormat="1" ht="15" customHeight="1" x14ac:dyDescent="0.2">
      <c r="B9" s="14" t="s">
        <v>10</v>
      </c>
      <c r="C9" s="49" t="str">
        <f ca="1">IFERROR(C8/C7,"-")</f>
        <v>-</v>
      </c>
      <c r="D9" s="49" t="str">
        <f ca="1">IFERROR(D8/D7,"-")</f>
        <v>-</v>
      </c>
      <c r="E9" s="49"/>
      <c r="F9" s="49" t="str">
        <f ca="1">IFERROR(F8/F7,"-")</f>
        <v>-</v>
      </c>
      <c r="G9" s="49" t="str">
        <f ca="1">IFERROR(G8/G7,"")</f>
        <v/>
      </c>
      <c r="H9" s="49" t="str">
        <f ca="1">IFERROR(H8/H7,"")</f>
        <v/>
      </c>
      <c r="I9" s="49"/>
      <c r="J9" s="15" t="str">
        <f ca="1">IFERROR(J8/J7,"")</f>
        <v/>
      </c>
    </row>
    <row r="10" spans="2:10" s="3" customFormat="1" ht="15" customHeight="1" x14ac:dyDescent="0.2">
      <c r="B10" s="14" t="s">
        <v>11</v>
      </c>
      <c r="C10" s="50">
        <f ca="1">COUNTIF(tblDate[DATĂ],"&gt;="&amp;DATE(fAn,MONTH(fDată),1))-COUNTIF(tblDate[DATĂ],"&gt;"&amp;EOMONTH(fDată,0))</f>
        <v>0</v>
      </c>
      <c r="D10" s="16"/>
      <c r="E10" s="16"/>
      <c r="F10" s="16"/>
      <c r="G10" s="50">
        <f ca="1">COUNTIF(tblDate[DATĂ],"&gt;"&amp;EOMONTH(fDată,0))</f>
        <v>19</v>
      </c>
      <c r="H10" s="16"/>
      <c r="I10" s="16"/>
      <c r="J10" s="17"/>
    </row>
    <row r="11" spans="2:10" s="3" customFormat="1" ht="15" customHeight="1" x14ac:dyDescent="0.2">
      <c r="B11" s="14" t="s">
        <v>12</v>
      </c>
      <c r="C11" s="48" t="str">
        <f ca="1">IFERROR(C7/C10,"-")</f>
        <v>-</v>
      </c>
      <c r="D11" s="16"/>
      <c r="E11" s="16"/>
      <c r="F11" s="16"/>
      <c r="G11" s="65">
        <f ca="1">IFERROR(G7/G10,"-")</f>
        <v>0</v>
      </c>
      <c r="H11" s="16"/>
      <c r="I11" s="16"/>
      <c r="J11" s="17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42" t="s">
        <v>32</v>
      </c>
      <c r="C13" s="42"/>
      <c r="D13" s="42" t="s">
        <v>42</v>
      </c>
      <c r="E13" s="46"/>
      <c r="F13" s="42" t="s">
        <v>43</v>
      </c>
      <c r="G13" s="46"/>
      <c r="H13" s="42"/>
      <c r="I13" s="42" t="s">
        <v>44</v>
      </c>
      <c r="J13" s="18"/>
    </row>
    <row r="14" spans="2:10" x14ac:dyDescent="0.2">
      <c r="B14" s="45" t="s">
        <v>13</v>
      </c>
      <c r="C14" s="45"/>
      <c r="D14" s="72">
        <f ca="1">TREND(tblDate[[LUNĂ ]],tblDate[NUM LUNAR (ASCUNDERE)],IF(MONTH(fDată)=12,13,MONTH(fDată)+1))</f>
        <v>20153.510998307953</v>
      </c>
      <c r="E14" s="73"/>
      <c r="F14" s="72">
        <f ca="1">TREND(tblDate[[TRIMESTRU ]],tblDate[NUM LUNAR (ASCUNDERE)],IF(MONTH(fDată)=12,13,MONTH(fDată)+1))</f>
        <v>44115.905245346876</v>
      </c>
      <c r="G14" s="73"/>
      <c r="H14" s="72"/>
      <c r="I14" s="72">
        <f ca="1">TREND(tblDate[[ANUAL ]],tblDate[[LUNĂ ]],IF(MONTH(fDată)=12,13,MONTH(fDată)+1))</f>
        <v>143800</v>
      </c>
      <c r="J14" s="19"/>
    </row>
    <row r="15" spans="2:10" ht="27" customHeight="1" x14ac:dyDescent="0.2"/>
    <row r="16" spans="2:10" s="21" customFormat="1" ht="27" customHeight="1" x14ac:dyDescent="0.2">
      <c r="B16" s="21" t="s">
        <v>45</v>
      </c>
    </row>
    <row r="30" spans="2:6" s="21" customFormat="1" ht="27" customHeight="1" x14ac:dyDescent="0.2">
      <c r="B30" s="21" t="s">
        <v>48</v>
      </c>
      <c r="F30" s="21" t="s">
        <v>49</v>
      </c>
    </row>
    <row r="38" spans="2:10" s="21" customFormat="1" ht="27" customHeight="1" x14ac:dyDescent="0.2">
      <c r="B38" s="21" t="s">
        <v>46</v>
      </c>
      <c r="F38" s="21" t="s">
        <v>47</v>
      </c>
    </row>
    <row r="43" spans="2:10" x14ac:dyDescent="0.2">
      <c r="J43" t="s">
        <v>51</v>
      </c>
    </row>
  </sheetData>
  <conditionalFormatting sqref="E2">
    <cfRule type="expression" dxfId="39" priority="3">
      <formula>(LEN($E2)&gt;0)*(LEN($D3)&gt;0)</formula>
    </cfRule>
  </conditionalFormatting>
  <conditionalFormatting sqref="D2">
    <cfRule type="expression" dxfId="38" priority="2">
      <formula>(LEN($D2)&gt;0)*(LEN($C2)=0)</formula>
    </cfRule>
  </conditionalFormatting>
  <conditionalFormatting sqref="F2">
    <cfRule type="expression" dxfId="37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f237c1f-e9f7-4812-a5e3-e7fff9ac6432" xsi:nil="true"/>
    <AssetExpire xmlns="cf237c1f-e9f7-4812-a5e3-e7fff9ac6432">2029-01-01T08:00:00+00:00</AssetExpire>
    <CampaignTagsTaxHTField0 xmlns="cf237c1f-e9f7-4812-a5e3-e7fff9ac6432">
      <Terms xmlns="http://schemas.microsoft.com/office/infopath/2007/PartnerControls"/>
    </CampaignTagsTaxHTField0>
    <IntlLangReviewDate xmlns="cf237c1f-e9f7-4812-a5e3-e7fff9ac6432" xsi:nil="true"/>
    <TPFriendlyName xmlns="cf237c1f-e9f7-4812-a5e3-e7fff9ac6432" xsi:nil="true"/>
    <IntlLangReview xmlns="cf237c1f-e9f7-4812-a5e3-e7fff9ac6432">false</IntlLangReview>
    <LocLastLocAttemptVersionLookup xmlns="cf237c1f-e9f7-4812-a5e3-e7fff9ac6432">845880</LocLastLocAttemptVersionLookup>
    <PolicheckWords xmlns="cf237c1f-e9f7-4812-a5e3-e7fff9ac6432" xsi:nil="true"/>
    <SubmitterId xmlns="cf237c1f-e9f7-4812-a5e3-e7fff9ac6432" xsi:nil="true"/>
    <AcquiredFrom xmlns="cf237c1f-e9f7-4812-a5e3-e7fff9ac6432">Internal MS</AcquiredFrom>
    <EditorialStatus xmlns="cf237c1f-e9f7-4812-a5e3-e7fff9ac6432" xsi:nil="true"/>
    <Markets xmlns="cf237c1f-e9f7-4812-a5e3-e7fff9ac6432"/>
    <OriginAsset xmlns="cf237c1f-e9f7-4812-a5e3-e7fff9ac6432" xsi:nil="true"/>
    <AssetStart xmlns="cf237c1f-e9f7-4812-a5e3-e7fff9ac6432">2012-06-28T22:27:47+00:00</AssetStart>
    <FriendlyTitle xmlns="cf237c1f-e9f7-4812-a5e3-e7fff9ac6432" xsi:nil="true"/>
    <MarketSpecific xmlns="cf237c1f-e9f7-4812-a5e3-e7fff9ac6432">false</MarketSpecific>
    <TPNamespace xmlns="cf237c1f-e9f7-4812-a5e3-e7fff9ac6432" xsi:nil="true"/>
    <PublishStatusLookup xmlns="cf237c1f-e9f7-4812-a5e3-e7fff9ac6432">
      <Value>252364</Value>
    </PublishStatusLookup>
    <APAuthor xmlns="cf237c1f-e9f7-4812-a5e3-e7fff9ac6432">
      <UserInfo>
        <DisplayName/>
        <AccountId>2566</AccountId>
        <AccountType/>
      </UserInfo>
    </APAuthor>
    <TPCommandLine xmlns="cf237c1f-e9f7-4812-a5e3-e7fff9ac6432" xsi:nil="true"/>
    <IntlLangReviewer xmlns="cf237c1f-e9f7-4812-a5e3-e7fff9ac6432" xsi:nil="true"/>
    <OpenTemplate xmlns="cf237c1f-e9f7-4812-a5e3-e7fff9ac6432">true</OpenTemplate>
    <CSXSubmissionDate xmlns="cf237c1f-e9f7-4812-a5e3-e7fff9ac6432" xsi:nil="true"/>
    <TaxCatchAll xmlns="cf237c1f-e9f7-4812-a5e3-e7fff9ac6432"/>
    <Manager xmlns="cf237c1f-e9f7-4812-a5e3-e7fff9ac6432" xsi:nil="true"/>
    <NumericId xmlns="cf237c1f-e9f7-4812-a5e3-e7fff9ac6432" xsi:nil="true"/>
    <ParentAssetId xmlns="cf237c1f-e9f7-4812-a5e3-e7fff9ac6432" xsi:nil="true"/>
    <OriginalSourceMarket xmlns="cf237c1f-e9f7-4812-a5e3-e7fff9ac6432">english</OriginalSourceMarket>
    <ApprovalStatus xmlns="cf237c1f-e9f7-4812-a5e3-e7fff9ac6432">InProgress</ApprovalStatus>
    <TPComponent xmlns="cf237c1f-e9f7-4812-a5e3-e7fff9ac6432" xsi:nil="true"/>
    <EditorialTags xmlns="cf237c1f-e9f7-4812-a5e3-e7fff9ac6432" xsi:nil="true"/>
    <TPExecutable xmlns="cf237c1f-e9f7-4812-a5e3-e7fff9ac6432" xsi:nil="true"/>
    <TPLaunchHelpLink xmlns="cf237c1f-e9f7-4812-a5e3-e7fff9ac6432" xsi:nil="true"/>
    <LocComments xmlns="cf237c1f-e9f7-4812-a5e3-e7fff9ac6432" xsi:nil="true"/>
    <LocRecommendedHandoff xmlns="cf237c1f-e9f7-4812-a5e3-e7fff9ac6432" xsi:nil="true"/>
    <SourceTitle xmlns="cf237c1f-e9f7-4812-a5e3-e7fff9ac6432" xsi:nil="true"/>
    <CSXUpdate xmlns="cf237c1f-e9f7-4812-a5e3-e7fff9ac6432">false</CSXUpdate>
    <IntlLocPriority xmlns="cf237c1f-e9f7-4812-a5e3-e7fff9ac6432" xsi:nil="true"/>
    <UAProjectedTotalWords xmlns="cf237c1f-e9f7-4812-a5e3-e7fff9ac6432" xsi:nil="true"/>
    <AssetType xmlns="cf237c1f-e9f7-4812-a5e3-e7fff9ac6432" xsi:nil="true"/>
    <MachineTranslated xmlns="cf237c1f-e9f7-4812-a5e3-e7fff9ac6432">false</MachineTranslated>
    <OutputCachingOn xmlns="cf237c1f-e9f7-4812-a5e3-e7fff9ac6432">false</OutputCachingOn>
    <TemplateStatus xmlns="cf237c1f-e9f7-4812-a5e3-e7fff9ac6432">Complete</TemplateStatus>
    <IsSearchable xmlns="cf237c1f-e9f7-4812-a5e3-e7fff9ac6432">false</IsSearchable>
    <ContentItem xmlns="cf237c1f-e9f7-4812-a5e3-e7fff9ac6432" xsi:nil="true"/>
    <HandoffToMSDN xmlns="cf237c1f-e9f7-4812-a5e3-e7fff9ac6432" xsi:nil="true"/>
    <ShowIn xmlns="cf237c1f-e9f7-4812-a5e3-e7fff9ac6432">Show everywhere</ShowIn>
    <ThumbnailAssetId xmlns="cf237c1f-e9f7-4812-a5e3-e7fff9ac6432" xsi:nil="true"/>
    <UALocComments xmlns="cf237c1f-e9f7-4812-a5e3-e7fff9ac6432" xsi:nil="true"/>
    <UALocRecommendation xmlns="cf237c1f-e9f7-4812-a5e3-e7fff9ac6432">Localize</UALocRecommendation>
    <LastModifiedDateTime xmlns="cf237c1f-e9f7-4812-a5e3-e7fff9ac6432" xsi:nil="true"/>
    <LegacyData xmlns="cf237c1f-e9f7-4812-a5e3-e7fff9ac6432" xsi:nil="true"/>
    <LocManualTestRequired xmlns="cf237c1f-e9f7-4812-a5e3-e7fff9ac6432">false</LocManualTestRequired>
    <LocMarketGroupTiers2 xmlns="cf237c1f-e9f7-4812-a5e3-e7fff9ac6432" xsi:nil="true"/>
    <ClipArtFilename xmlns="cf237c1f-e9f7-4812-a5e3-e7fff9ac6432" xsi:nil="true"/>
    <TPApplication xmlns="cf237c1f-e9f7-4812-a5e3-e7fff9ac6432" xsi:nil="true"/>
    <CSXHash xmlns="cf237c1f-e9f7-4812-a5e3-e7fff9ac6432" xsi:nil="true"/>
    <DirectSourceMarket xmlns="cf237c1f-e9f7-4812-a5e3-e7fff9ac6432">english</DirectSourceMarket>
    <PrimaryImageGen xmlns="cf237c1f-e9f7-4812-a5e3-e7fff9ac6432">false</PrimaryImageGen>
    <PlannedPubDate xmlns="cf237c1f-e9f7-4812-a5e3-e7fff9ac6432" xsi:nil="true"/>
    <CSXSubmissionMarket xmlns="cf237c1f-e9f7-4812-a5e3-e7fff9ac6432" xsi:nil="true"/>
    <Downloads xmlns="cf237c1f-e9f7-4812-a5e3-e7fff9ac6432">0</Downloads>
    <ArtSampleDocs xmlns="cf237c1f-e9f7-4812-a5e3-e7fff9ac6432" xsi:nil="true"/>
    <TrustLevel xmlns="cf237c1f-e9f7-4812-a5e3-e7fff9ac6432">1 Microsoft Managed Content</TrustLevel>
    <BlockPublish xmlns="cf237c1f-e9f7-4812-a5e3-e7fff9ac6432">false</BlockPublish>
    <TPLaunchHelpLinkType xmlns="cf237c1f-e9f7-4812-a5e3-e7fff9ac6432">Template</TPLaunchHelpLinkType>
    <LocalizationTagsTaxHTField0 xmlns="cf237c1f-e9f7-4812-a5e3-e7fff9ac6432">
      <Terms xmlns="http://schemas.microsoft.com/office/infopath/2007/PartnerControls"/>
    </LocalizationTagsTaxHTField0>
    <BusinessGroup xmlns="cf237c1f-e9f7-4812-a5e3-e7fff9ac6432" xsi:nil="true"/>
    <Providers xmlns="cf237c1f-e9f7-4812-a5e3-e7fff9ac6432" xsi:nil="true"/>
    <TemplateTemplateType xmlns="cf237c1f-e9f7-4812-a5e3-e7fff9ac6432">Excel Spreadsheet Template</TemplateTemplateType>
    <TimesCloned xmlns="cf237c1f-e9f7-4812-a5e3-e7fff9ac6432" xsi:nil="true"/>
    <TPAppVersion xmlns="cf237c1f-e9f7-4812-a5e3-e7fff9ac6432" xsi:nil="true"/>
    <VoteCount xmlns="cf237c1f-e9f7-4812-a5e3-e7fff9ac6432" xsi:nil="true"/>
    <FeatureTagsTaxHTField0 xmlns="cf237c1f-e9f7-4812-a5e3-e7fff9ac6432">
      <Terms xmlns="http://schemas.microsoft.com/office/infopath/2007/PartnerControls"/>
    </FeatureTagsTaxHTField0>
    <Provider xmlns="cf237c1f-e9f7-4812-a5e3-e7fff9ac6432" xsi:nil="true"/>
    <UACurrentWords xmlns="cf237c1f-e9f7-4812-a5e3-e7fff9ac6432" xsi:nil="true"/>
    <AssetId xmlns="cf237c1f-e9f7-4812-a5e3-e7fff9ac6432">TP102929974</AssetId>
    <TPClientViewer xmlns="cf237c1f-e9f7-4812-a5e3-e7fff9ac6432" xsi:nil="true"/>
    <DSATActionTaken xmlns="cf237c1f-e9f7-4812-a5e3-e7fff9ac6432" xsi:nil="true"/>
    <APEditor xmlns="cf237c1f-e9f7-4812-a5e3-e7fff9ac6432">
      <UserInfo>
        <DisplayName/>
        <AccountId xsi:nil="true"/>
        <AccountType/>
      </UserInfo>
    </APEditor>
    <TPInstallLocation xmlns="cf237c1f-e9f7-4812-a5e3-e7fff9ac6432" xsi:nil="true"/>
    <OOCacheId xmlns="cf237c1f-e9f7-4812-a5e3-e7fff9ac6432" xsi:nil="true"/>
    <IsDeleted xmlns="cf237c1f-e9f7-4812-a5e3-e7fff9ac6432">false</IsDeleted>
    <PublishTargets xmlns="cf237c1f-e9f7-4812-a5e3-e7fff9ac6432">OfficeOnlineVNext</PublishTargets>
    <ApprovalLog xmlns="cf237c1f-e9f7-4812-a5e3-e7fff9ac6432" xsi:nil="true"/>
    <BugNumber xmlns="cf237c1f-e9f7-4812-a5e3-e7fff9ac6432" xsi:nil="true"/>
    <CrawlForDependencies xmlns="cf237c1f-e9f7-4812-a5e3-e7fff9ac6432">false</CrawlForDependencies>
    <InternalTagsTaxHTField0 xmlns="cf237c1f-e9f7-4812-a5e3-e7fff9ac6432">
      <Terms xmlns="http://schemas.microsoft.com/office/infopath/2007/PartnerControls"/>
    </InternalTagsTaxHTField0>
    <LastHandOff xmlns="cf237c1f-e9f7-4812-a5e3-e7fff9ac6432" xsi:nil="true"/>
    <Milestone xmlns="cf237c1f-e9f7-4812-a5e3-e7fff9ac6432" xsi:nil="true"/>
    <OriginalRelease xmlns="cf237c1f-e9f7-4812-a5e3-e7fff9ac6432">15</OriginalRelease>
    <RecommendationsModifier xmlns="cf237c1f-e9f7-4812-a5e3-e7fff9ac6432" xsi:nil="true"/>
    <ScenarioTagsTaxHTField0 xmlns="cf237c1f-e9f7-4812-a5e3-e7fff9ac6432">
      <Terms xmlns="http://schemas.microsoft.com/office/infopath/2007/PartnerControls"/>
    </ScenarioTagsTaxHTField0>
    <UANotes xmlns="cf237c1f-e9f7-4812-a5e3-e7fff9ac6432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AF11A8-D76F-4C4E-B9DE-1EDF7561F6F5}"/>
</file>

<file path=customXml/itemProps2.xml><?xml version="1.0" encoding="utf-8"?>
<ds:datastoreItem xmlns:ds="http://schemas.openxmlformats.org/officeDocument/2006/customXml" ds:itemID="{C8DE6788-D1FD-452D-A3B7-55A6390F72E3}"/>
</file>

<file path=customXml/itemProps3.xml><?xml version="1.0" encoding="utf-8"?>
<ds:datastoreItem xmlns:ds="http://schemas.openxmlformats.org/officeDocument/2006/customXml" ds:itemID="{0AEE7169-E8EC-4E19-BA48-3F46D4C38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7</vt:i4>
      </vt:variant>
    </vt:vector>
  </HeadingPairs>
  <TitlesOfParts>
    <vt:vector size="10" baseType="lpstr">
      <vt:lpstr>Introducere date</vt:lpstr>
      <vt:lpstr>Raport vânzări</vt:lpstr>
      <vt:lpstr>Prognoză vânzări</vt:lpstr>
      <vt:lpstr>DatăPrognoză</vt:lpstr>
      <vt:lpstr>fAn</vt:lpstr>
      <vt:lpstr>fDată</vt:lpstr>
      <vt:lpstr>fLună</vt:lpstr>
      <vt:lpstr>fZi</vt:lpstr>
      <vt:lpstr>'Raport vânzări'!Imprimare_titluri</vt:lpstr>
      <vt:lpstr>'Prognoză vânzări'!Zonă_Imprimare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2012-06-20T20:17:06Z</dcterms:created>
  <dcterms:modified xsi:type="dcterms:W3CDTF">2012-11-23T12:58:52Z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0x0101000FFA72057F0EFC429FF335CB9960E2CA0400A26729C09131F943A3C8875F9AFFF790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