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Office_Online\technicians\MHaluska\Bugfix Temp\"/>
    </mc:Choice>
  </mc:AlternateContent>
  <bookViews>
    <workbookView xWindow="0" yWindow="0" windowWidth="19200" windowHeight="11595" tabRatio="833"/>
  </bookViews>
  <sheets>
    <sheet name="Como usar este modelo" sheetId="9" r:id="rId1"/>
    <sheet name="Lista de Alunos" sheetId="5" r:id="rId2"/>
    <sheet name="Agosto" sheetId="4" r:id="rId3"/>
    <sheet name="Setembro" sheetId="14" r:id="rId4"/>
    <sheet name="Outubro" sheetId="15" r:id="rId5"/>
    <sheet name="Novembro" sheetId="16" r:id="rId6"/>
    <sheet name="Dezembro" sheetId="17" r:id="rId7"/>
    <sheet name="Janeiro" sheetId="18" r:id="rId8"/>
    <sheet name="Fevereiro" sheetId="8" r:id="rId9"/>
    <sheet name="Março" sheetId="19" r:id="rId10"/>
    <sheet name="Abril" sheetId="20" r:id="rId11"/>
    <sheet name="Maio" sheetId="21" r:id="rId12"/>
    <sheet name="Junho" sheetId="22" r:id="rId13"/>
    <sheet name="Julho" sheetId="23" r:id="rId14"/>
    <sheet name="Relatório de Presença do Aluno" sheetId="6" r:id="rId15"/>
  </sheets>
  <definedNames>
    <definedName name="AnoCalendário">Agosto!$AM$1</definedName>
    <definedName name="Código1">Agosto!$D$3</definedName>
    <definedName name="Código2">Agosto!$H$3</definedName>
    <definedName name="Código3">Agosto!$L$3</definedName>
    <definedName name="Código4">Agosto!$P$3</definedName>
    <definedName name="Código5">Agosto!$T$3</definedName>
    <definedName name="IDAluno">ListadeAlunos[ID do Aluno]</definedName>
    <definedName name="Imprimir_Títulos" localSheetId="1">'Lista de Alunos'!$A:$C,'Lista de Alunos'!$3:$3</definedName>
    <definedName name="NomedoAluno">ListadeAlunos[Nome Completo do Aluno]</definedName>
    <definedName name="PesquisadeAlunos">'Relatório de Presença do Aluno'!$B$4</definedName>
    <definedName name="TextodaChavedeCor">Agosto!$C$3</definedName>
    <definedName name="TextodeCódigo1">Agosto!$E$3</definedName>
    <definedName name="TextodeCódigo2">Agosto!$I$3</definedName>
    <definedName name="TextodeCódigo3">Agosto!$M$3</definedName>
    <definedName name="TextodeCódigo4">Agosto!$Q$3</definedName>
    <definedName name="TextodeCódigo5">Agosto!$U$3</definedName>
  </definedNames>
  <calcPr calcId="152511"/>
</workbook>
</file>

<file path=xl/calcChain.xml><?xml version="1.0" encoding="utf-8"?>
<calcChain xmlns="http://schemas.openxmlformats.org/spreadsheetml/2006/main">
  <c r="A1" i="6" l="1"/>
  <c r="C11" i="23" l="1"/>
  <c r="C10" i="23"/>
  <c r="C9" i="23"/>
  <c r="C8" i="23"/>
  <c r="C7" i="23"/>
  <c r="C11" i="22"/>
  <c r="C10" i="22"/>
  <c r="C9" i="22"/>
  <c r="C8" i="22"/>
  <c r="C7" i="22"/>
  <c r="C11" i="21"/>
  <c r="C10" i="21"/>
  <c r="C9" i="21"/>
  <c r="C8" i="21"/>
  <c r="C7" i="21"/>
  <c r="C11" i="20"/>
  <c r="C10" i="20"/>
  <c r="C9" i="20"/>
  <c r="C8" i="20"/>
  <c r="C7" i="20"/>
  <c r="C11" i="19"/>
  <c r="C10" i="19"/>
  <c r="C9" i="19"/>
  <c r="C8" i="19"/>
  <c r="C7" i="19"/>
  <c r="C11" i="8"/>
  <c r="C10" i="8"/>
  <c r="C9" i="8"/>
  <c r="C8" i="8"/>
  <c r="C7" i="8"/>
  <c r="C11" i="18"/>
  <c r="C10" i="18"/>
  <c r="C9" i="18"/>
  <c r="C8" i="18"/>
  <c r="C7" i="18"/>
  <c r="C11" i="17"/>
  <c r="C10" i="17"/>
  <c r="C9" i="17"/>
  <c r="C8" i="17"/>
  <c r="C7" i="17"/>
  <c r="C11" i="16"/>
  <c r="C10" i="16"/>
  <c r="C9" i="16"/>
  <c r="C8" i="16"/>
  <c r="C7" i="16"/>
  <c r="C11" i="15"/>
  <c r="C10" i="15"/>
  <c r="C9" i="15"/>
  <c r="C8" i="15"/>
  <c r="C7" i="15"/>
  <c r="C11" i="14"/>
  <c r="C10" i="14"/>
  <c r="C9" i="14"/>
  <c r="C8" i="14"/>
  <c r="C7" i="14"/>
  <c r="C11" i="4"/>
  <c r="C10" i="4"/>
  <c r="C9" i="4"/>
  <c r="C8" i="4"/>
  <c r="AH5" i="23"/>
  <c r="AG5" i="23"/>
  <c r="AF5" i="23"/>
  <c r="AE5" i="23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AG5" i="22"/>
  <c r="AF5" i="22"/>
  <c r="AE5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AH5" i="21"/>
  <c r="AG5" i="21"/>
  <c r="AF5" i="21"/>
  <c r="AE5" i="21"/>
  <c r="AD5" i="21"/>
  <c r="AC5" i="21"/>
  <c r="AB5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AG5" i="20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AH5" i="19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AH5" i="18"/>
  <c r="AG5" i="18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AH5" i="17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AG5" i="16"/>
  <c r="AF5" i="16"/>
  <c r="AE5" i="16"/>
  <c r="AD5" i="16"/>
  <c r="AC5" i="16"/>
  <c r="AB5" i="16"/>
  <c r="AA5" i="16"/>
  <c r="Z5" i="16"/>
  <c r="Y5" i="16"/>
  <c r="X5" i="16"/>
  <c r="W5" i="16"/>
  <c r="V5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AH5" i="15"/>
  <c r="AG5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AG5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S8" i="5" l="1"/>
  <c r="S7" i="5"/>
  <c r="S6" i="5"/>
  <c r="S5" i="5"/>
  <c r="S4" i="5"/>
  <c r="C7" i="4" s="1"/>
  <c r="AG39" i="6" l="1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AH36" i="6" s="1"/>
  <c r="C37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5" i="23"/>
  <c r="B5" i="22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AL11" i="23"/>
  <c r="AK11" i="23"/>
  <c r="AJ11" i="23"/>
  <c r="AI11" i="23"/>
  <c r="AL10" i="23"/>
  <c r="AK10" i="23"/>
  <c r="AJ10" i="23"/>
  <c r="AI10" i="23"/>
  <c r="AL9" i="23"/>
  <c r="AK9" i="23"/>
  <c r="AJ9" i="23"/>
  <c r="AI9" i="23"/>
  <c r="AL8" i="23"/>
  <c r="AK8" i="23"/>
  <c r="AJ8" i="23"/>
  <c r="AI8" i="23"/>
  <c r="AL7" i="23"/>
  <c r="AK7" i="23"/>
  <c r="AK12" i="23" s="1"/>
  <c r="AJ7" i="23"/>
  <c r="AI7" i="23"/>
  <c r="AI12" i="23" s="1"/>
  <c r="U3" i="23"/>
  <c r="T3" i="23"/>
  <c r="Q3" i="23"/>
  <c r="P3" i="23"/>
  <c r="M3" i="23"/>
  <c r="L3" i="23"/>
  <c r="I3" i="23"/>
  <c r="H3" i="23"/>
  <c r="E3" i="23"/>
  <c r="D3" i="23"/>
  <c r="C3" i="23"/>
  <c r="AM1" i="23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AL11" i="22"/>
  <c r="AK11" i="22"/>
  <c r="AJ11" i="22"/>
  <c r="AI11" i="22"/>
  <c r="AL10" i="22"/>
  <c r="AK10" i="22"/>
  <c r="AJ10" i="22"/>
  <c r="AI10" i="22"/>
  <c r="AL9" i="22"/>
  <c r="AK9" i="22"/>
  <c r="AJ9" i="22"/>
  <c r="AI9" i="22"/>
  <c r="AL8" i="22"/>
  <c r="AK8" i="22"/>
  <c r="AJ8" i="22"/>
  <c r="AI8" i="22"/>
  <c r="AL7" i="22"/>
  <c r="AL12" i="22" s="1"/>
  <c r="AK7" i="22"/>
  <c r="AK12" i="22" s="1"/>
  <c r="AJ7" i="22"/>
  <c r="AJ12" i="22" s="1"/>
  <c r="AI7" i="22"/>
  <c r="AI12" i="22" s="1"/>
  <c r="U3" i="22"/>
  <c r="T3" i="22"/>
  <c r="Q3" i="22"/>
  <c r="P3" i="22"/>
  <c r="M3" i="22"/>
  <c r="L3" i="22"/>
  <c r="I3" i="22"/>
  <c r="H3" i="22"/>
  <c r="E3" i="22"/>
  <c r="D3" i="22"/>
  <c r="C3" i="22"/>
  <c r="AM1" i="22"/>
  <c r="B5" i="21"/>
  <c r="B5" i="20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AL11" i="21"/>
  <c r="AK11" i="21"/>
  <c r="AJ11" i="21"/>
  <c r="AI11" i="21"/>
  <c r="AL10" i="21"/>
  <c r="AK10" i="21"/>
  <c r="AJ10" i="21"/>
  <c r="AI10" i="21"/>
  <c r="AL9" i="21"/>
  <c r="AK9" i="21"/>
  <c r="AJ9" i="21"/>
  <c r="AI9" i="21"/>
  <c r="AL8" i="21"/>
  <c r="AK8" i="21"/>
  <c r="AJ8" i="21"/>
  <c r="AI8" i="21"/>
  <c r="AL7" i="21"/>
  <c r="AL12" i="21" s="1"/>
  <c r="AK7" i="21"/>
  <c r="AJ7" i="21"/>
  <c r="AJ12" i="21" s="1"/>
  <c r="AI7" i="21"/>
  <c r="AI12" i="21" s="1"/>
  <c r="U3" i="21"/>
  <c r="T3" i="21"/>
  <c r="Q3" i="21"/>
  <c r="P3" i="21"/>
  <c r="M3" i="21"/>
  <c r="L3" i="21"/>
  <c r="I3" i="21"/>
  <c r="H3" i="21"/>
  <c r="E3" i="21"/>
  <c r="D3" i="21"/>
  <c r="C3" i="21"/>
  <c r="AM1" i="21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AL11" i="20"/>
  <c r="AK11" i="20"/>
  <c r="AJ11" i="20"/>
  <c r="AI11" i="20"/>
  <c r="AL10" i="20"/>
  <c r="AK10" i="20"/>
  <c r="AJ10" i="20"/>
  <c r="AI10" i="20"/>
  <c r="AL9" i="20"/>
  <c r="AK9" i="20"/>
  <c r="AJ9" i="20"/>
  <c r="AI9" i="20"/>
  <c r="AL8" i="20"/>
  <c r="AK8" i="20"/>
  <c r="AJ8" i="20"/>
  <c r="AI8" i="20"/>
  <c r="AL7" i="20"/>
  <c r="AL12" i="20" s="1"/>
  <c r="AK7" i="20"/>
  <c r="AJ7" i="20"/>
  <c r="AJ12" i="20" s="1"/>
  <c r="AI7" i="20"/>
  <c r="U3" i="20"/>
  <c r="T3" i="20"/>
  <c r="Q3" i="20"/>
  <c r="P3" i="20"/>
  <c r="M3" i="20"/>
  <c r="L3" i="20"/>
  <c r="I3" i="20"/>
  <c r="H3" i="20"/>
  <c r="E3" i="20"/>
  <c r="D3" i="20"/>
  <c r="C3" i="20"/>
  <c r="AM1" i="20"/>
  <c r="B5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AL11" i="19"/>
  <c r="AK11" i="19"/>
  <c r="AJ11" i="19"/>
  <c r="AI11" i="19"/>
  <c r="AL10" i="19"/>
  <c r="AK10" i="19"/>
  <c r="AJ10" i="19"/>
  <c r="AI10" i="19"/>
  <c r="AL9" i="19"/>
  <c r="AK9" i="19"/>
  <c r="AJ9" i="19"/>
  <c r="AI9" i="19"/>
  <c r="AL8" i="19"/>
  <c r="AK8" i="19"/>
  <c r="AJ8" i="19"/>
  <c r="AI8" i="19"/>
  <c r="AL7" i="19"/>
  <c r="AL12" i="19" s="1"/>
  <c r="AK7" i="19"/>
  <c r="AJ7" i="19"/>
  <c r="AJ12" i="19" s="1"/>
  <c r="AI7" i="19"/>
  <c r="U3" i="19"/>
  <c r="T3" i="19"/>
  <c r="Q3" i="19"/>
  <c r="P3" i="19"/>
  <c r="M3" i="19"/>
  <c r="L3" i="19"/>
  <c r="I3" i="19"/>
  <c r="H3" i="19"/>
  <c r="E3" i="19"/>
  <c r="D3" i="19"/>
  <c r="C3" i="19"/>
  <c r="AM1" i="19"/>
  <c r="B5" i="17"/>
  <c r="B5" i="16"/>
  <c r="B5" i="15"/>
  <c r="B5" i="18"/>
  <c r="AF12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AL11" i="18"/>
  <c r="AK11" i="18"/>
  <c r="AJ11" i="18"/>
  <c r="AI11" i="18"/>
  <c r="AL10" i="18"/>
  <c r="AK10" i="18"/>
  <c r="AJ10" i="18"/>
  <c r="AI10" i="18"/>
  <c r="AL9" i="18"/>
  <c r="AK9" i="18"/>
  <c r="AJ9" i="18"/>
  <c r="AI9" i="18"/>
  <c r="AL8" i="18"/>
  <c r="AK8" i="18"/>
  <c r="AJ8" i="18"/>
  <c r="AI8" i="18"/>
  <c r="AL7" i="18"/>
  <c r="AK7" i="18"/>
  <c r="AK12" i="18" s="1"/>
  <c r="AJ7" i="18"/>
  <c r="AI7" i="18"/>
  <c r="AI12" i="18" s="1"/>
  <c r="U3" i="18"/>
  <c r="T3" i="18"/>
  <c r="Q3" i="18"/>
  <c r="P3" i="18"/>
  <c r="M3" i="18"/>
  <c r="L3" i="18"/>
  <c r="I3" i="18"/>
  <c r="H3" i="18"/>
  <c r="E3" i="18"/>
  <c r="D3" i="18"/>
  <c r="C3" i="18"/>
  <c r="AM1" i="18"/>
  <c r="AH12" i="17"/>
  <c r="AG12" i="17"/>
  <c r="AF12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AL11" i="17"/>
  <c r="AK11" i="17"/>
  <c r="AJ11" i="17"/>
  <c r="AI11" i="17"/>
  <c r="AL10" i="17"/>
  <c r="AK10" i="17"/>
  <c r="AJ10" i="17"/>
  <c r="AI10" i="17"/>
  <c r="AL9" i="17"/>
  <c r="AK9" i="17"/>
  <c r="AJ9" i="17"/>
  <c r="AI9" i="17"/>
  <c r="AL8" i="17"/>
  <c r="AK8" i="17"/>
  <c r="AJ8" i="17"/>
  <c r="AI8" i="17"/>
  <c r="AL7" i="17"/>
  <c r="AK7" i="17"/>
  <c r="AJ7" i="17"/>
  <c r="AI7" i="17"/>
  <c r="U3" i="17"/>
  <c r="T3" i="17"/>
  <c r="Q3" i="17"/>
  <c r="P3" i="17"/>
  <c r="M3" i="17"/>
  <c r="L3" i="17"/>
  <c r="I3" i="17"/>
  <c r="H3" i="17"/>
  <c r="E3" i="17"/>
  <c r="D3" i="17"/>
  <c r="C3" i="17"/>
  <c r="AM1" i="17"/>
  <c r="AH12" i="16"/>
  <c r="AG12" i="16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AL11" i="16"/>
  <c r="AK11" i="16"/>
  <c r="AJ11" i="16"/>
  <c r="AI11" i="16"/>
  <c r="AL10" i="16"/>
  <c r="AK10" i="16"/>
  <c r="AJ10" i="16"/>
  <c r="AI10" i="16"/>
  <c r="AL9" i="16"/>
  <c r="AK9" i="16"/>
  <c r="AJ9" i="16"/>
  <c r="AI9" i="16"/>
  <c r="AL8" i="16"/>
  <c r="AK8" i="16"/>
  <c r="AJ8" i="16"/>
  <c r="AI8" i="16"/>
  <c r="AL7" i="16"/>
  <c r="AK7" i="16"/>
  <c r="AJ7" i="16"/>
  <c r="AI7" i="16"/>
  <c r="U3" i="16"/>
  <c r="T3" i="16"/>
  <c r="Q3" i="16"/>
  <c r="P3" i="16"/>
  <c r="M3" i="16"/>
  <c r="L3" i="16"/>
  <c r="I3" i="16"/>
  <c r="H3" i="16"/>
  <c r="E3" i="16"/>
  <c r="D3" i="16"/>
  <c r="C3" i="16"/>
  <c r="AM1" i="16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AL11" i="15"/>
  <c r="AK11" i="15"/>
  <c r="AJ11" i="15"/>
  <c r="AI11" i="15"/>
  <c r="AL10" i="15"/>
  <c r="AK10" i="15"/>
  <c r="AJ10" i="15"/>
  <c r="AI10" i="15"/>
  <c r="AL9" i="15"/>
  <c r="AK9" i="15"/>
  <c r="AJ9" i="15"/>
  <c r="AI9" i="15"/>
  <c r="AL8" i="15"/>
  <c r="AK8" i="15"/>
  <c r="AJ8" i="15"/>
  <c r="AI8" i="15"/>
  <c r="AL7" i="15"/>
  <c r="AK7" i="15"/>
  <c r="AJ7" i="15"/>
  <c r="AI7" i="15"/>
  <c r="U3" i="15"/>
  <c r="T3" i="15"/>
  <c r="Q3" i="15"/>
  <c r="P3" i="15"/>
  <c r="M3" i="15"/>
  <c r="L3" i="15"/>
  <c r="I3" i="15"/>
  <c r="H3" i="15"/>
  <c r="E3" i="15"/>
  <c r="D3" i="15"/>
  <c r="C3" i="15"/>
  <c r="AM1" i="15"/>
  <c r="AM11" i="22" l="1"/>
  <c r="AH38" i="6"/>
  <c r="AM9" i="18"/>
  <c r="AM11" i="18"/>
  <c r="AM8" i="19"/>
  <c r="AM10" i="19"/>
  <c r="AM8" i="21"/>
  <c r="AM10" i="21"/>
  <c r="AM9" i="22"/>
  <c r="AM10" i="22"/>
  <c r="AM7" i="16"/>
  <c r="AL12" i="16"/>
  <c r="AM9" i="16"/>
  <c r="AM11" i="16"/>
  <c r="AM8" i="20"/>
  <c r="AM10" i="20"/>
  <c r="AM8" i="23"/>
  <c r="AM9" i="23"/>
  <c r="AM10" i="23"/>
  <c r="AM11" i="23"/>
  <c r="AK38" i="6"/>
  <c r="AI38" i="6"/>
  <c r="AK36" i="6"/>
  <c r="AI36" i="6"/>
  <c r="AJ38" i="6"/>
  <c r="AJ36" i="6"/>
  <c r="AK12" i="21"/>
  <c r="AL12" i="23"/>
  <c r="AM7" i="23"/>
  <c r="AJ12" i="23"/>
  <c r="AM9" i="21"/>
  <c r="AM11" i="21"/>
  <c r="AM8" i="22"/>
  <c r="AM7" i="22"/>
  <c r="AI12" i="20"/>
  <c r="AK12" i="20"/>
  <c r="AM9" i="20"/>
  <c r="AM11" i="20"/>
  <c r="AM7" i="21"/>
  <c r="AI12" i="19"/>
  <c r="AK12" i="19"/>
  <c r="AM9" i="19"/>
  <c r="AM11" i="19"/>
  <c r="AM7" i="20"/>
  <c r="AM10" i="15"/>
  <c r="AM7" i="17"/>
  <c r="AL12" i="17"/>
  <c r="AM9" i="17"/>
  <c r="AM11" i="17"/>
  <c r="AJ12" i="18"/>
  <c r="AL12" i="18"/>
  <c r="AM8" i="18"/>
  <c r="AM10" i="18"/>
  <c r="AM7" i="19"/>
  <c r="AM7" i="18"/>
  <c r="AM7" i="15"/>
  <c r="AL12" i="15"/>
  <c r="AI12" i="16"/>
  <c r="AK12" i="16"/>
  <c r="AM8" i="16"/>
  <c r="AM10" i="16"/>
  <c r="AI12" i="17"/>
  <c r="AK12" i="17"/>
  <c r="AM8" i="17"/>
  <c r="AM10" i="17"/>
  <c r="AJ12" i="17"/>
  <c r="AI12" i="15"/>
  <c r="AK12" i="15"/>
  <c r="AM8" i="15"/>
  <c r="AM9" i="15"/>
  <c r="AM11" i="15"/>
  <c r="AJ12" i="16"/>
  <c r="AJ12" i="15"/>
  <c r="AM12" i="19" l="1"/>
  <c r="AM12" i="20"/>
  <c r="AM12" i="22"/>
  <c r="AM12" i="17"/>
  <c r="AM12" i="18"/>
  <c r="AM12" i="21"/>
  <c r="AM12" i="23"/>
  <c r="AM12" i="16"/>
  <c r="AM12" i="15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U3" i="14"/>
  <c r="T3" i="14"/>
  <c r="Q3" i="14"/>
  <c r="P3" i="14"/>
  <c r="M3" i="14"/>
  <c r="L3" i="14"/>
  <c r="I3" i="14"/>
  <c r="H3" i="14"/>
  <c r="E3" i="14"/>
  <c r="D3" i="14"/>
  <c r="C3" i="14"/>
  <c r="AM1" i="14"/>
  <c r="AH12" i="14"/>
  <c r="B5" i="14"/>
  <c r="AG12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AL11" i="14"/>
  <c r="AK11" i="14"/>
  <c r="AJ11" i="14"/>
  <c r="AI11" i="14"/>
  <c r="AL10" i="14"/>
  <c r="AK10" i="14"/>
  <c r="AJ10" i="14"/>
  <c r="AI10" i="14"/>
  <c r="AL9" i="14"/>
  <c r="AK9" i="14"/>
  <c r="AJ9" i="14"/>
  <c r="AI9" i="14"/>
  <c r="AL8" i="14"/>
  <c r="AK8" i="14"/>
  <c r="AJ8" i="14"/>
  <c r="AI8" i="14"/>
  <c r="AL7" i="14"/>
  <c r="AK7" i="14"/>
  <c r="AJ7" i="14"/>
  <c r="AI7" i="14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AI12" i="14" l="1"/>
  <c r="AK12" i="14"/>
  <c r="AM7" i="14"/>
  <c r="AL12" i="14"/>
  <c r="AM8" i="14"/>
  <c r="AM10" i="14"/>
  <c r="AM9" i="14"/>
  <c r="AM11" i="14"/>
  <c r="AJ12" i="14"/>
  <c r="U3" i="8"/>
  <c r="T3" i="8"/>
  <c r="Q3" i="8"/>
  <c r="P3" i="8"/>
  <c r="M3" i="8"/>
  <c r="L3" i="8"/>
  <c r="I3" i="8"/>
  <c r="H3" i="8"/>
  <c r="E3" i="8"/>
  <c r="D3" i="8"/>
  <c r="C3" i="8"/>
  <c r="AM12" i="14" l="1"/>
  <c r="AM1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AL11" i="8"/>
  <c r="AK11" i="8"/>
  <c r="AJ11" i="8"/>
  <c r="AI11" i="8"/>
  <c r="AL10" i="8"/>
  <c r="AK10" i="8"/>
  <c r="AJ10" i="8"/>
  <c r="AI10" i="8"/>
  <c r="AL9" i="8"/>
  <c r="AK9" i="8"/>
  <c r="AJ9" i="8"/>
  <c r="AI9" i="8"/>
  <c r="AL8" i="8"/>
  <c r="AK8" i="8"/>
  <c r="AJ8" i="8"/>
  <c r="AI8" i="8"/>
  <c r="AL7" i="8"/>
  <c r="AK7" i="8"/>
  <c r="AJ7" i="8"/>
  <c r="AI7" i="8"/>
  <c r="B5" i="8"/>
  <c r="AI12" i="8" l="1"/>
  <c r="AK12" i="8"/>
  <c r="AM9" i="8"/>
  <c r="AM11" i="8"/>
  <c r="AM7" i="8"/>
  <c r="AL12" i="8"/>
  <c r="AM8" i="8"/>
  <c r="AM10" i="8"/>
  <c r="AJ12" i="8"/>
  <c r="AI11" i="4"/>
  <c r="AJ11" i="4"/>
  <c r="AK11" i="4"/>
  <c r="AL11" i="4"/>
  <c r="AL7" i="4"/>
  <c r="AL8" i="4"/>
  <c r="AL9" i="4"/>
  <c r="AL10" i="4"/>
  <c r="AK7" i="4"/>
  <c r="AK8" i="4"/>
  <c r="AK9" i="4"/>
  <c r="AK10" i="4"/>
  <c r="AJ7" i="4"/>
  <c r="AJ8" i="4"/>
  <c r="AJ9" i="4"/>
  <c r="AJ10" i="4"/>
  <c r="B12" i="6"/>
  <c r="C12" i="6"/>
  <c r="D12" i="6"/>
  <c r="G12" i="6"/>
  <c r="H12" i="6"/>
  <c r="K12" i="6"/>
  <c r="L12" i="6"/>
  <c r="P12" i="6"/>
  <c r="Q12" i="6"/>
  <c r="T12" i="6"/>
  <c r="U12" i="6"/>
  <c r="AM12" i="8" l="1"/>
  <c r="AM11" i="4"/>
  <c r="AI7" i="4"/>
  <c r="AI8" i="4"/>
  <c r="AI9" i="4"/>
  <c r="AI10" i="4"/>
  <c r="E12" i="4" l="1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AF17" i="6"/>
  <c r="AG17" i="6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D12" i="4"/>
  <c r="AK16" i="6" l="1"/>
  <c r="AJ16" i="6"/>
  <c r="AI16" i="6"/>
  <c r="AH16" i="6"/>
  <c r="K6" i="6"/>
  <c r="B6" i="6"/>
  <c r="B10" i="6"/>
  <c r="AE10" i="6"/>
  <c r="W10" i="6"/>
  <c r="K10" i="6"/>
  <c r="AE8" i="6"/>
  <c r="W8" i="6"/>
  <c r="K8" i="6"/>
  <c r="B8" i="6"/>
  <c r="AK28" i="6" l="1"/>
  <c r="AJ28" i="6"/>
  <c r="AI28" i="6"/>
  <c r="AH28" i="6"/>
  <c r="AI22" i="6" l="1"/>
  <c r="AK22" i="6"/>
  <c r="AJ22" i="6"/>
  <c r="AK24" i="6"/>
  <c r="AJ24" i="6"/>
  <c r="AI24" i="6"/>
  <c r="AJ30" i="6"/>
  <c r="AI30" i="6"/>
  <c r="AK30" i="6"/>
  <c r="AK18" i="6"/>
  <c r="AJ18" i="6"/>
  <c r="AI18" i="6"/>
  <c r="AK20" i="6"/>
  <c r="AJ20" i="6"/>
  <c r="AI20" i="6"/>
  <c r="AK26" i="6"/>
  <c r="AJ26" i="6"/>
  <c r="AI26" i="6"/>
  <c r="AK32" i="6"/>
  <c r="AJ32" i="6"/>
  <c r="AI32" i="6"/>
  <c r="AK34" i="6"/>
  <c r="AJ34" i="6"/>
  <c r="AI34" i="6"/>
  <c r="AH18" i="6"/>
  <c r="AH22" i="6"/>
  <c r="AH24" i="6"/>
  <c r="AH30" i="6"/>
  <c r="AH20" i="6"/>
  <c r="AH26" i="6"/>
  <c r="AH32" i="6"/>
  <c r="AH34" i="6"/>
  <c r="B5" i="4" l="1"/>
  <c r="AE6" i="6"/>
  <c r="W6" i="6"/>
  <c r="S4" i="6"/>
  <c r="P4" i="6"/>
  <c r="AH40" i="6" l="1"/>
  <c r="AI40" i="6"/>
  <c r="AJ40" i="6"/>
  <c r="AK40" i="6"/>
  <c r="AM7" i="4" l="1"/>
  <c r="AM10" i="4"/>
  <c r="D4" i="6" l="1"/>
  <c r="I1" i="6" s="1"/>
  <c r="AM9" i="4"/>
  <c r="AM8" i="4"/>
  <c r="AI12" i="4"/>
  <c r="AK12" i="4"/>
  <c r="AL12" i="4"/>
  <c r="AJ12" i="4"/>
  <c r="AM12" i="4" l="1"/>
</calcChain>
</file>

<file path=xl/sharedStrings.xml><?xml version="1.0" encoding="utf-8"?>
<sst xmlns="http://schemas.openxmlformats.org/spreadsheetml/2006/main" count="785" uniqueCount="133">
  <si>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</si>
  <si>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</si>
  <si>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</si>
  <si>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</si>
  <si>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</si>
  <si>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</si>
  <si>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</si>
  <si>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</si>
  <si>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</si>
  <si>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</si>
  <si>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</si>
  <si>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</si>
  <si>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</si>
  <si>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</si>
  <si>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</si>
  <si>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</si>
  <si>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</si>
  <si>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</si>
  <si>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</si>
  <si>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</si>
  <si>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</si>
  <si>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</si>
  <si>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</si>
  <si>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</si>
  <si>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</si>
  <si>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</si>
  <si>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</si>
  <si>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</si>
  <si>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</si>
  <si>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</si>
  <si>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</si>
  <si>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P</t>
  </si>
  <si>
    <t>Nome do Aluno</t>
  </si>
  <si>
    <t>Sobrenome do Aluno</t>
  </si>
  <si>
    <t>ID do Aluno</t>
  </si>
  <si>
    <t>Aluno</t>
  </si>
  <si>
    <t>Nome do Aluno</t>
  </si>
  <si>
    <t>T</t>
  </si>
  <si>
    <t>U</t>
  </si>
  <si>
    <t>E</t>
  </si>
  <si>
    <t>Dias de Ausência</t>
  </si>
  <si>
    <t>Totais</t>
  </si>
  <si>
    <t>Sexo</t>
  </si>
  <si>
    <t>Data de Nascimento</t>
  </si>
  <si>
    <t>Escola</t>
  </si>
  <si>
    <t>Nota</t>
  </si>
  <si>
    <t>Professor</t>
  </si>
  <si>
    <t>Sala</t>
  </si>
  <si>
    <t>Relação</t>
  </si>
  <si>
    <t>Número Comercial</t>
  </si>
  <si>
    <t>Número Residencial</t>
  </si>
  <si>
    <t>Contato de Emergência</t>
  </si>
  <si>
    <t>M</t>
  </si>
  <si>
    <t>Relação com o Contato de Emergência</t>
  </si>
  <si>
    <t>Número Comercial do Contato de Emergência</t>
  </si>
  <si>
    <t>Número Residencial do Contato de Emergência</t>
  </si>
  <si>
    <t>Nome Completo do Aluno</t>
  </si>
  <si>
    <t>Avô</t>
  </si>
  <si>
    <t>Totais de Participação</t>
  </si>
  <si>
    <t>Agosto</t>
  </si>
  <si>
    <t>Setembro</t>
  </si>
  <si>
    <t>Outubro</t>
  </si>
  <si>
    <t>Novembro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</si>
  <si>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</si>
  <si>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</si>
  <si>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</si>
  <si>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</si>
  <si>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</si>
  <si>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</si>
  <si>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</si>
  <si>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</si>
  <si>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N</t>
  </si>
  <si>
    <t>Início do Ano Escolar:</t>
  </si>
  <si>
    <t>Pai</t>
  </si>
  <si>
    <t>Pais ou Tutor 1</t>
  </si>
  <si>
    <t>Relação - Pais/Tutor 1</t>
  </si>
  <si>
    <t>Pais/Tutor 1 - Telefone Residencial</t>
  </si>
  <si>
    <t>Relação - Pais/Tutor 2</t>
  </si>
  <si>
    <t>Pais/Tutor 2 - Telefone Comercial</t>
  </si>
  <si>
    <t>Pais/Tutor 2 - Telefone Residencial</t>
  </si>
  <si>
    <t>Pais/Tutor 2</t>
  </si>
  <si>
    <t>Nome dos Pais ou do Tutor 1</t>
  </si>
  <si>
    <t>Nome dos Pais ou do Tutor 2</t>
  </si>
  <si>
    <t>Atrasado</t>
  </si>
  <si>
    <t>Dispensado</t>
  </si>
  <si>
    <t>Não Dispensado</t>
  </si>
  <si>
    <t>Presente</t>
  </si>
  <si>
    <t>Sem Aula</t>
  </si>
  <si>
    <t>Participação</t>
  </si>
  <si>
    <t>REGISTRO DE PRESENÇA DO ALUNO</t>
  </si>
  <si>
    <t>S001</t>
  </si>
  <si>
    <t>Michael Alexander</t>
  </si>
  <si>
    <t>S002</t>
  </si>
  <si>
    <t>S003</t>
  </si>
  <si>
    <t>S004</t>
  </si>
  <si>
    <t>S005</t>
  </si>
  <si>
    <t xml:space="preserve">Escola de Belas Artes </t>
  </si>
  <si>
    <t xml:space="preserve">● </t>
  </si>
  <si>
    <t>1.</t>
  </si>
  <si>
    <t>2.</t>
  </si>
  <si>
    <t>3.</t>
  </si>
  <si>
    <t>Depois que os seus alunos tiverem sido inseridos na planilha Lista de Alunos, você poderá começar a acompanhar a presença deles no ano escolar usando estas etapas:</t>
  </si>
  <si>
    <t>POR ONDE COMEÇAR?</t>
  </si>
  <si>
    <t>ADICIONEI MEUS ALUNOS, O QUE FAÇO EM SEGUIDA?</t>
  </si>
  <si>
    <t>COMO ADICIONAR MAIS ALUNOS A UM REGISTRO DE PRESENÇA MENSAL?</t>
  </si>
  <si>
    <t>POSSO VER A PRESENÇA DE UM ALUNO DURANTE TODO O ANO ESCOLAR?</t>
  </si>
  <si>
    <t>Há algumas etapas que você precisa seguir para poder acompanhar a presença dos alunos:</t>
  </si>
  <si>
    <t xml:space="preserve">CHAVE COLORIDA </t>
  </si>
  <si>
    <t>Se a tabela não tiver uma linha Total, comece a digitar abaixo da tabela, e ela será automaticamente expandida quando você pressionar a tecla Enter ou Tab.</t>
  </si>
  <si>
    <t>Posicione o ponteiro de célula na última célula acima da linha Total, como a célula Dias de Ausência do último aluno, e pressione a tecla Tab.</t>
  </si>
  <si>
    <t>No canto inferior direito da tabela, posicione o mouse sobre a alça de dimensionamento de tabela e arraste para baixo para aumentar o número de linhas de tabela disponíveis.</t>
  </si>
  <si>
    <t>Em seguida, insira o registro de presença para cada dia do mês usando os tipos de presença fornecidos na Chave Colorida. A presença do aluno é calculada automaticamente por tipo de presença para cada aluno na coluna Totais. O total de ausências para cada dia é automaticamente calculado na parte inferior da tabela, na linha Total.</t>
  </si>
  <si>
    <t>As planilhas de registro de presença mensal e a Lista de Alunos são tabelas do Excel. Para adicionar novas linhas a qualquer tabela do Excel, siga um destes procedimentos:</t>
  </si>
  <si>
    <t>Pais/Tutor 1 - Telefone Comercial</t>
  </si>
  <si>
    <t xml:space="preserve"> </t>
  </si>
  <si>
    <t>Total de dias de ausência</t>
  </si>
  <si>
    <t>LISTA DE ALUNOS</t>
  </si>
  <si>
    <t>COMO USAR ESTE MODELO</t>
  </si>
  <si>
    <t>Personalizar um tema de documento.</t>
  </si>
  <si>
    <r>
      <t xml:space="preserve">Para adicionar um aluno a um registro de presença, clique em uma célula abaixo da coluna </t>
    </r>
    <r>
      <rPr>
        <b/>
        <sz val="10"/>
        <color theme="1"/>
        <rFont val="Century Gothic"/>
        <family val="2"/>
        <scheme val="minor"/>
      </rPr>
      <t>ID do Aluno</t>
    </r>
    <r>
      <rPr>
        <sz val="10"/>
        <color theme="1"/>
        <rFont val="Century Gothic"/>
        <family val="2"/>
        <scheme val="minor"/>
      </rPr>
      <t xml:space="preserve"> e selecione uma ID na lista. O nome do aluno será automaticamente exibido após a seleção da ID. </t>
    </r>
  </si>
  <si>
    <r>
      <t xml:space="preserve">Clique com o botão direito do mouse na tabela e, no menu pop-up, aponte para </t>
    </r>
    <r>
      <rPr>
        <b/>
        <sz val="10"/>
        <color theme="1"/>
        <rFont val="Century Gothic"/>
        <family val="2"/>
        <scheme val="minor"/>
      </rPr>
      <t>Inserir,</t>
    </r>
    <r>
      <rPr>
        <sz val="10"/>
        <color theme="1"/>
        <rFont val="Century Gothic"/>
        <family val="2"/>
        <scheme val="minor"/>
      </rPr>
      <t xml:space="preserve"> e depois clique em </t>
    </r>
    <r>
      <rPr>
        <b/>
        <sz val="10"/>
        <color theme="1"/>
        <rFont val="Century Gothic"/>
        <family val="2"/>
        <scheme val="minor"/>
      </rPr>
      <t>Linhas da Tabela Acima</t>
    </r>
    <r>
      <rPr>
        <sz val="10"/>
        <color theme="1"/>
        <rFont val="Century Gothic"/>
        <family val="2"/>
        <scheme val="minor"/>
      </rPr>
      <t xml:space="preserve"> ou L</t>
    </r>
    <r>
      <rPr>
        <b/>
        <sz val="10"/>
        <color theme="1"/>
        <rFont val="Century Gothic"/>
        <family val="2"/>
        <scheme val="minor"/>
      </rPr>
      <t>inhas da Tabela Abaixo</t>
    </r>
    <r>
      <rPr>
        <sz val="10"/>
        <color theme="1"/>
        <rFont val="Century Gothic"/>
        <family val="2"/>
        <scheme val="minor"/>
      </rPr>
      <t xml:space="preserve">. </t>
    </r>
  </si>
  <si>
    <r>
      <t xml:space="preserve">A última planilha desta pasta de trabalho, Relatório de Presença do Aluno, controla a presença durante o ano. Para ver o relatório de um aluno específico, clique na célula abaixo de </t>
    </r>
    <r>
      <rPr>
        <b/>
        <sz val="10"/>
        <color theme="1"/>
        <rFont val="Century Gothic"/>
        <family val="2"/>
        <scheme val="minor"/>
      </rPr>
      <t>ID do Aluno</t>
    </r>
    <r>
      <rPr>
        <sz val="10"/>
        <color theme="1"/>
        <rFont val="Century Gothic"/>
        <family val="2"/>
        <scheme val="minor"/>
      </rPr>
      <t xml:space="preserve"> e selecione uma ID na lista suspensa. As informações previamente inseridas na planilha Lista de Alunos referente ao aluno selecionado serão automaticamente exibidas. Observe que, ao usar pela primeira vez o Relatório de Presença do Aluno, você precisa inserir a Escola, a Nota, o Professor e a Sala. Essas informações não mudarão se você selecionar outro aluno. </t>
    </r>
  </si>
  <si>
    <r>
      <rPr>
        <b/>
        <sz val="10"/>
        <color theme="4" tint="-0.499984740745262"/>
        <rFont val="Century Gothic"/>
        <family val="2"/>
        <scheme val="minor"/>
      </rPr>
      <t>Adicionar seus alunos</t>
    </r>
    <r>
      <rPr>
        <b/>
        <sz val="10"/>
        <color theme="1"/>
        <rFont val="Century Gothic"/>
        <family val="2"/>
        <scheme val="minor"/>
      </rPr>
      <t>:</t>
    </r>
    <r>
      <rPr>
        <sz val="10"/>
        <color theme="1"/>
        <rFont val="Century Gothic"/>
        <family val="2"/>
        <scheme val="minor"/>
      </rPr>
      <t xml:space="preserve"> Na planilha </t>
    </r>
    <r>
      <rPr>
        <b/>
        <sz val="10"/>
        <color theme="1"/>
        <rFont val="Century Gothic"/>
        <family val="2"/>
        <scheme val="minor"/>
      </rPr>
      <t>Lista de Alunos</t>
    </r>
    <r>
      <rPr>
        <sz val="10"/>
        <color theme="1"/>
        <rFont val="Century Gothic"/>
        <family val="2"/>
        <scheme val="minor"/>
      </rPr>
      <t>, insira as informações de cada aluno, como nomes de tutores e dados de contato. A ID do Aluno é uma entrada importante, pois fornece um identificador exclusivo para cada aluno e é usada em toda a pasta de trabalho nas várias listas suspensas de ID do Aluno para facilitar a entrada de dados. As informações inseridas na Lista de Alunos também são usadas em outras planilhas, como no Relatório de Presença do Aluno e nos registros de presença mensais.</t>
    </r>
  </si>
  <si>
    <r>
      <rPr>
        <b/>
        <sz val="10"/>
        <color theme="4" tint="-0.499984740745262"/>
        <rFont val="Century Gothic"/>
        <family val="2"/>
        <scheme val="minor"/>
      </rPr>
      <t>Mudar o ano letivo:</t>
    </r>
    <r>
      <rPr>
        <sz val="10"/>
        <color theme="4" tint="-0.499984740745262"/>
        <rFont val="Century Gothic"/>
        <family val="2"/>
        <scheme val="minor"/>
      </rPr>
      <t xml:space="preserve"> </t>
    </r>
    <r>
      <rPr>
        <sz val="10"/>
        <color theme="1"/>
        <rFont val="Century Gothic"/>
        <family val="2"/>
        <scheme val="minor"/>
      </rPr>
      <t xml:space="preserve">Na planilha de presença em </t>
    </r>
    <r>
      <rPr>
        <b/>
        <sz val="10"/>
        <color theme="1"/>
        <rFont val="Century Gothic"/>
        <family val="2"/>
        <scheme val="minor"/>
      </rPr>
      <t>Agosto</t>
    </r>
    <r>
      <rPr>
        <sz val="10"/>
        <color theme="1"/>
        <rFont val="Century Gothic"/>
        <family val="2"/>
        <scheme val="minor"/>
      </rPr>
      <t>, clique no controle giratório localizado na extremidade superior direita do cabeçalho para atualizar o ano letivo. Essa mudança atualizará o cabeçalho em todos os registros de presença mensais da pasta de trabalho. (O botão giratório não é impresso.)</t>
    </r>
  </si>
  <si>
    <r>
      <rPr>
        <b/>
        <sz val="10"/>
        <color theme="1"/>
        <rFont val="Century Gothic"/>
        <family val="2"/>
        <scheme val="minor"/>
      </rPr>
      <t xml:space="preserve">Dica: </t>
    </r>
    <r>
      <rPr>
        <sz val="10"/>
        <color theme="1"/>
        <rFont val="Century Gothic"/>
        <family val="2"/>
        <scheme val="minor"/>
      </rPr>
      <t xml:space="preserve">Salve as etapas de entrada de dados! Depois que os seus alunos tiverem sido adicionados para um mês, selecione as IDs de Aluno inseridas, copie-as e depois cole-as na coluna </t>
    </r>
    <r>
      <rPr>
        <b/>
        <sz val="10"/>
        <color theme="1"/>
        <rFont val="Century Gothic"/>
        <family val="2"/>
        <scheme val="minor"/>
      </rPr>
      <t>ID do Aluno</t>
    </r>
    <r>
      <rPr>
        <sz val="10"/>
        <color theme="1"/>
        <rFont val="Century Gothic"/>
        <family val="2"/>
        <scheme val="minor"/>
      </rPr>
      <t xml:space="preserve"> para os meses restantes. </t>
    </r>
  </si>
  <si>
    <r>
      <rPr>
        <b/>
        <i/>
        <sz val="10"/>
        <color theme="4" tint="-0.499984740745262"/>
        <rFont val="Century Gothic"/>
        <family val="2"/>
        <scheme val="minor"/>
      </rPr>
      <t>(Opcional)</t>
    </r>
    <r>
      <rPr>
        <b/>
        <sz val="10"/>
        <color theme="4" tint="-0.499984740745262"/>
        <rFont val="Century Gothic"/>
        <family val="2"/>
        <scheme val="minor"/>
      </rPr>
      <t xml:space="preserve"> Modificar as cores na pasta de trabalho:</t>
    </r>
    <r>
      <rPr>
        <b/>
        <sz val="10"/>
        <color theme="1"/>
        <rFont val="Century Gothic"/>
        <family val="2"/>
        <scheme val="minor"/>
      </rPr>
      <t xml:space="preserve"> </t>
    </r>
    <r>
      <rPr>
        <sz val="10"/>
        <color theme="1"/>
        <rFont val="Century Gothic"/>
        <family val="2"/>
        <scheme val="minor"/>
      </rPr>
      <t xml:space="preserve">Primeiro, navegue até a última planilha, </t>
    </r>
    <r>
      <rPr>
        <b/>
        <sz val="10"/>
        <color theme="1"/>
        <rFont val="Century Gothic"/>
        <family val="2"/>
        <scheme val="minor"/>
      </rPr>
      <t>Relatório de Presença do Aluno</t>
    </r>
    <r>
      <rPr>
        <sz val="10"/>
        <color theme="1"/>
        <rFont val="Century Gothic"/>
        <family val="2"/>
        <scheme val="minor"/>
      </rPr>
      <t xml:space="preserve">, e na guia </t>
    </r>
    <r>
      <rPr>
        <b/>
        <sz val="10"/>
        <color theme="1"/>
        <rFont val="Century Gothic"/>
        <family val="2"/>
        <scheme val="minor"/>
      </rPr>
      <t>Revisar</t>
    </r>
    <r>
      <rPr>
        <sz val="10"/>
        <color theme="1"/>
        <rFont val="Century Gothic"/>
        <family val="2"/>
        <scheme val="minor"/>
      </rPr>
      <t xml:space="preserve">, no grupo </t>
    </r>
    <r>
      <rPr>
        <b/>
        <sz val="10"/>
        <color theme="1"/>
        <rFont val="Century Gothic"/>
        <family val="2"/>
        <scheme val="minor"/>
      </rPr>
      <t>Alterações</t>
    </r>
    <r>
      <rPr>
        <sz val="10"/>
        <color theme="1"/>
        <rFont val="Century Gothic"/>
        <family val="2"/>
        <scheme val="minor"/>
      </rPr>
      <t xml:space="preserve">, clique em </t>
    </r>
    <r>
      <rPr>
        <b/>
        <sz val="10"/>
        <color theme="1"/>
        <rFont val="Century Gothic"/>
        <family val="2"/>
        <scheme val="minor"/>
      </rPr>
      <t>Desproteger Planilha</t>
    </r>
    <r>
      <rPr>
        <sz val="10"/>
        <color theme="1"/>
        <rFont val="Century Gothic"/>
        <family val="2"/>
        <scheme val="minor"/>
      </rPr>
      <t xml:space="preserve">. Em seguida, na guia </t>
    </r>
    <r>
      <rPr>
        <b/>
        <sz val="10"/>
        <color theme="1"/>
        <rFont val="Century Gothic"/>
        <family val="2"/>
        <scheme val="minor"/>
      </rPr>
      <t>Layout de Página</t>
    </r>
    <r>
      <rPr>
        <sz val="10"/>
        <color theme="1"/>
        <rFont val="Century Gothic"/>
        <family val="2"/>
        <scheme val="minor"/>
      </rPr>
      <t xml:space="preserve">, no grupo </t>
    </r>
    <r>
      <rPr>
        <b/>
        <sz val="10"/>
        <color theme="1"/>
        <rFont val="Century Gothic"/>
        <family val="2"/>
        <scheme val="minor"/>
      </rPr>
      <t>Temas</t>
    </r>
    <r>
      <rPr>
        <sz val="10"/>
        <color theme="1"/>
        <rFont val="Century Gothic"/>
        <family val="2"/>
        <scheme val="minor"/>
      </rPr>
      <t xml:space="preserve">, clique em </t>
    </r>
    <r>
      <rPr>
        <b/>
        <sz val="10"/>
        <color theme="1"/>
        <rFont val="Century Gothic"/>
        <family val="2"/>
        <scheme val="minor"/>
      </rPr>
      <t>Cores</t>
    </r>
    <r>
      <rPr>
        <sz val="10"/>
        <color theme="1"/>
        <rFont val="Century Gothic"/>
        <family val="2"/>
        <scheme val="minor"/>
      </rPr>
      <t xml:space="preserve"> e selecione outro conjunto de cores de tema na galeria de cores. Depois de fazer suas mudanças nas cores e qualquer outra mudança de tema, retorne à planilha </t>
    </r>
    <r>
      <rPr>
        <b/>
        <sz val="10"/>
        <color theme="1"/>
        <rFont val="Century Gothic"/>
        <family val="2"/>
        <scheme val="minor"/>
      </rPr>
      <t>Relatório de Presença do Aluno</t>
    </r>
    <r>
      <rPr>
        <sz val="10"/>
        <color theme="1"/>
        <rFont val="Century Gothic"/>
        <family val="2"/>
        <scheme val="minor"/>
      </rPr>
      <t xml:space="preserve"> e, na guia </t>
    </r>
    <r>
      <rPr>
        <b/>
        <sz val="10"/>
        <color theme="1"/>
        <rFont val="Century Gothic"/>
        <family val="2"/>
        <scheme val="minor"/>
      </rPr>
      <t>Revisar</t>
    </r>
    <r>
      <rPr>
        <sz val="10"/>
        <color theme="1"/>
        <rFont val="Century Gothic"/>
        <family val="2"/>
        <scheme val="minor"/>
      </rPr>
      <t xml:space="preserve">, no grupo </t>
    </r>
    <r>
      <rPr>
        <b/>
        <sz val="10"/>
        <color theme="1"/>
        <rFont val="Century Gothic"/>
        <family val="2"/>
        <scheme val="minor"/>
      </rPr>
      <t>Alterações</t>
    </r>
    <r>
      <rPr>
        <sz val="10"/>
        <color theme="1"/>
        <rFont val="Century Gothic"/>
        <family val="2"/>
        <scheme val="minor"/>
      </rPr>
      <t>, clique em</t>
    </r>
    <r>
      <rPr>
        <b/>
        <sz val="10"/>
        <color theme="1"/>
        <rFont val="Century Gothic"/>
        <family val="2"/>
        <scheme val="minor"/>
      </rPr>
      <t xml:space="preserve"> Proteger Planilha</t>
    </r>
    <r>
      <rPr>
        <sz val="10"/>
        <color theme="1"/>
        <rFont val="Century Gothic"/>
        <family val="2"/>
        <scheme val="minor"/>
      </rPr>
      <t xml:space="preserve"> e depois clique em </t>
    </r>
    <r>
      <rPr>
        <b/>
        <sz val="10"/>
        <color theme="1"/>
        <rFont val="Century Gothic"/>
        <family val="2"/>
        <scheme val="minor"/>
      </rPr>
      <t>OK.</t>
    </r>
  </si>
  <si>
    <r>
      <rPr>
        <b/>
        <sz val="10"/>
        <color theme="1"/>
        <rFont val="Century Gothic"/>
        <family val="2"/>
        <scheme val="minor"/>
      </rPr>
      <t>Dica:</t>
    </r>
    <r>
      <rPr>
        <sz val="10"/>
        <color theme="1"/>
        <rFont val="Century Gothic"/>
        <family val="2"/>
        <scheme val="minor"/>
      </rPr>
      <t xml:space="preserve"> Crie um conjunto de cores de tema personalizado que corresponda às cores da sua escola! Para fazer isso, na guia </t>
    </r>
    <r>
      <rPr>
        <b/>
        <sz val="10"/>
        <color theme="1"/>
        <rFont val="Century Gothic"/>
        <family val="2"/>
        <scheme val="minor"/>
      </rPr>
      <t>Layout de Página</t>
    </r>
    <r>
      <rPr>
        <sz val="10"/>
        <color theme="1"/>
        <rFont val="Century Gothic"/>
        <family val="2"/>
        <scheme val="minor"/>
      </rPr>
      <t xml:space="preserve">, no grupo </t>
    </r>
    <r>
      <rPr>
        <b/>
        <sz val="10"/>
        <color theme="1"/>
        <rFont val="Century Gothic"/>
        <family val="2"/>
        <scheme val="minor"/>
      </rPr>
      <t>Temas</t>
    </r>
    <r>
      <rPr>
        <sz val="10"/>
        <color theme="1"/>
        <rFont val="Century Gothic"/>
        <family val="2"/>
        <scheme val="minor"/>
      </rPr>
      <t xml:space="preserve">, clique em </t>
    </r>
    <r>
      <rPr>
        <b/>
        <sz val="10"/>
        <color theme="1"/>
        <rFont val="Century Gothic"/>
        <family val="2"/>
        <scheme val="minor"/>
      </rPr>
      <t>Cores</t>
    </r>
    <r>
      <rPr>
        <sz val="10"/>
        <color theme="1"/>
        <rFont val="Century Gothic"/>
        <family val="2"/>
        <scheme val="minor"/>
      </rPr>
      <t xml:space="preserve"> e, em seguida, próximo à parte inferior da galeria de cores, clique em </t>
    </r>
    <r>
      <rPr>
        <b/>
        <sz val="10"/>
        <color theme="1"/>
        <rFont val="Century Gothic"/>
        <family val="2"/>
        <scheme val="minor"/>
      </rPr>
      <t>Criar Novas Cores do Tema</t>
    </r>
    <r>
      <rPr>
        <sz val="10"/>
        <color theme="1"/>
        <rFont val="Century Gothic"/>
        <family val="2"/>
        <scheme val="minor"/>
      </rPr>
      <t xml:space="preserve">. Para saber mais sobre como criar um conjunto de cores personalizado, veja o seguinte tópico da Ajuda: </t>
    </r>
  </si>
  <si>
    <t>Manuel</t>
  </si>
  <si>
    <t>Oliveira</t>
  </si>
  <si>
    <t>Susana</t>
  </si>
  <si>
    <t>Jordão Moreno</t>
  </si>
  <si>
    <t>Carlos Grilo</t>
  </si>
  <si>
    <t>(21) 123 45235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</si>
</sst>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;0;"/>
    <numFmt numFmtId="165" formatCode="mm/dd/yy;@"/>
    <numFmt numFmtId="166" formatCode="[&lt;=9999999]###\-####;\(###\)\ ###\-####"/>
    <numFmt numFmtId="167" formatCode="0;0;;@"/>
    <numFmt numFmtId="168" formatCode="_)@"/>
  </numFmts>
  <fonts count="46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name val="Century Gothic"/>
      <family val="2"/>
    </font>
    <font>
      <b/>
      <sz val="12"/>
      <name val="Arial"/>
      <family val="2"/>
    </font>
    <font>
      <sz val="9"/>
      <name val="Century Gothic"/>
      <family val="2"/>
    </font>
    <font>
      <b/>
      <sz val="20"/>
      <name val="Century Gothic"/>
      <family val="1"/>
      <scheme val="major"/>
    </font>
    <font>
      <sz val="16"/>
      <name val="Century Gothic"/>
      <family val="1"/>
      <scheme val="major"/>
    </font>
    <font>
      <b/>
      <sz val="8"/>
      <color theme="1" tint="0.14996795556505021"/>
      <name val="Century Gothic"/>
      <family val="1"/>
      <scheme val="minor"/>
    </font>
    <font>
      <sz val="8"/>
      <name val="Century Gothic"/>
      <family val="1"/>
      <scheme val="minor"/>
    </font>
    <font>
      <b/>
      <sz val="8"/>
      <color theme="1" tint="0.14996795556505021"/>
      <name val="Century Gothic"/>
      <family val="2"/>
      <scheme val="minor"/>
    </font>
    <font>
      <sz val="8"/>
      <name val="Century Gothic"/>
      <family val="2"/>
      <scheme val="minor"/>
    </font>
    <font>
      <sz val="9"/>
      <name val="Century Gothic"/>
      <family val="1"/>
      <scheme val="major"/>
    </font>
    <font>
      <b/>
      <sz val="8"/>
      <color theme="0"/>
      <name val="Century Gothic"/>
      <family val="1"/>
      <scheme val="major"/>
    </font>
    <font>
      <sz val="9"/>
      <color theme="0"/>
      <name val="Century Gothic"/>
      <family val="1"/>
      <scheme val="major"/>
    </font>
    <font>
      <sz val="10"/>
      <color theme="1"/>
      <name val="Century Gothic"/>
      <family val="1"/>
      <scheme val="major"/>
    </font>
    <font>
      <b/>
      <sz val="9"/>
      <color theme="0"/>
      <name val="Century Gothic"/>
      <family val="1"/>
      <scheme val="major"/>
    </font>
    <font>
      <sz val="10"/>
      <name val="Century Gothic"/>
      <family val="2"/>
      <scheme val="minor"/>
    </font>
    <font>
      <b/>
      <sz val="12"/>
      <name val="Century Gothic"/>
      <family val="2"/>
      <scheme val="minor"/>
    </font>
    <font>
      <sz val="10"/>
      <name val="Century Gothic"/>
      <family val="1"/>
      <scheme val="major"/>
    </font>
    <font>
      <b/>
      <sz val="22"/>
      <color theme="0"/>
      <name val="Century Gothic"/>
      <family val="2"/>
      <scheme val="major"/>
    </font>
    <font>
      <b/>
      <sz val="16"/>
      <color theme="0"/>
      <name val="Century Gothic"/>
      <family val="2"/>
      <scheme val="minor"/>
    </font>
    <font>
      <sz val="9"/>
      <name val="Century Gothic"/>
      <family val="2"/>
      <scheme val="minor"/>
    </font>
    <font>
      <b/>
      <sz val="10"/>
      <color theme="1"/>
      <name val="Century Gothic"/>
      <family val="2"/>
      <scheme val="minor"/>
    </font>
    <font>
      <sz val="10"/>
      <color theme="1"/>
      <name val="Century Gothic"/>
      <family val="2"/>
      <scheme val="major"/>
    </font>
    <font>
      <b/>
      <sz val="11"/>
      <color indexed="9"/>
      <name val="Century Gothic"/>
      <family val="1"/>
      <scheme val="major"/>
    </font>
    <font>
      <sz val="9"/>
      <color theme="1"/>
      <name val="Century Gothic"/>
      <family val="2"/>
      <scheme val="minor"/>
    </font>
    <font>
      <b/>
      <sz val="18"/>
      <color theme="0"/>
      <name val="Century Gothic"/>
      <family val="2"/>
      <scheme val="minor"/>
    </font>
    <font>
      <b/>
      <sz val="16"/>
      <color theme="0"/>
      <name val="Century Gothic"/>
      <family val="1"/>
      <scheme val="major"/>
    </font>
    <font>
      <sz val="8"/>
      <color theme="1"/>
      <name val="Century Gothic"/>
      <family val="2"/>
      <scheme val="minor"/>
    </font>
    <font>
      <b/>
      <sz val="16"/>
      <color theme="0"/>
      <name val="Century Gothic"/>
      <family val="2"/>
      <scheme val="major"/>
    </font>
    <font>
      <b/>
      <i/>
      <sz val="14"/>
      <color theme="0"/>
      <name val="Century Gothic"/>
      <family val="2"/>
      <scheme val="major"/>
    </font>
    <font>
      <sz val="12"/>
      <color theme="3"/>
      <name val="Century Gothic"/>
      <family val="2"/>
      <scheme val="minor"/>
    </font>
    <font>
      <sz val="10"/>
      <color theme="4" tint="-0.499984740745262"/>
      <name val="Century Gothic"/>
      <family val="2"/>
      <scheme val="minor"/>
    </font>
    <font>
      <u/>
      <sz val="10"/>
      <color theme="10"/>
      <name val="Arial"/>
      <family val="2"/>
    </font>
    <font>
      <b/>
      <sz val="10"/>
      <color theme="4" tint="-0.499984740745262"/>
      <name val="Century Gothic"/>
      <family val="2"/>
      <scheme val="minor"/>
    </font>
    <font>
      <b/>
      <i/>
      <sz val="10"/>
      <color theme="4" tint="-0.499984740745262"/>
      <name val="Century Gothic"/>
      <family val="2"/>
      <scheme val="minor"/>
    </font>
    <font>
      <b/>
      <sz val="9"/>
      <color theme="4" tint="-0.499984740745262"/>
      <name val="Century Gothic"/>
      <family val="1"/>
      <scheme val="major"/>
    </font>
    <font>
      <sz val="9"/>
      <name val="Century Gothic"/>
      <family val="1"/>
      <scheme val="minor"/>
    </font>
    <font>
      <b/>
      <sz val="9"/>
      <color theme="1" tint="0.14996795556505021"/>
      <name val="Century Gothic"/>
      <family val="1"/>
      <scheme val="major"/>
    </font>
    <font>
      <sz val="9"/>
      <color theme="3" tint="-0.249977111117893"/>
      <name val="Century Gothic"/>
      <family val="1"/>
      <scheme val="major"/>
    </font>
    <font>
      <b/>
      <sz val="9"/>
      <color theme="3" tint="-0.249977111117893"/>
      <name val="Century Gothic"/>
      <family val="1"/>
      <scheme val="major"/>
    </font>
    <font>
      <sz val="9"/>
      <color theme="3" tint="-0.249977111117893"/>
      <name val="Century Gothic"/>
      <family val="1"/>
      <scheme val="minor"/>
    </font>
    <font>
      <sz val="9"/>
      <color theme="1"/>
      <name val="Century Gothic"/>
      <family val="1"/>
      <scheme val="minor"/>
    </font>
    <font>
      <b/>
      <sz val="9"/>
      <color theme="1" tint="0.14996795556505021"/>
      <name val="Century Gothic"/>
      <family val="1"/>
      <scheme val="minor"/>
    </font>
    <font>
      <b/>
      <sz val="8"/>
      <name val="Century Gothic"/>
      <family val="2"/>
      <scheme val="major"/>
    </font>
    <font>
      <sz val="10"/>
      <color theme="1"/>
      <name val="Century Gothic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4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medium">
        <color theme="4" tint="-0.499984740745262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/>
      <right style="thin">
        <color theme="0" tint="-0.34998626667073579"/>
      </right>
      <top/>
      <bottom style="medium">
        <color theme="4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4" tint="-0.499984740745262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</borders>
  <cellStyleXfs count="13">
    <xf numFmtId="0" fontId="0" fillId="0" borderId="0"/>
    <xf numFmtId="0" fontId="19" fillId="0" borderId="0" applyNumberFormat="0" applyFill="0" applyBorder="0" applyAlignment="0" applyProtection="0"/>
    <xf numFmtId="0" fontId="7" fillId="3" borderId="2">
      <alignment vertical="center"/>
    </xf>
    <xf numFmtId="0" fontId="8" fillId="0" borderId="2">
      <alignment horizontal="left" vertical="center" wrapText="1"/>
      <protection locked="0"/>
    </xf>
    <xf numFmtId="165" fontId="8" fillId="0" borderId="2">
      <alignment horizontal="left" vertical="center" wrapText="1"/>
      <protection locked="0"/>
    </xf>
    <xf numFmtId="166" fontId="8" fillId="0" borderId="2">
      <alignment horizontal="left" vertical="center" wrapText="1"/>
      <protection locked="0"/>
    </xf>
    <xf numFmtId="0" fontId="9" fillId="4" borderId="3" applyBorder="0">
      <alignment horizontal="center" vertical="center"/>
    </xf>
    <xf numFmtId="1" fontId="9" fillId="4" borderId="2">
      <alignment horizontal="center" vertical="center"/>
    </xf>
    <xf numFmtId="0" fontId="10" fillId="5" borderId="2">
      <alignment horizontal="center" vertical="center"/>
      <protection locked="0"/>
    </xf>
    <xf numFmtId="0" fontId="10" fillId="6" borderId="2">
      <alignment horizontal="center" vertical="center"/>
    </xf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48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/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indent="2"/>
    </xf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left"/>
    </xf>
    <xf numFmtId="0" fontId="0" fillId="0" borderId="0" xfId="0" applyProtection="1"/>
    <xf numFmtId="166" fontId="0" fillId="0" borderId="0" xfId="0" applyNumberFormat="1" applyAlignment="1">
      <alignment horizontal="center"/>
    </xf>
    <xf numFmtId="164" fontId="0" fillId="0" borderId="0" xfId="0" applyNumberFormat="1" applyFont="1" applyFill="1" applyBorder="1" applyAlignment="1">
      <alignment vertical="center" wrapText="1"/>
    </xf>
    <xf numFmtId="167" fontId="0" fillId="0" borderId="0" xfId="0" applyNumberFormat="1"/>
    <xf numFmtId="167" fontId="0" fillId="0" borderId="0" xfId="0" applyNumberFormat="1" applyFont="1" applyFill="1" applyBorder="1" applyAlignment="1">
      <alignment vertical="center" wrapText="1"/>
    </xf>
    <xf numFmtId="164" fontId="0" fillId="0" borderId="0" xfId="0" applyNumberFormat="1" applyFont="1" applyFill="1" applyBorder="1" applyAlignment="1" applyProtection="1">
      <alignment horizontal="center" vertical="center"/>
      <protection locked="0"/>
    </xf>
    <xf numFmtId="167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4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6" fillId="0" borderId="0" xfId="0" applyFont="1" applyFill="1" applyAlignment="1">
      <alignment horizontal="center" vertical="center"/>
    </xf>
    <xf numFmtId="0" fontId="18" fillId="10" borderId="0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8" fillId="9" borderId="0" xfId="0" applyFont="1" applyFill="1" applyBorder="1" applyAlignment="1">
      <alignment horizontal="center"/>
    </xf>
    <xf numFmtId="0" fontId="18" fillId="8" borderId="0" xfId="0" applyFont="1" applyFill="1" applyBorder="1" applyAlignment="1">
      <alignment horizontal="center"/>
    </xf>
    <xf numFmtId="49" fontId="19" fillId="7" borderId="0" xfId="1" applyNumberFormat="1" applyFill="1" applyBorder="1" applyAlignment="1">
      <alignment vertical="center"/>
    </xf>
    <xf numFmtId="0" fontId="2" fillId="7" borderId="0" xfId="0" applyFont="1" applyFill="1" applyAlignment="1">
      <alignment vertical="center"/>
    </xf>
    <xf numFmtId="0" fontId="0" fillId="7" borderId="0" xfId="0" applyFill="1" applyBorder="1" applyAlignment="1">
      <alignment vertical="center"/>
    </xf>
    <xf numFmtId="0" fontId="3" fillId="7" borderId="0" xfId="0" applyFont="1" applyFill="1" applyBorder="1" applyAlignment="1">
      <alignment vertical="center"/>
    </xf>
    <xf numFmtId="0" fontId="2" fillId="7" borderId="0" xfId="0" applyFont="1" applyFill="1" applyAlignment="1">
      <alignment horizontal="center" vertical="center"/>
    </xf>
    <xf numFmtId="0" fontId="13" fillId="7" borderId="1" xfId="0" applyFont="1" applyFill="1" applyBorder="1" applyAlignment="1">
      <alignment horizontal="center"/>
    </xf>
    <xf numFmtId="0" fontId="0" fillId="7" borderId="0" xfId="0" applyFill="1"/>
    <xf numFmtId="0" fontId="21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Protection="1">
      <protection locked="0"/>
    </xf>
    <xf numFmtId="164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 vertical="center"/>
    </xf>
    <xf numFmtId="0" fontId="25" fillId="11" borderId="0" xfId="0" applyFont="1" applyFill="1" applyBorder="1" applyAlignment="1">
      <alignment horizontal="center" vertical="center"/>
    </xf>
    <xf numFmtId="0" fontId="25" fillId="9" borderId="0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25" fillId="10" borderId="0" xfId="0" applyFont="1" applyFill="1" applyBorder="1" applyAlignment="1">
      <alignment horizontal="center" vertical="center"/>
    </xf>
    <xf numFmtId="0" fontId="25" fillId="12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6" fillId="7" borderId="0" xfId="0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11" fillId="7" borderId="7" xfId="0" applyFont="1" applyFill="1" applyBorder="1"/>
    <xf numFmtId="17" fontId="24" fillId="7" borderId="4" xfId="0" applyNumberFormat="1" applyFont="1" applyFill="1" applyBorder="1" applyAlignment="1">
      <alignment horizontal="left" vertical="center"/>
    </xf>
    <xf numFmtId="0" fontId="5" fillId="7" borderId="0" xfId="0" applyFont="1" applyFill="1" applyBorder="1" applyAlignment="1" applyProtection="1">
      <alignment vertical="center"/>
    </xf>
    <xf numFmtId="0" fontId="6" fillId="7" borderId="0" xfId="0" applyFont="1" applyFill="1" applyBorder="1" applyAlignment="1" applyProtection="1">
      <alignment horizontal="right" vertical="center"/>
    </xf>
    <xf numFmtId="0" fontId="0" fillId="7" borderId="0" xfId="0" applyFill="1" applyProtection="1"/>
    <xf numFmtId="0" fontId="19" fillId="7" borderId="0" xfId="1" applyFill="1" applyBorder="1" applyAlignment="1" applyProtection="1">
      <alignment vertical="center"/>
    </xf>
    <xf numFmtId="167" fontId="8" fillId="0" borderId="0" xfId="3" applyNumberFormat="1" applyBorder="1" applyAlignment="1" applyProtection="1">
      <alignment horizontal="left" vertical="center" wrapText="1" indent="1"/>
    </xf>
    <xf numFmtId="166" fontId="8" fillId="0" borderId="0" xfId="5" applyBorder="1" applyAlignment="1" applyProtection="1">
      <alignment horizontal="left" vertical="center" wrapText="1" indent="1"/>
    </xf>
    <xf numFmtId="0" fontId="25" fillId="0" borderId="0" xfId="0" applyFont="1" applyAlignment="1">
      <alignment horizontal="left" vertical="center"/>
    </xf>
    <xf numFmtId="0" fontId="0" fillId="8" borderId="0" xfId="0" applyFont="1" applyFill="1" applyBorder="1" applyAlignment="1">
      <alignment horizontal="center"/>
    </xf>
    <xf numFmtId="0" fontId="0" fillId="9" borderId="0" xfId="0" applyFont="1" applyFill="1" applyBorder="1" applyAlignment="1">
      <alignment horizontal="center"/>
    </xf>
    <xf numFmtId="0" fontId="0" fillId="10" borderId="0" xfId="0" applyFont="1" applyFill="1" applyBorder="1" applyAlignment="1">
      <alignment horizontal="center"/>
    </xf>
    <xf numFmtId="0" fontId="18" fillId="11" borderId="0" xfId="0" applyFont="1" applyFill="1" applyBorder="1" applyAlignment="1">
      <alignment horizontal="center"/>
    </xf>
    <xf numFmtId="0" fontId="28" fillId="0" borderId="0" xfId="0" applyFont="1"/>
    <xf numFmtId="0" fontId="28" fillId="11" borderId="0" xfId="0" applyFont="1" applyFill="1" applyAlignment="1">
      <alignment horizontal="center"/>
    </xf>
    <xf numFmtId="0" fontId="28" fillId="9" borderId="0" xfId="0" applyFont="1" applyFill="1" applyAlignment="1">
      <alignment horizontal="center"/>
    </xf>
    <xf numFmtId="0" fontId="28" fillId="8" borderId="0" xfId="0" applyFont="1" applyFill="1" applyAlignment="1">
      <alignment horizontal="center"/>
    </xf>
    <xf numFmtId="0" fontId="28" fillId="0" borderId="0" xfId="0" applyFont="1" applyProtection="1"/>
    <xf numFmtId="0" fontId="28" fillId="10" borderId="0" xfId="0" applyFont="1" applyFill="1" applyAlignment="1">
      <alignment horizontal="center"/>
    </xf>
    <xf numFmtId="0" fontId="28" fillId="12" borderId="0" xfId="0" applyFont="1" applyFill="1" applyAlignment="1">
      <alignment horizontal="center"/>
    </xf>
    <xf numFmtId="167" fontId="10" fillId="0" borderId="0" xfId="3" applyNumberFormat="1" applyFont="1" applyBorder="1" applyAlignment="1" applyProtection="1">
      <alignment horizontal="left"/>
    </xf>
    <xf numFmtId="167" fontId="10" fillId="0" borderId="0" xfId="3" applyNumberFormat="1" applyFont="1" applyBorder="1" applyAlignment="1" applyProtection="1">
      <alignment horizontal="left" vertical="center" wrapText="1" indent="1"/>
    </xf>
    <xf numFmtId="166" fontId="10" fillId="0" borderId="0" xfId="5" applyFont="1" applyBorder="1" applyAlignment="1" applyProtection="1">
      <alignment horizontal="left" vertical="center" wrapText="1" indent="1"/>
    </xf>
    <xf numFmtId="167" fontId="29" fillId="7" borderId="0" xfId="1" applyNumberFormat="1" applyFont="1" applyFill="1" applyBorder="1" applyAlignment="1" applyProtection="1">
      <alignment vertical="center"/>
    </xf>
    <xf numFmtId="0" fontId="30" fillId="7" borderId="0" xfId="1" applyFont="1" applyFill="1" applyBorder="1" applyAlignment="1" applyProtection="1">
      <alignment horizontal="left" vertical="center" indent="1"/>
    </xf>
    <xf numFmtId="0" fontId="1" fillId="7" borderId="0" xfId="0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9" fillId="7" borderId="0" xfId="1" applyFill="1" applyAlignment="1">
      <alignment horizontal="left" vertical="center" indent="1"/>
    </xf>
    <xf numFmtId="0" fontId="31" fillId="0" borderId="0" xfId="1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9" fontId="0" fillId="11" borderId="0" xfId="0" applyNumberFormat="1" applyFont="1" applyFill="1" applyBorder="1" applyAlignment="1">
      <alignment horizontal="center"/>
    </xf>
    <xf numFmtId="0" fontId="0" fillId="0" borderId="0" xfId="0" quotePrefix="1" applyAlignment="1">
      <alignment vertical="top"/>
    </xf>
    <xf numFmtId="0" fontId="0" fillId="0" borderId="0" xfId="0" applyFill="1"/>
    <xf numFmtId="0" fontId="0" fillId="0" borderId="0" xfId="0" applyAlignment="1">
      <alignment vertical="center" wrapText="1"/>
    </xf>
    <xf numFmtId="0" fontId="31" fillId="0" borderId="0" xfId="11" applyAlignment="1">
      <alignment vertical="top"/>
    </xf>
    <xf numFmtId="0" fontId="19" fillId="7" borderId="0" xfId="1" applyFont="1" applyFill="1" applyAlignment="1">
      <alignment horizontal="left" vertical="center" indent="1"/>
    </xf>
    <xf numFmtId="0" fontId="0" fillId="0" borderId="0" xfId="0" applyAlignment="1">
      <alignment wrapText="1"/>
    </xf>
    <xf numFmtId="168" fontId="36" fillId="2" borderId="9" xfId="2" applyNumberFormat="1" applyFont="1" applyFill="1" applyBorder="1" applyAlignment="1" applyProtection="1">
      <alignment vertical="center"/>
    </xf>
    <xf numFmtId="168" fontId="36" fillId="2" borderId="10" xfId="2" applyNumberFormat="1" applyFont="1" applyFill="1" applyBorder="1" applyAlignment="1" applyProtection="1">
      <alignment vertical="center"/>
    </xf>
    <xf numFmtId="0" fontId="37" fillId="0" borderId="8" xfId="3" applyFont="1" applyBorder="1" applyAlignment="1" applyProtection="1">
      <alignment horizontal="center" vertical="center" wrapText="1"/>
      <protection locked="0"/>
    </xf>
    <xf numFmtId="0" fontId="39" fillId="2" borderId="12" xfId="0" applyFont="1" applyFill="1" applyBorder="1" applyAlignment="1" applyProtection="1">
      <alignment horizontal="center" vertical="center"/>
    </xf>
    <xf numFmtId="164" fontId="41" fillId="0" borderId="8" xfId="8" applyNumberFormat="1" applyFont="1" applyFill="1" applyBorder="1" applyProtection="1">
      <alignment horizontal="center" vertical="center"/>
    </xf>
    <xf numFmtId="164" fontId="39" fillId="2" borderId="8" xfId="0" applyNumberFormat="1" applyFont="1" applyFill="1" applyBorder="1" applyAlignment="1" applyProtection="1">
      <alignment horizontal="center" vertical="center"/>
    </xf>
    <xf numFmtId="0" fontId="42" fillId="0" borderId="0" xfId="0" applyFont="1" applyProtection="1"/>
    <xf numFmtId="0" fontId="37" fillId="0" borderId="0" xfId="0" applyFont="1" applyFill="1" applyBorder="1" applyProtection="1"/>
    <xf numFmtId="164" fontId="40" fillId="0" borderId="8" xfId="7" applyNumberFormat="1" applyFont="1" applyFill="1" applyBorder="1" applyProtection="1">
      <alignment horizontal="center" vertical="center"/>
    </xf>
    <xf numFmtId="0" fontId="36" fillId="2" borderId="8" xfId="2" applyNumberFormat="1" applyFont="1" applyFill="1" applyBorder="1" applyAlignment="1" applyProtection="1">
      <alignment vertical="center"/>
    </xf>
    <xf numFmtId="0" fontId="44" fillId="11" borderId="13" xfId="0" applyFont="1" applyFill="1" applyBorder="1" applyAlignment="1" applyProtection="1">
      <alignment horizontal="center" vertical="center"/>
    </xf>
    <xf numFmtId="0" fontId="44" fillId="9" borderId="14" xfId="0" applyFont="1" applyFill="1" applyBorder="1" applyAlignment="1" applyProtection="1">
      <alignment horizontal="center" vertical="center"/>
    </xf>
    <xf numFmtId="0" fontId="44" fillId="8" borderId="14" xfId="0" applyFont="1" applyFill="1" applyBorder="1" applyAlignment="1" applyProtection="1">
      <alignment horizontal="center" vertical="center"/>
    </xf>
    <xf numFmtId="0" fontId="44" fillId="10" borderId="14" xfId="0" applyFont="1" applyFill="1" applyBorder="1" applyAlignment="1" applyProtection="1">
      <alignment horizontal="center" vertical="center"/>
    </xf>
    <xf numFmtId="0" fontId="19" fillId="7" borderId="0" xfId="1" applyNumberForma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/>
    </xf>
    <xf numFmtId="164" fontId="45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33" fillId="0" borderId="0" xfId="12" quotePrefix="1" applyAlignment="1">
      <alignment vertical="top" wrapText="1"/>
    </xf>
    <xf numFmtId="0" fontId="15" fillId="7" borderId="4" xfId="0" applyFont="1" applyFill="1" applyBorder="1" applyAlignment="1">
      <alignment horizontal="center"/>
    </xf>
    <xf numFmtId="0" fontId="15" fillId="7" borderId="5" xfId="0" applyFont="1" applyFill="1" applyBorder="1" applyAlignment="1">
      <alignment horizontal="center"/>
    </xf>
    <xf numFmtId="0" fontId="15" fillId="7" borderId="6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168" fontId="36" fillId="2" borderId="8" xfId="2" applyNumberFormat="1" applyFont="1" applyFill="1" applyBorder="1" applyProtection="1">
      <alignment vertical="center"/>
    </xf>
    <xf numFmtId="167" fontId="37" fillId="0" borderId="8" xfId="3" applyNumberFormat="1" applyFont="1" applyBorder="1" applyAlignment="1" applyProtection="1">
      <alignment horizontal="left" vertical="center" wrapText="1" indent="1"/>
    </xf>
    <xf numFmtId="166" fontId="37" fillId="0" borderId="8" xfId="5" applyFont="1" applyBorder="1" applyAlignment="1" applyProtection="1">
      <alignment horizontal="left" vertical="center" wrapText="1" indent="1"/>
    </xf>
    <xf numFmtId="167" fontId="37" fillId="0" borderId="8" xfId="3" applyNumberFormat="1" applyFont="1" applyBorder="1" applyAlignment="1" applyProtection="1">
      <alignment horizontal="center" vertical="center" wrapText="1"/>
    </xf>
    <xf numFmtId="14" fontId="37" fillId="0" borderId="8" xfId="4" applyNumberFormat="1" applyFont="1" applyBorder="1" applyAlignment="1" applyProtection="1">
      <alignment horizontal="center" vertical="center" wrapText="1"/>
    </xf>
    <xf numFmtId="0" fontId="37" fillId="0" borderId="8" xfId="3" applyFont="1" applyBorder="1" applyAlignment="1" applyProtection="1">
      <alignment horizontal="left" vertical="center" wrapText="1" indent="1"/>
      <protection locked="0"/>
    </xf>
    <xf numFmtId="168" fontId="36" fillId="2" borderId="8" xfId="2" applyNumberFormat="1" applyFont="1" applyFill="1" applyBorder="1" applyAlignment="1" applyProtection="1">
      <alignment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36" fillId="2" borderId="8" xfId="2" applyNumberFormat="1" applyFont="1" applyFill="1" applyBorder="1" applyProtection="1">
      <alignment vertical="center"/>
    </xf>
    <xf numFmtId="0" fontId="37" fillId="0" borderId="8" xfId="3" applyFont="1" applyBorder="1" applyAlignment="1" applyProtection="1">
      <alignment horizontal="center" vertical="center" wrapText="1"/>
      <protection locked="0"/>
    </xf>
    <xf numFmtId="0" fontId="12" fillId="7" borderId="0" xfId="0" applyFont="1" applyFill="1" applyBorder="1" applyAlignment="1" applyProtection="1">
      <alignment horizontal="center" vertical="center"/>
    </xf>
    <xf numFmtId="0" fontId="38" fillId="2" borderId="12" xfId="6" applyFont="1" applyFill="1" applyBorder="1" applyProtection="1">
      <alignment horizontal="center" vertical="center"/>
    </xf>
    <xf numFmtId="0" fontId="38" fillId="2" borderId="8" xfId="6" applyFont="1" applyFill="1" applyBorder="1" applyProtection="1">
      <alignment horizontal="center" vertical="center"/>
    </xf>
    <xf numFmtId="164" fontId="40" fillId="0" borderId="12" xfId="7" applyNumberFormat="1" applyFont="1" applyFill="1" applyBorder="1" applyProtection="1">
      <alignment horizontal="center" vertical="center"/>
    </xf>
    <xf numFmtId="164" fontId="40" fillId="0" borderId="8" xfId="7" applyNumberFormat="1" applyFont="1" applyFill="1" applyBorder="1" applyProtection="1">
      <alignment horizontal="center" vertical="center"/>
    </xf>
    <xf numFmtId="164" fontId="40" fillId="0" borderId="15" xfId="7" applyNumberFormat="1" applyFont="1" applyFill="1" applyBorder="1" applyProtection="1">
      <alignment horizontal="center" vertical="center"/>
    </xf>
    <xf numFmtId="0" fontId="43" fillId="0" borderId="0" xfId="0" applyFont="1" applyFill="1" applyBorder="1" applyAlignment="1" applyProtection="1">
      <alignment horizontal="right" vertical="center"/>
    </xf>
    <xf numFmtId="0" fontId="38" fillId="2" borderId="15" xfId="6" applyFont="1" applyFill="1" applyBorder="1" applyProtection="1">
      <alignment horizontal="center" vertical="center"/>
    </xf>
  </cellXfs>
  <cellStyles count="13">
    <cellStyle name="Attendance Totals" xfId="7"/>
    <cellStyle name="Birthdate" xfId="4"/>
    <cellStyle name="Heading 1" xfId="10" builtinId="16" customBuiltin="1"/>
    <cellStyle name="Heading 2" xfId="11" builtinId="17" customBuiltin="1"/>
    <cellStyle name="Hyperlink" xfId="12" builtinId="8"/>
    <cellStyle name="Month" xfId="6"/>
    <cellStyle name="Normal" xfId="0" builtinId="0" customBuiltin="1"/>
    <cellStyle name="Phone Number" xfId="5"/>
    <cellStyle name="Student Information" xfId="2"/>
    <cellStyle name="Student Information - user entered" xfId="3"/>
    <cellStyle name="Title" xfId="1" builtinId="15" customBuiltin="1"/>
    <cellStyle name="Weekday" xfId="8"/>
    <cellStyle name="Weekend" xfId="9"/>
  </cellStyles>
  <dxfs count="997">
    <dxf>
      <font>
        <color theme="4" tint="0.79998168889431442"/>
      </font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color theme="4" tint="0.79998168889431442"/>
      </font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/>
        </patternFill>
      </fill>
    </dxf>
    <dxf>
      <font>
        <color theme="4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/>
        </patternFill>
      </fill>
    </dxf>
    <dxf>
      <numFmt numFmtId="0" formatCode="General"/>
      <alignment horizontal="left" vertical="bottom" textRotation="0" wrapText="0" indent="0" justifyLastLine="0" shrinkToFit="0" readingOrder="0"/>
    </dxf>
    <dxf>
      <numFmt numFmtId="166" formatCode="[&lt;=9999999]###\-####;\(###\)\ ###\-####"/>
      <alignment horizontal="center" vertical="bottom" textRotation="0" wrapText="0" indent="0" justifyLastLine="0" shrinkToFit="0" readingOrder="0"/>
    </dxf>
    <dxf>
      <numFmt numFmtId="166" formatCode="[&lt;=9999999]###\-####;\(###\)\ ###\-####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6" formatCode="[&lt;=9999999]###\-####;\(###\)\ ###\-####"/>
      <alignment horizontal="center" vertical="bottom" textRotation="0" wrapText="0" indent="0" justifyLastLine="0" shrinkToFit="0" readingOrder="0"/>
    </dxf>
    <dxf>
      <numFmt numFmtId="166" formatCode="[&lt;=9999999]###\-####;\(###\)\ ###\-####"/>
      <alignment horizontal="center" vertical="bottom" textRotation="0" wrapText="0" indent="0" justifyLastLine="0" shrinkToFit="0" readingOrder="0"/>
    </dxf>
    <dxf>
      <numFmt numFmtId="166" formatCode="[&lt;=9999999]###\-####;\(###\)\ ###\-####"/>
      <alignment horizontal="left" vertical="bottom" textRotation="0" wrapText="0" indent="0" justifyLastLine="0" shrinkToFit="0" readingOrder="0"/>
    </dxf>
    <dxf>
      <numFmt numFmtId="166" formatCode="[&lt;=9999999]###\-####;\(###\)\ ###\-####"/>
      <alignment horizontal="left" vertical="bottom" textRotation="0" wrapText="0" indent="0" justifyLastLine="0" shrinkToFit="0" readingOrder="0"/>
    </dxf>
    <dxf>
      <numFmt numFmtId="166" formatCode="[&lt;=9999999]###\-####;\(###\)\ ###\-####"/>
      <alignment horizontal="center" vertical="bottom" textRotation="0" wrapText="0" indent="0" justifyLastLine="0" shrinkToFit="0" readingOrder="0"/>
    </dxf>
    <dxf>
      <numFmt numFmtId="166" formatCode="[&lt;=9999999]###\-####;\(###\)\ ###\-####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</font>
      <border>
        <top style="double">
          <color theme="1"/>
        </top>
      </border>
    </dxf>
    <dxf>
      <font>
        <b/>
        <i val="0"/>
        <color theme="0"/>
      </font>
      <fill>
        <patternFill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4" tint="-0.499984740745262"/>
        </top>
        <bottom style="medium">
          <color theme="4" tint="-0.499984740745262"/>
        </bottom>
        <vertical style="thin">
          <color theme="3"/>
        </vertical>
        <horizontal style="thin">
          <color theme="3"/>
        </horizontal>
      </border>
    </dxf>
    <dxf>
      <font>
        <color theme="3" tint="-0.24994659260841701"/>
      </font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  <vertical style="thin">
          <color theme="3" tint="0.59996337778862885"/>
        </vertical>
        <horizontal style="thin">
          <color theme="3" tint="0.59996337778862885"/>
        </horizontal>
      </border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</font>
      <border>
        <top style="double">
          <color theme="1"/>
        </top>
      </border>
    </dxf>
    <dxf>
      <font>
        <color theme="1"/>
      </font>
      <fill>
        <patternFill>
          <bgColor theme="4" tint="0.79998168889431442"/>
        </patternFill>
      </fill>
      <border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color theme="1"/>
      </font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  <vertical style="thin">
          <color theme="3" tint="0.59996337778862885"/>
        </vertical>
        <horizontal style="thin">
          <color theme="3" tint="0.59996337778862885"/>
        </horizontal>
      </border>
    </dxf>
  </dxfs>
  <tableStyles count="2" defaultTableStyle="TableStyleMedium2" defaultPivotStyle="PivotStyleLight16">
    <tableStyle name="Employee Absence Table" pivot="0" count="5">
      <tableStyleElement type="wholeTable" dxfId="996"/>
      <tableStyleElement type="headerRow" dxfId="995"/>
      <tableStyleElement type="totalRow" dxfId="994"/>
      <tableStyleElement type="firstRowStripe" dxfId="993"/>
      <tableStyleElement type="secondRowStripe" dxfId="992"/>
    </tableStyle>
    <tableStyle name="Student List" pivot="0" count="5">
      <tableStyleElement type="wholeTable" dxfId="991"/>
      <tableStyleElement type="headerRow" dxfId="990"/>
      <tableStyleElement type="totalRow" dxfId="989"/>
      <tableStyleElement type="firstRowStripe" dxfId="988"/>
      <tableStyleElement type="secondRowStripe" dxfId="987"/>
    </tableStyle>
  </tableStyles>
  <colors>
    <mruColors>
      <color rgb="FFF0D2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Spin" dx="16" fmlaLink="AnoCalendário" max="3000" min="2010" page="10" val="2012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38100</xdr:colOff>
          <xdr:row>0</xdr:row>
          <xdr:rowOff>104775</xdr:rowOff>
        </xdr:from>
        <xdr:to>
          <xdr:col>39</xdr:col>
          <xdr:colOff>209550</xdr:colOff>
          <xdr:row>0</xdr:row>
          <xdr:rowOff>419100</xdr:rowOff>
        </xdr:to>
        <xdr:sp macro="" textlink="">
          <xdr:nvSpPr>
            <xdr:cNvPr id="2049" name="Controle Giratório 1" descr="Calendar Year Spinner. Click the spinner to change the school calendar year or type the year in cell AM.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adeAlunos" displayName="ListadeAlunos" ref="B3:S8" totalsRowShown="0" headerRowDxfId="986">
  <autoFilter ref="B3:S8"/>
  <tableColumns count="18">
    <tableColumn id="1" name="ID do Aluno" dataDxfId="985"/>
    <tableColumn id="2" name="Nome do Aluno"/>
    <tableColumn id="3" name="Sobrenome do Aluno" dataDxfId="984"/>
    <tableColumn id="5" name="Sexo" dataDxfId="983"/>
    <tableColumn id="6" name="Data de Nascimento" dataDxfId="982"/>
    <tableColumn id="7" name="Pais ou Tutor 1" dataDxfId="981"/>
    <tableColumn id="10" name="Relação - Pais/Tutor 1" dataDxfId="980"/>
    <tableColumn id="9" name="Pais/Tutor 1 - Telefone Comercial" dataDxfId="979"/>
    <tableColumn id="8" name="Pais/Tutor 1 - Telefone Residencial" dataDxfId="978"/>
    <tableColumn id="18" name="Pais/Tutor 2" dataDxfId="977"/>
    <tableColumn id="15" name="Relação - Pais/Tutor 2" dataDxfId="976"/>
    <tableColumn id="16" name="Pais/Tutor 2 - Telefone Comercial" dataDxfId="975"/>
    <tableColumn id="17" name="Pais/Tutor 2 - Telefone Residencial" dataDxfId="974"/>
    <tableColumn id="13" name="Contato de Emergência" dataDxfId="973"/>
    <tableColumn id="12" name="Relação com o Contato de Emergência" dataDxfId="972"/>
    <tableColumn id="11" name="Número Comercial do Contato de Emergência" dataDxfId="971"/>
    <tableColumn id="14" name="Número Residencial do Contato de Emergência" dataDxfId="970"/>
    <tableColumn id="4" name="Nome Completo do Aluno" dataDxfId="969"/>
  </tableColumns>
  <tableStyleInfo name="Student List" showFirstColumn="0" showLastColumn="0" showRowStripes="1" showColumnStripes="0"/>
  <extLst>
    <ext xmlns:x14="http://schemas.microsoft.com/office/spreadsheetml/2009/9/main" uri="{504A1905-F514-4f6f-8877-14C23A59335A}">
      <x14:table altText="Lista de Alunos" altTextSummary="Fornece nomes de alunos, informações de contato de tutores e informações de contato de emergência para cada aluno."/>
    </ext>
  </extLst>
</table>
</file>

<file path=xl/tables/table10.xml><?xml version="1.0" encoding="utf-8"?>
<table xmlns="http://schemas.openxmlformats.org/spreadsheetml/2006/main" id="9" name="PresençaemAbril" displayName="PresençaemAbril" ref="B6:AM12" totalsRowCount="1" headerRowDxfId="332" totalsRowDxfId="331">
  <tableColumns count="38">
    <tableColumn id="38" name="ID do Aluno" dataDxfId="330" totalsRowDxfId="329"/>
    <tableColumn id="1" name="Nome do Aluno" totalsRowLabel="Total de dias de ausência" dataDxfId="328" totalsRowDxfId="327"/>
    <tableColumn id="2" name="1" totalsRowFunction="custom" dataDxfId="326" totalsRowDxfId="325">
      <totalsRowFormula>COUNTIF(PresençaemAbril[1],"U")+COUNTIF(PresençaemAbril[1],"E")</totalsRowFormula>
    </tableColumn>
    <tableColumn id="3" name="2" totalsRowFunction="custom" dataDxfId="324" totalsRowDxfId="323">
      <totalsRowFormula>COUNTIF(PresençaemAbril[2],"U")+COUNTIF(PresençaemAbril[2],"E")</totalsRowFormula>
    </tableColumn>
    <tableColumn id="4" name="3" totalsRowFunction="custom" dataDxfId="322" totalsRowDxfId="321">
      <totalsRowFormula>COUNTIF(PresençaemAbril[3],"U")+COUNTIF(PresençaemAbril[3],"E")</totalsRowFormula>
    </tableColumn>
    <tableColumn id="5" name="4" totalsRowFunction="custom" dataDxfId="320" totalsRowDxfId="319">
      <totalsRowFormula>COUNTIF(PresençaemAbril[4],"U")+COUNTIF(PresençaemAbril[4],"E")</totalsRowFormula>
    </tableColumn>
    <tableColumn id="6" name="5" totalsRowFunction="custom" dataDxfId="318" totalsRowDxfId="317">
      <totalsRowFormula>COUNTIF(PresençaemAbril[5],"U")+COUNTIF(PresençaemAbril[5],"E")</totalsRowFormula>
    </tableColumn>
    <tableColumn id="7" name="6" totalsRowFunction="custom" dataDxfId="316" totalsRowDxfId="315">
      <totalsRowFormula>COUNTIF(PresençaemAbril[6],"U")+COUNTIF(PresençaemAbril[6],"E")</totalsRowFormula>
    </tableColumn>
    <tableColumn id="8" name="7" totalsRowFunction="custom" dataDxfId="314" totalsRowDxfId="313">
      <totalsRowFormula>COUNTIF(PresençaemAbril[7],"U")+COUNTIF(PresençaemAbril[7],"E")</totalsRowFormula>
    </tableColumn>
    <tableColumn id="9" name="8" totalsRowFunction="custom" dataDxfId="312" totalsRowDxfId="311">
      <totalsRowFormula>COUNTIF(PresençaemAbril[8],"U")+COUNTIF(PresençaemAbril[8],"E")</totalsRowFormula>
    </tableColumn>
    <tableColumn id="10" name="9" totalsRowFunction="custom" dataDxfId="310" totalsRowDxfId="309">
      <totalsRowFormula>COUNTIF(PresençaemAbril[9],"U")+COUNTIF(PresençaemAbril[9],"E")</totalsRowFormula>
    </tableColumn>
    <tableColumn id="11" name="10" totalsRowFunction="custom" dataDxfId="308" totalsRowDxfId="307">
      <totalsRowFormula>COUNTIF(PresençaemAbril[10],"U")+COUNTIF(PresençaemAbril[10],"E")</totalsRowFormula>
    </tableColumn>
    <tableColumn id="12" name="11" totalsRowFunction="custom" dataDxfId="306" totalsRowDxfId="305">
      <totalsRowFormula>COUNTIF(PresençaemAbril[11],"U")+COUNTIF(PresençaemAbril[11],"E")</totalsRowFormula>
    </tableColumn>
    <tableColumn id="13" name="12" totalsRowFunction="custom" dataDxfId="304" totalsRowDxfId="303">
      <totalsRowFormula>COUNTIF(PresençaemAbril[12],"U")+COUNTIF(PresençaemAbril[12],"E")</totalsRowFormula>
    </tableColumn>
    <tableColumn id="14" name="13" totalsRowFunction="custom" dataDxfId="302" totalsRowDxfId="301">
      <totalsRowFormula>COUNTIF(PresençaemAbril[13],"U")+COUNTIF(PresençaemAbril[13],"E")</totalsRowFormula>
    </tableColumn>
    <tableColumn id="15" name="14" totalsRowFunction="custom" dataDxfId="300" totalsRowDxfId="299">
      <totalsRowFormula>COUNTIF(PresençaemAbril[14],"U")+COUNTIF(PresençaemAbril[14],"E")</totalsRowFormula>
    </tableColumn>
    <tableColumn id="16" name="15" totalsRowFunction="custom" dataDxfId="298" totalsRowDxfId="297">
      <totalsRowFormula>COUNTIF(PresençaemAbril[15],"U")+COUNTIF(PresençaemAbril[15],"E")</totalsRowFormula>
    </tableColumn>
    <tableColumn id="17" name="16" totalsRowFunction="custom" dataDxfId="296" totalsRowDxfId="295">
      <totalsRowFormula>COUNTIF(PresençaemAbril[16],"U")+COUNTIF(PresençaemAbril[16],"E")</totalsRowFormula>
    </tableColumn>
    <tableColumn id="18" name="17" totalsRowFunction="custom" dataDxfId="294" totalsRowDxfId="293">
      <totalsRowFormula>COUNTIF(PresençaemAbril[17],"U")+COUNTIF(PresençaemAbril[17],"E")</totalsRowFormula>
    </tableColumn>
    <tableColumn id="19" name="18" totalsRowFunction="custom" dataDxfId="292" totalsRowDxfId="291">
      <totalsRowFormula>COUNTIF(PresençaemAbril[18],"U")+COUNTIF(PresençaemAbril[18],"E")</totalsRowFormula>
    </tableColumn>
    <tableColumn id="20" name="19" totalsRowFunction="custom" dataDxfId="290" totalsRowDxfId="289">
      <totalsRowFormula>COUNTIF(PresençaemAbril[19],"U")+COUNTIF(PresençaemAbril[19],"E")</totalsRowFormula>
    </tableColumn>
    <tableColumn id="21" name="20" totalsRowFunction="custom" dataDxfId="288" totalsRowDxfId="287">
      <totalsRowFormula>COUNTIF(PresençaemAbril[20],"U")+COUNTIF(PresençaemAbril[20],"E")</totalsRowFormula>
    </tableColumn>
    <tableColumn id="22" name="21" totalsRowFunction="custom" dataDxfId="286" totalsRowDxfId="285">
      <totalsRowFormula>COUNTIF(PresençaemAbril[21],"U")+COUNTIF(PresençaemAbril[21],"E")</totalsRowFormula>
    </tableColumn>
    <tableColumn id="23" name="22" totalsRowFunction="custom" dataDxfId="284" totalsRowDxfId="283">
      <totalsRowFormula>COUNTIF(PresençaemAbril[22],"U")+COUNTIF(PresençaemAbril[22],"E")</totalsRowFormula>
    </tableColumn>
    <tableColumn id="24" name="23" totalsRowFunction="custom" dataDxfId="282" totalsRowDxfId="281">
      <totalsRowFormula>COUNTIF(PresençaemAbril[23],"U")+COUNTIF(PresençaemAbril[23],"E")</totalsRowFormula>
    </tableColumn>
    <tableColumn id="25" name="24" totalsRowFunction="custom" dataDxfId="280" totalsRowDxfId="279">
      <totalsRowFormula>COUNTIF(PresençaemAbril[24],"U")+COUNTIF(PresençaemAbril[24],"E")</totalsRowFormula>
    </tableColumn>
    <tableColumn id="26" name="25" totalsRowFunction="custom" dataDxfId="278" totalsRowDxfId="277">
      <totalsRowFormula>COUNTIF(PresençaemAbril[25],"U")+COUNTIF(PresençaemAbril[25],"E")</totalsRowFormula>
    </tableColumn>
    <tableColumn id="27" name="26" totalsRowFunction="custom" dataDxfId="276" totalsRowDxfId="275">
      <totalsRowFormula>COUNTIF(PresençaemAbril[26],"U")+COUNTIF(PresençaemAbril[26],"E")</totalsRowFormula>
    </tableColumn>
    <tableColumn id="28" name="27" totalsRowFunction="custom" dataDxfId="274" totalsRowDxfId="273">
      <totalsRowFormula>COUNTIF(PresençaemAbril[27],"U")+COUNTIF(PresençaemAbril[27],"E")</totalsRowFormula>
    </tableColumn>
    <tableColumn id="29" name="28" totalsRowFunction="custom" dataDxfId="272" totalsRowDxfId="271">
      <totalsRowFormula>COUNTIF(PresençaemAbril[28],"U")+COUNTIF(PresençaemAbril[28],"E")</totalsRowFormula>
    </tableColumn>
    <tableColumn id="30" name="29" totalsRowFunction="custom" dataDxfId="270" totalsRowDxfId="269">
      <totalsRowFormula>COUNTIF(PresençaemAbril[29],"U")+COUNTIF(PresençaemAbril[29],"E")</totalsRowFormula>
    </tableColumn>
    <tableColumn id="31" name="30" dataDxfId="268" totalsRowDxfId="267"/>
    <tableColumn id="32" name=" " dataDxfId="266" totalsRowDxfId="265"/>
    <tableColumn id="35" name="T" totalsRowFunction="sum" dataDxfId="264" totalsRowDxfId="263">
      <calculatedColumnFormula>COUNTIF(PresençaemAbril[[#This Row],[1]:[ ]],Código1)</calculatedColumnFormula>
    </tableColumn>
    <tableColumn id="34" name="E" totalsRowFunction="sum" dataDxfId="262" totalsRowDxfId="261">
      <calculatedColumnFormula>COUNTIF(PresençaemAbril[[#This Row],[1]:[ ]],Código2)</calculatedColumnFormula>
    </tableColumn>
    <tableColumn id="37" name="U" totalsRowFunction="sum" dataDxfId="260" totalsRowDxfId="259">
      <calculatedColumnFormula>COUNTIF(PresençaemAbril[[#This Row],[1]:[ ]],Código3)</calculatedColumnFormula>
    </tableColumn>
    <tableColumn id="36" name="P" totalsRowFunction="sum" dataDxfId="258" totalsRowDxfId="257">
      <calculatedColumnFormula>COUNTIF(PresençaemAbril[[#This Row],[1]:[ ]],Código4)</calculatedColumnFormula>
    </tableColumn>
    <tableColumn id="33" name="Dias de Ausência" totalsRowFunction="sum" dataDxfId="256" totalsRowDxfId="255">
      <calculatedColumnFormula>SUM(PresençaemAbril[[#This Row],[E]:[U]])</calculatedColumnFormula>
    </tableColumn>
  </tableColumns>
  <tableStyleInfo name="Employee Absence Table" showFirstColumn="0" showLastColumn="0" showRowStripes="1" showColumnStripes="1"/>
  <extLst>
    <ext xmlns:x14="http://schemas.microsoft.com/office/spreadsheetml/2009/9/main" uri="{504A1905-F514-4f6f-8877-14C23A59335A}">
      <x14:table altText="Registro de Presença em Fevereiro" altTextSummary="Controla a presença do aluno, como T=Atrasado, E=Dispensado, U=Não Dispensado, P=Presente, N=Sem Aula no mês de abril."/>
    </ext>
  </extLst>
</table>
</file>

<file path=xl/tables/table11.xml><?xml version="1.0" encoding="utf-8"?>
<table xmlns="http://schemas.openxmlformats.org/spreadsheetml/2006/main" id="11" name="PresençaemMaio" displayName="PresençaemMaio" ref="B6:AM12" totalsRowCount="1" headerRowDxfId="249" totalsRowDxfId="248">
  <tableColumns count="38">
    <tableColumn id="38" name="ID do Aluno" dataDxfId="247" totalsRowDxfId="246"/>
    <tableColumn id="1" name="Nome do Aluno" totalsRowLabel="Total de dias de ausência" dataDxfId="245" totalsRowDxfId="244"/>
    <tableColumn id="2" name="1" totalsRowFunction="custom" dataDxfId="243" totalsRowDxfId="242">
      <totalsRowFormula>COUNTIF(PresençaemMaio[1],"U")+COUNTIF(PresençaemMaio[1],"E")</totalsRowFormula>
    </tableColumn>
    <tableColumn id="3" name="2" totalsRowFunction="custom" dataDxfId="241" totalsRowDxfId="240">
      <totalsRowFormula>COUNTIF(PresençaemMaio[2],"U")+COUNTIF(PresençaemMaio[2],"E")</totalsRowFormula>
    </tableColumn>
    <tableColumn id="4" name="3" totalsRowFunction="custom" dataDxfId="239" totalsRowDxfId="238">
      <totalsRowFormula>COUNTIF(PresençaemMaio[3],"U")+COUNTIF(PresençaemMaio[3],"E")</totalsRowFormula>
    </tableColumn>
    <tableColumn id="5" name="4" totalsRowFunction="custom" dataDxfId="237" totalsRowDxfId="236">
      <totalsRowFormula>COUNTIF(PresençaemMaio[4],"U")+COUNTIF(PresençaemMaio[4],"E")</totalsRowFormula>
    </tableColumn>
    <tableColumn id="6" name="5" totalsRowFunction="custom" dataDxfId="235" totalsRowDxfId="234">
      <totalsRowFormula>COUNTIF(PresençaemMaio[5],"U")+COUNTIF(PresençaemMaio[5],"E")</totalsRowFormula>
    </tableColumn>
    <tableColumn id="7" name="6" totalsRowFunction="custom" dataDxfId="233" totalsRowDxfId="232">
      <totalsRowFormula>COUNTIF(PresençaemMaio[6],"U")+COUNTIF(PresençaemMaio[6],"E")</totalsRowFormula>
    </tableColumn>
    <tableColumn id="8" name="7" totalsRowFunction="custom" dataDxfId="231" totalsRowDxfId="230">
      <totalsRowFormula>COUNTIF(PresençaemMaio[7],"U")+COUNTIF(PresençaemMaio[7],"E")</totalsRowFormula>
    </tableColumn>
    <tableColumn id="9" name="8" totalsRowFunction="custom" dataDxfId="229" totalsRowDxfId="228">
      <totalsRowFormula>COUNTIF(PresençaemMaio[8],"U")+COUNTIF(PresençaemMaio[8],"E")</totalsRowFormula>
    </tableColumn>
    <tableColumn id="10" name="9" totalsRowFunction="custom" dataDxfId="227" totalsRowDxfId="226">
      <totalsRowFormula>COUNTIF(PresençaemMaio[9],"U")+COUNTIF(PresençaemMaio[9],"E")</totalsRowFormula>
    </tableColumn>
    <tableColumn id="11" name="10" totalsRowFunction="custom" dataDxfId="225" totalsRowDxfId="224">
      <totalsRowFormula>COUNTIF(PresençaemMaio[10],"U")+COUNTIF(PresençaemMaio[10],"E")</totalsRowFormula>
    </tableColumn>
    <tableColumn id="12" name="11" totalsRowFunction="custom" dataDxfId="223" totalsRowDxfId="222">
      <totalsRowFormula>COUNTIF(PresençaemMaio[11],"U")+COUNTIF(PresençaemMaio[11],"E")</totalsRowFormula>
    </tableColumn>
    <tableColumn id="13" name="12" totalsRowFunction="custom" dataDxfId="221" totalsRowDxfId="220">
      <totalsRowFormula>COUNTIF(PresençaemMaio[12],"U")+COUNTIF(PresençaemMaio[12],"E")</totalsRowFormula>
    </tableColumn>
    <tableColumn id="14" name="13" totalsRowFunction="custom" dataDxfId="219" totalsRowDxfId="218">
      <totalsRowFormula>COUNTIF(PresençaemMaio[13],"U")+COUNTIF(PresençaemMaio[13],"E")</totalsRowFormula>
    </tableColumn>
    <tableColumn id="15" name="14" totalsRowFunction="custom" dataDxfId="217" totalsRowDxfId="216">
      <totalsRowFormula>COUNTIF(PresençaemMaio[14],"U")+COUNTIF(PresençaemMaio[14],"E")</totalsRowFormula>
    </tableColumn>
    <tableColumn id="16" name="15" totalsRowFunction="custom" dataDxfId="215" totalsRowDxfId="214">
      <totalsRowFormula>COUNTIF(PresençaemMaio[15],"U")+COUNTIF(PresençaemMaio[15],"E")</totalsRowFormula>
    </tableColumn>
    <tableColumn id="17" name="16" totalsRowFunction="custom" dataDxfId="213" totalsRowDxfId="212">
      <totalsRowFormula>COUNTIF(PresençaemMaio[16],"U")+COUNTIF(PresençaemMaio[16],"E")</totalsRowFormula>
    </tableColumn>
    <tableColumn id="18" name="17" totalsRowFunction="custom" dataDxfId="211" totalsRowDxfId="210">
      <totalsRowFormula>COUNTIF(PresençaemMaio[17],"U")+COUNTIF(PresençaemMaio[17],"E")</totalsRowFormula>
    </tableColumn>
    <tableColumn id="19" name="18" totalsRowFunction="custom" dataDxfId="209" totalsRowDxfId="208">
      <totalsRowFormula>COUNTIF(PresençaemMaio[18],"U")+COUNTIF(PresençaemMaio[18],"E")</totalsRowFormula>
    </tableColumn>
    <tableColumn id="20" name="19" totalsRowFunction="custom" dataDxfId="207" totalsRowDxfId="206">
      <totalsRowFormula>COUNTIF(PresençaemMaio[19],"U")+COUNTIF(PresençaemMaio[19],"E")</totalsRowFormula>
    </tableColumn>
    <tableColumn id="21" name="20" totalsRowFunction="custom" dataDxfId="205" totalsRowDxfId="204">
      <totalsRowFormula>COUNTIF(PresençaemMaio[20],"U")+COUNTIF(PresençaemMaio[20],"E")</totalsRowFormula>
    </tableColumn>
    <tableColumn id="22" name="21" totalsRowFunction="custom" dataDxfId="203" totalsRowDxfId="202">
      <totalsRowFormula>COUNTIF(PresençaemMaio[21],"U")+COUNTIF(PresençaemMaio[21],"E")</totalsRowFormula>
    </tableColumn>
    <tableColumn id="23" name="22" totalsRowFunction="custom" dataDxfId="201" totalsRowDxfId="200">
      <totalsRowFormula>COUNTIF(PresençaemMaio[22],"U")+COUNTIF(PresençaemMaio[22],"E")</totalsRowFormula>
    </tableColumn>
    <tableColumn id="24" name="23" totalsRowFunction="custom" dataDxfId="199" totalsRowDxfId="198">
      <totalsRowFormula>COUNTIF(PresençaemMaio[23],"U")+COUNTIF(PresençaemMaio[23],"E")</totalsRowFormula>
    </tableColumn>
    <tableColumn id="25" name="24" totalsRowFunction="custom" dataDxfId="197" totalsRowDxfId="196">
      <totalsRowFormula>COUNTIF(PresençaemMaio[24],"U")+COUNTIF(PresençaemMaio[24],"E")</totalsRowFormula>
    </tableColumn>
    <tableColumn id="26" name="25" totalsRowFunction="custom" dataDxfId="195" totalsRowDxfId="194">
      <totalsRowFormula>COUNTIF(PresençaemMaio[25],"U")+COUNTIF(PresençaemMaio[25],"E")</totalsRowFormula>
    </tableColumn>
    <tableColumn id="27" name="26" totalsRowFunction="custom" dataDxfId="193" totalsRowDxfId="192">
      <totalsRowFormula>COUNTIF(PresençaemMaio[26],"U")+COUNTIF(PresençaemMaio[26],"E")</totalsRowFormula>
    </tableColumn>
    <tableColumn id="28" name="27" totalsRowFunction="custom" dataDxfId="191" totalsRowDxfId="190">
      <totalsRowFormula>COUNTIF(PresençaemMaio[27],"U")+COUNTIF(PresençaemMaio[27],"E")</totalsRowFormula>
    </tableColumn>
    <tableColumn id="29" name="28" totalsRowFunction="custom" dataDxfId="189" totalsRowDxfId="188">
      <totalsRowFormula>COUNTIF(PresençaemMaio[28],"U")+COUNTIF(PresençaemMaio[28],"E")</totalsRowFormula>
    </tableColumn>
    <tableColumn id="30" name="29" totalsRowFunction="custom" dataDxfId="187" totalsRowDxfId="186">
      <totalsRowFormula>COUNTIF(PresençaemMaio[29],"U")+COUNTIF(PresençaemMaio[29],"E")</totalsRowFormula>
    </tableColumn>
    <tableColumn id="31" name="30" dataDxfId="185" totalsRowDxfId="184"/>
    <tableColumn id="32" name="31" dataDxfId="183" totalsRowDxfId="182"/>
    <tableColumn id="35" name="T" totalsRowFunction="sum" dataDxfId="181" totalsRowDxfId="180">
      <calculatedColumnFormula>COUNTIF(PresençaemMaio[[#This Row],[1]:[31]],Código1)</calculatedColumnFormula>
    </tableColumn>
    <tableColumn id="34" name="E" totalsRowFunction="sum" dataDxfId="179" totalsRowDxfId="178">
      <calculatedColumnFormula>COUNTIF(PresençaemMaio[[#This Row],[1]:[31]],Código2)</calculatedColumnFormula>
    </tableColumn>
    <tableColumn id="37" name="U" totalsRowFunction="sum" dataDxfId="177" totalsRowDxfId="176">
      <calculatedColumnFormula>COUNTIF(PresençaemMaio[[#This Row],[1]:[31]],Código3)</calculatedColumnFormula>
    </tableColumn>
    <tableColumn id="36" name="P" totalsRowFunction="sum" dataDxfId="175" totalsRowDxfId="174">
      <calculatedColumnFormula>COUNTIF(PresençaemMaio[[#This Row],[1]:[31]],Código4)</calculatedColumnFormula>
    </tableColumn>
    <tableColumn id="33" name="Dias de Ausência" totalsRowFunction="sum" dataDxfId="173" totalsRowDxfId="172">
      <calculatedColumnFormula>SUM(PresençaemMaio[[#This Row],[E]:[U]])</calculatedColumnFormula>
    </tableColumn>
  </tableColumns>
  <tableStyleInfo name="Employee Absence Table" showFirstColumn="0" showLastColumn="0" showRowStripes="1" showColumnStripes="1"/>
  <extLst>
    <ext xmlns:x14="http://schemas.microsoft.com/office/spreadsheetml/2009/9/main" uri="{504A1905-F514-4f6f-8877-14C23A59335A}">
      <x14:table altText="Registro de Presença em Fevereiro" altTextSummary="Controla a presença do aluno, como T=Atrasado, E=Dispensado, U=Não Dispensado, P=Presente, N=Sem Aula no mês de maio."/>
    </ext>
  </extLst>
</table>
</file>

<file path=xl/tables/table12.xml><?xml version="1.0" encoding="utf-8"?>
<table xmlns="http://schemas.openxmlformats.org/spreadsheetml/2006/main" id="12" name="PresençaemJunho" displayName="PresençaemJunho" ref="B6:AM12" totalsRowCount="1" headerRowDxfId="166" totalsRowDxfId="165">
  <tableColumns count="38">
    <tableColumn id="38" name="ID do Aluno" dataDxfId="164" totalsRowDxfId="163"/>
    <tableColumn id="1" name="Nome do Aluno" totalsRowLabel="Total de dias de ausência" dataDxfId="162" totalsRowDxfId="161"/>
    <tableColumn id="2" name="1" totalsRowFunction="custom" dataDxfId="160" totalsRowDxfId="159">
      <totalsRowFormula>COUNTIF(PresençaemJunho[1],"U")+COUNTIF(PresençaemJunho[1],"E")</totalsRowFormula>
    </tableColumn>
    <tableColumn id="3" name="2" totalsRowFunction="custom" dataDxfId="158" totalsRowDxfId="157">
      <totalsRowFormula>COUNTIF(PresençaemJunho[2],"U")+COUNTIF(PresençaemJunho[2],"E")</totalsRowFormula>
    </tableColumn>
    <tableColumn id="4" name="3" totalsRowFunction="custom" dataDxfId="156" totalsRowDxfId="155">
      <totalsRowFormula>COUNTIF(PresençaemJunho[3],"U")+COUNTIF(PresençaemJunho[3],"E")</totalsRowFormula>
    </tableColumn>
    <tableColumn id="5" name="4" totalsRowFunction="custom" dataDxfId="154" totalsRowDxfId="153">
      <totalsRowFormula>COUNTIF(PresençaemJunho[4],"U")+COUNTIF(PresençaemJunho[4],"E")</totalsRowFormula>
    </tableColumn>
    <tableColumn id="6" name="5" totalsRowFunction="custom" dataDxfId="152" totalsRowDxfId="151">
      <totalsRowFormula>COUNTIF(PresençaemJunho[5],"U")+COUNTIF(PresençaemJunho[5],"E")</totalsRowFormula>
    </tableColumn>
    <tableColumn id="7" name="6" totalsRowFunction="custom" dataDxfId="150" totalsRowDxfId="149">
      <totalsRowFormula>COUNTIF(PresençaemJunho[6],"U")+COUNTIF(PresençaemJunho[6],"E")</totalsRowFormula>
    </tableColumn>
    <tableColumn id="8" name="7" totalsRowFunction="custom" dataDxfId="148" totalsRowDxfId="147">
      <totalsRowFormula>COUNTIF(PresençaemJunho[7],"U")+COUNTIF(PresençaemJunho[7],"E")</totalsRowFormula>
    </tableColumn>
    <tableColumn id="9" name="8" totalsRowFunction="custom" dataDxfId="146" totalsRowDxfId="145">
      <totalsRowFormula>COUNTIF(PresençaemJunho[8],"U")+COUNTIF(PresençaemJunho[8],"E")</totalsRowFormula>
    </tableColumn>
    <tableColumn id="10" name="9" totalsRowFunction="custom" dataDxfId="144" totalsRowDxfId="143">
      <totalsRowFormula>COUNTIF(PresençaemJunho[9],"U")+COUNTIF(PresençaemJunho[9],"E")</totalsRowFormula>
    </tableColumn>
    <tableColumn id="11" name="10" totalsRowFunction="custom" dataDxfId="142" totalsRowDxfId="141">
      <totalsRowFormula>COUNTIF(PresençaemJunho[10],"U")+COUNTIF(PresençaemJunho[10],"E")</totalsRowFormula>
    </tableColumn>
    <tableColumn id="12" name="11" totalsRowFunction="custom" dataDxfId="140" totalsRowDxfId="139">
      <totalsRowFormula>COUNTIF(PresençaemJunho[11],"U")+COUNTIF(PresençaemJunho[11],"E")</totalsRowFormula>
    </tableColumn>
    <tableColumn id="13" name="12" totalsRowFunction="custom" dataDxfId="138" totalsRowDxfId="137">
      <totalsRowFormula>COUNTIF(PresençaemJunho[12],"U")+COUNTIF(PresençaemJunho[12],"E")</totalsRowFormula>
    </tableColumn>
    <tableColumn id="14" name="13" totalsRowFunction="custom" dataDxfId="136" totalsRowDxfId="135">
      <totalsRowFormula>COUNTIF(PresençaemJunho[13],"U")+COUNTIF(PresençaemJunho[13],"E")</totalsRowFormula>
    </tableColumn>
    <tableColumn id="15" name="14" totalsRowFunction="custom" dataDxfId="134" totalsRowDxfId="133">
      <totalsRowFormula>COUNTIF(PresençaemJunho[14],"U")+COUNTIF(PresençaemJunho[14],"E")</totalsRowFormula>
    </tableColumn>
    <tableColumn id="16" name="15" totalsRowFunction="custom" dataDxfId="132" totalsRowDxfId="131">
      <totalsRowFormula>COUNTIF(PresençaemJunho[15],"U")+COUNTIF(PresençaemJunho[15],"E")</totalsRowFormula>
    </tableColumn>
    <tableColumn id="17" name="16" totalsRowFunction="custom" dataDxfId="130" totalsRowDxfId="129">
      <totalsRowFormula>COUNTIF(PresençaemJunho[16],"U")+COUNTIF(PresençaemJunho[16],"E")</totalsRowFormula>
    </tableColumn>
    <tableColumn id="18" name="17" totalsRowFunction="custom" dataDxfId="128" totalsRowDxfId="127">
      <totalsRowFormula>COUNTIF(PresençaemJunho[17],"U")+COUNTIF(PresençaemJunho[17],"E")</totalsRowFormula>
    </tableColumn>
    <tableColumn id="19" name="18" totalsRowFunction="custom" dataDxfId="126" totalsRowDxfId="125">
      <totalsRowFormula>COUNTIF(PresençaemJunho[18],"U")+COUNTIF(PresençaemJunho[18],"E")</totalsRowFormula>
    </tableColumn>
    <tableColumn id="20" name="19" totalsRowFunction="custom" dataDxfId="124" totalsRowDxfId="123">
      <totalsRowFormula>COUNTIF(PresençaemJunho[19],"U")+COUNTIF(PresençaemJunho[19],"E")</totalsRowFormula>
    </tableColumn>
    <tableColumn id="21" name="20" totalsRowFunction="custom" dataDxfId="122" totalsRowDxfId="121">
      <totalsRowFormula>COUNTIF(PresençaemJunho[20],"U")+COUNTIF(PresençaemJunho[20],"E")</totalsRowFormula>
    </tableColumn>
    <tableColumn id="22" name="21" totalsRowFunction="custom" dataDxfId="120" totalsRowDxfId="119">
      <totalsRowFormula>COUNTIF(PresençaemJunho[21],"U")+COUNTIF(PresençaemJunho[21],"E")</totalsRowFormula>
    </tableColumn>
    <tableColumn id="23" name="22" totalsRowFunction="custom" dataDxfId="118" totalsRowDxfId="117">
      <totalsRowFormula>COUNTIF(PresençaemJunho[22],"U")+COUNTIF(PresençaemJunho[22],"E")</totalsRowFormula>
    </tableColumn>
    <tableColumn id="24" name="23" totalsRowFunction="custom" dataDxfId="116" totalsRowDxfId="115">
      <totalsRowFormula>COUNTIF(PresençaemJunho[23],"U")+COUNTIF(PresençaemJunho[23],"E")</totalsRowFormula>
    </tableColumn>
    <tableColumn id="25" name="24" totalsRowFunction="custom" dataDxfId="114" totalsRowDxfId="113">
      <totalsRowFormula>COUNTIF(PresençaemJunho[24],"U")+COUNTIF(PresençaemJunho[24],"E")</totalsRowFormula>
    </tableColumn>
    <tableColumn id="26" name="25" totalsRowFunction="custom" dataDxfId="112" totalsRowDxfId="111">
      <totalsRowFormula>COUNTIF(PresençaemJunho[25],"U")+COUNTIF(PresençaemJunho[25],"E")</totalsRowFormula>
    </tableColumn>
    <tableColumn id="27" name="26" totalsRowFunction="custom" dataDxfId="110" totalsRowDxfId="109">
      <totalsRowFormula>COUNTIF(PresençaemJunho[26],"U")+COUNTIF(PresençaemJunho[26],"E")</totalsRowFormula>
    </tableColumn>
    <tableColumn id="28" name="27" totalsRowFunction="custom" dataDxfId="108" totalsRowDxfId="107">
      <totalsRowFormula>COUNTIF(PresençaemJunho[27],"U")+COUNTIF(PresençaemJunho[27],"E")</totalsRowFormula>
    </tableColumn>
    <tableColumn id="29" name="28" totalsRowFunction="custom" dataDxfId="106" totalsRowDxfId="105">
      <totalsRowFormula>COUNTIF(PresençaemJunho[28],"U")+COUNTIF(PresençaemJunho[28],"E")</totalsRowFormula>
    </tableColumn>
    <tableColumn id="30" name="29" totalsRowFunction="custom" dataDxfId="104" totalsRowDxfId="103">
      <totalsRowFormula>COUNTIF(PresençaemJunho[29],"U")+COUNTIF(PresençaemJunho[29],"E")</totalsRowFormula>
    </tableColumn>
    <tableColumn id="31" name="30" dataDxfId="102" totalsRowDxfId="101"/>
    <tableColumn id="32" name=" " dataDxfId="100" totalsRowDxfId="99"/>
    <tableColumn id="35" name="T" totalsRowFunction="sum" dataDxfId="98" totalsRowDxfId="97">
      <calculatedColumnFormula>COUNTIF(PresençaemJunho[[#This Row],[1]:[ ]],Código1)</calculatedColumnFormula>
    </tableColumn>
    <tableColumn id="34" name="E" totalsRowFunction="sum" dataDxfId="96" totalsRowDxfId="95">
      <calculatedColumnFormula>COUNTIF(PresençaemJunho[[#This Row],[1]:[ ]],Código2)</calculatedColumnFormula>
    </tableColumn>
    <tableColumn id="37" name="U" totalsRowFunction="sum" dataDxfId="94" totalsRowDxfId="93">
      <calculatedColumnFormula>COUNTIF(PresençaemJunho[[#This Row],[1]:[ ]],Código3)</calculatedColumnFormula>
    </tableColumn>
    <tableColumn id="36" name="P" totalsRowFunction="sum" dataDxfId="92" totalsRowDxfId="91">
      <calculatedColumnFormula>COUNTIF(PresençaemJunho[[#This Row],[1]:[ ]],Código4)</calculatedColumnFormula>
    </tableColumn>
    <tableColumn id="33" name="Dias de Ausência" totalsRowFunction="sum" dataDxfId="90" totalsRowDxfId="89">
      <calculatedColumnFormula>SUM(PresençaemJunho[[#This Row],[E]:[U]])</calculatedColumnFormula>
    </tableColumn>
  </tableColumns>
  <tableStyleInfo name="Employee Absence Table" showFirstColumn="0" showLastColumn="0" showRowStripes="1" showColumnStripes="1"/>
  <extLst>
    <ext xmlns:x14="http://schemas.microsoft.com/office/spreadsheetml/2009/9/main" uri="{504A1905-F514-4f6f-8877-14C23A59335A}">
      <x14:table altText="Registro de Presença em Fevereiro" altTextSummary="Controla a presença do aluno, como T=Atrasado, E=Dispensado, U=Não Dispensado, P=Presente, N=Sem Aula no mês de junho."/>
    </ext>
  </extLst>
</table>
</file>

<file path=xl/tables/table13.xml><?xml version="1.0" encoding="utf-8"?>
<table xmlns="http://schemas.openxmlformats.org/spreadsheetml/2006/main" id="13" name="PresençaemJulho" displayName="PresençaemJulho" ref="B6:AM12" totalsRowCount="1" headerRowDxfId="83" totalsRowDxfId="82">
  <tableColumns count="38">
    <tableColumn id="38" name="ID do Aluno" dataDxfId="81" totalsRowDxfId="80"/>
    <tableColumn id="1" name="Nome do Aluno" totalsRowLabel="Total de dias de ausência" dataDxfId="79" totalsRowDxfId="78"/>
    <tableColumn id="2" name="1" totalsRowFunction="custom" dataDxfId="77" totalsRowDxfId="76">
      <totalsRowFormula>COUNTIF(PresençaemJulho[1],"U")+COUNTIF(PresençaemJulho[1],"E")</totalsRowFormula>
    </tableColumn>
    <tableColumn id="3" name="2" totalsRowFunction="custom" dataDxfId="75" totalsRowDxfId="74">
      <totalsRowFormula>COUNTIF(PresençaemJulho[2],"U")+COUNTIF(PresençaemJulho[2],"E")</totalsRowFormula>
    </tableColumn>
    <tableColumn id="4" name="3" totalsRowFunction="custom" dataDxfId="73" totalsRowDxfId="72">
      <totalsRowFormula>COUNTIF(PresençaemJulho[3],"U")+COUNTIF(PresençaemJulho[3],"E")</totalsRowFormula>
    </tableColumn>
    <tableColumn id="5" name="4" totalsRowFunction="custom" dataDxfId="71" totalsRowDxfId="70">
      <totalsRowFormula>COUNTIF(PresençaemJulho[4],"U")+COUNTIF(PresençaemJulho[4],"E")</totalsRowFormula>
    </tableColumn>
    <tableColumn id="6" name="5" totalsRowFunction="custom" dataDxfId="69" totalsRowDxfId="68">
      <totalsRowFormula>COUNTIF(PresençaemJulho[5],"U")+COUNTIF(PresençaemJulho[5],"E")</totalsRowFormula>
    </tableColumn>
    <tableColumn id="7" name="6" totalsRowFunction="custom" dataDxfId="67" totalsRowDxfId="66">
      <totalsRowFormula>COUNTIF(PresençaemJulho[6],"U")+COUNTIF(PresençaemJulho[6],"E")</totalsRowFormula>
    </tableColumn>
    <tableColumn id="8" name="7" totalsRowFunction="custom" dataDxfId="65" totalsRowDxfId="64">
      <totalsRowFormula>COUNTIF(PresençaemJulho[7],"U")+COUNTIF(PresençaemJulho[7],"E")</totalsRowFormula>
    </tableColumn>
    <tableColumn id="9" name="8" totalsRowFunction="custom" dataDxfId="63" totalsRowDxfId="62">
      <totalsRowFormula>COUNTIF(PresençaemJulho[8],"U")+COUNTIF(PresençaemJulho[8],"E")</totalsRowFormula>
    </tableColumn>
    <tableColumn id="10" name="9" totalsRowFunction="custom" dataDxfId="61" totalsRowDxfId="60">
      <totalsRowFormula>COUNTIF(PresençaemJulho[9],"U")+COUNTIF(PresençaemJulho[9],"E")</totalsRowFormula>
    </tableColumn>
    <tableColumn id="11" name="10" totalsRowFunction="custom" dataDxfId="59" totalsRowDxfId="58">
      <totalsRowFormula>COUNTIF(PresençaemJulho[10],"U")+COUNTIF(PresençaemJulho[10],"E")</totalsRowFormula>
    </tableColumn>
    <tableColumn id="12" name="11" totalsRowFunction="custom" dataDxfId="57" totalsRowDxfId="56">
      <totalsRowFormula>COUNTIF(PresençaemJulho[11],"U")+COUNTIF(PresençaemJulho[11],"E")</totalsRowFormula>
    </tableColumn>
    <tableColumn id="13" name="12" totalsRowFunction="custom" dataDxfId="55" totalsRowDxfId="54">
      <totalsRowFormula>COUNTIF(PresençaemJulho[12],"U")+COUNTIF(PresençaemJulho[12],"E")</totalsRowFormula>
    </tableColumn>
    <tableColumn id="14" name="13" totalsRowFunction="custom" dataDxfId="53" totalsRowDxfId="52">
      <totalsRowFormula>COUNTIF(PresençaemJulho[13],"U")+COUNTIF(PresençaemJulho[13],"E")</totalsRowFormula>
    </tableColumn>
    <tableColumn id="15" name="14" totalsRowFunction="custom" dataDxfId="51" totalsRowDxfId="50">
      <totalsRowFormula>COUNTIF(PresençaemJulho[14],"U")+COUNTIF(PresençaemJulho[14],"E")</totalsRowFormula>
    </tableColumn>
    <tableColumn id="16" name="15" totalsRowFunction="custom" dataDxfId="49" totalsRowDxfId="48">
      <totalsRowFormula>COUNTIF(PresençaemJulho[15],"U")+COUNTIF(PresençaemJulho[15],"E")</totalsRowFormula>
    </tableColumn>
    <tableColumn id="17" name="16" totalsRowFunction="custom" dataDxfId="47" totalsRowDxfId="46">
      <totalsRowFormula>COUNTIF(PresençaemJulho[16],"U")+COUNTIF(PresençaemJulho[16],"E")</totalsRowFormula>
    </tableColumn>
    <tableColumn id="18" name="17" totalsRowFunction="custom" dataDxfId="45" totalsRowDxfId="44">
      <totalsRowFormula>COUNTIF(PresençaemJulho[17],"U")+COUNTIF(PresençaemJulho[17],"E")</totalsRowFormula>
    </tableColumn>
    <tableColumn id="19" name="18" totalsRowFunction="custom" dataDxfId="43" totalsRowDxfId="42">
      <totalsRowFormula>COUNTIF(PresençaemJulho[18],"U")+COUNTIF(PresençaemJulho[18],"E")</totalsRowFormula>
    </tableColumn>
    <tableColumn id="20" name="19" totalsRowFunction="custom" dataDxfId="41" totalsRowDxfId="40">
      <totalsRowFormula>COUNTIF(PresençaemJulho[19],"U")+COUNTIF(PresençaemJulho[19],"E")</totalsRowFormula>
    </tableColumn>
    <tableColumn id="21" name="20" totalsRowFunction="custom" dataDxfId="39" totalsRowDxfId="38">
      <totalsRowFormula>COUNTIF(PresençaemJulho[20],"U")+COUNTIF(PresençaemJulho[20],"E")</totalsRowFormula>
    </tableColumn>
    <tableColumn id="22" name="21" totalsRowFunction="custom" dataDxfId="37" totalsRowDxfId="36">
      <totalsRowFormula>COUNTIF(PresençaemJulho[21],"U")+COUNTIF(PresençaemJulho[21],"E")</totalsRowFormula>
    </tableColumn>
    <tableColumn id="23" name="22" totalsRowFunction="custom" dataDxfId="35" totalsRowDxfId="34">
      <totalsRowFormula>COUNTIF(PresençaemJulho[22],"U")+COUNTIF(PresençaemJulho[22],"E")</totalsRowFormula>
    </tableColumn>
    <tableColumn id="24" name="23" totalsRowFunction="custom" dataDxfId="33" totalsRowDxfId="32">
      <totalsRowFormula>COUNTIF(PresençaemJulho[23],"U")+COUNTIF(PresençaemJulho[23],"E")</totalsRowFormula>
    </tableColumn>
    <tableColumn id="25" name="24" totalsRowFunction="custom" dataDxfId="31" totalsRowDxfId="30">
      <totalsRowFormula>COUNTIF(PresençaemJulho[24],"U")+COUNTIF(PresençaemJulho[24],"E")</totalsRowFormula>
    </tableColumn>
    <tableColumn id="26" name="25" totalsRowFunction="custom" dataDxfId="29" totalsRowDxfId="28">
      <totalsRowFormula>COUNTIF(PresençaemJulho[25],"U")+COUNTIF(PresençaemJulho[25],"E")</totalsRowFormula>
    </tableColumn>
    <tableColumn id="27" name="26" totalsRowFunction="custom" dataDxfId="27" totalsRowDxfId="26">
      <totalsRowFormula>COUNTIF(PresençaemJulho[26],"U")+COUNTIF(PresençaemJulho[26],"E")</totalsRowFormula>
    </tableColumn>
    <tableColumn id="28" name="27" totalsRowFunction="custom" dataDxfId="25" totalsRowDxfId="24">
      <totalsRowFormula>COUNTIF(PresençaemJulho[27],"U")+COUNTIF(PresençaemJulho[27],"E")</totalsRowFormula>
    </tableColumn>
    <tableColumn id="29" name="28" totalsRowFunction="custom" dataDxfId="23" totalsRowDxfId="22">
      <totalsRowFormula>COUNTIF(PresençaemJulho[28],"U")+COUNTIF(PresençaemJulho[28],"E")</totalsRowFormula>
    </tableColumn>
    <tableColumn id="30" name="29" totalsRowFunction="custom" dataDxfId="21" totalsRowDxfId="20">
      <totalsRowFormula>COUNTIF(PresençaemJulho[29],"U")+COUNTIF(PresençaemJulho[29],"E")</totalsRowFormula>
    </tableColumn>
    <tableColumn id="31" name="30" dataDxfId="19" totalsRowDxfId="18"/>
    <tableColumn id="32" name="31" dataDxfId="17" totalsRowDxfId="16"/>
    <tableColumn id="35" name="T" totalsRowFunction="sum" dataDxfId="15" totalsRowDxfId="14">
      <calculatedColumnFormula>COUNTIF(PresençaemJulho[[#This Row],[1]:[31]],Código1)</calculatedColumnFormula>
    </tableColumn>
    <tableColumn id="34" name="E" totalsRowFunction="sum" dataDxfId="13" totalsRowDxfId="12">
      <calculatedColumnFormula>COUNTIF(PresençaemJulho[[#This Row],[1]:[31]],Código2)</calculatedColumnFormula>
    </tableColumn>
    <tableColumn id="37" name="U" totalsRowFunction="sum" dataDxfId="11" totalsRowDxfId="10">
      <calculatedColumnFormula>COUNTIF(PresençaemJulho[[#This Row],[1]:[31]],Código3)</calculatedColumnFormula>
    </tableColumn>
    <tableColumn id="36" name="P" totalsRowFunction="sum" dataDxfId="9" totalsRowDxfId="8">
      <calculatedColumnFormula>COUNTIF(PresençaemJulho[[#This Row],[1]:[31]],Código4)</calculatedColumnFormula>
    </tableColumn>
    <tableColumn id="33" name="Dias de Ausência" totalsRowFunction="sum" dataDxfId="7" totalsRowDxfId="6">
      <calculatedColumnFormula>SUM(PresençaemJulho[[#This Row],[E]:[U]])</calculatedColumnFormula>
    </tableColumn>
  </tableColumns>
  <tableStyleInfo name="Employee Absence Table" showFirstColumn="0" showLastColumn="0" showRowStripes="1" showColumnStripes="1"/>
  <extLst>
    <ext xmlns:x14="http://schemas.microsoft.com/office/spreadsheetml/2009/9/main" uri="{504A1905-F514-4f6f-8877-14C23A59335A}">
      <x14:table altText="Registro de Presença em Fevereiro" altTextSummary="Controla a presença do aluno, como T=Atrasado, E=Dispensado, U=Não Dispensado, P=Presente, N=Sem Aula no mês de julho."/>
    </ext>
  </extLst>
</table>
</file>

<file path=xl/tables/table2.xml><?xml version="1.0" encoding="utf-8"?>
<table xmlns="http://schemas.openxmlformats.org/spreadsheetml/2006/main" id="3" name="PresençaemAgosto" displayName="PresençaemAgosto" ref="B6:AM12" totalsRowCount="1" totalsRowDxfId="963">
  <tableColumns count="38">
    <tableColumn id="38" name="ID do Aluno" totalsRowDxfId="962"/>
    <tableColumn id="1" name="Nome do Aluno" totalsRowLabel="Total de dias de ausência" totalsRowDxfId="961"/>
    <tableColumn id="2" name="1" totalsRowFunction="custom" totalsRowDxfId="960">
      <totalsRowFormula>COUNTIF(PresençaemAgosto[1],"U")+COUNTIF(PresençaemAgosto[1],"E")</totalsRowFormula>
    </tableColumn>
    <tableColumn id="3" name="2" totalsRowFunction="custom" totalsRowDxfId="959">
      <totalsRowFormula>COUNTIF(PresençaemAgosto[2],"U")+COUNTIF(PresençaemAgosto[2],"E")</totalsRowFormula>
    </tableColumn>
    <tableColumn id="4" name="3" totalsRowFunction="custom" totalsRowDxfId="958">
      <totalsRowFormula>COUNTIF(PresençaemAgosto[3],"U")+COUNTIF(PresençaemAgosto[3],"E")</totalsRowFormula>
    </tableColumn>
    <tableColumn id="5" name="4" totalsRowFunction="custom" totalsRowDxfId="957">
      <totalsRowFormula>COUNTIF(PresençaemAgosto[4],"U")+COUNTIF(PresençaemAgosto[4],"E")</totalsRowFormula>
    </tableColumn>
    <tableColumn id="6" name="5" totalsRowFunction="custom" totalsRowDxfId="956">
      <totalsRowFormula>COUNTIF(PresençaemAgosto[5],"U")+COUNTIF(PresençaemAgosto[5],"E")</totalsRowFormula>
    </tableColumn>
    <tableColumn id="7" name="6" totalsRowFunction="custom" totalsRowDxfId="955">
      <totalsRowFormula>COUNTIF(PresençaemAgosto[6],"U")+COUNTIF(PresençaemAgosto[6],"E")</totalsRowFormula>
    </tableColumn>
    <tableColumn id="8" name="7" totalsRowFunction="custom" totalsRowDxfId="954">
      <totalsRowFormula>COUNTIF(PresençaemAgosto[7],"U")+COUNTIF(PresençaemAgosto[7],"E")</totalsRowFormula>
    </tableColumn>
    <tableColumn id="9" name="8" totalsRowFunction="custom" totalsRowDxfId="953">
      <totalsRowFormula>COUNTIF(PresençaemAgosto[8],"U")+COUNTIF(PresençaemAgosto[8],"E")</totalsRowFormula>
    </tableColumn>
    <tableColumn id="10" name="9" totalsRowFunction="custom" totalsRowDxfId="952">
      <totalsRowFormula>COUNTIF(PresençaemAgosto[9],"U")+COUNTIF(PresençaemAgosto[9],"E")</totalsRowFormula>
    </tableColumn>
    <tableColumn id="11" name="10" totalsRowFunction="custom" totalsRowDxfId="951">
      <totalsRowFormula>COUNTIF(PresençaemAgosto[10],"U")+COUNTIF(PresençaemAgosto[10],"E")</totalsRowFormula>
    </tableColumn>
    <tableColumn id="12" name="11" totalsRowFunction="custom" totalsRowDxfId="950">
      <totalsRowFormula>COUNTIF(PresençaemAgosto[11],"U")+COUNTIF(PresençaemAgosto[11],"E")</totalsRowFormula>
    </tableColumn>
    <tableColumn id="13" name="12" totalsRowFunction="custom" totalsRowDxfId="949">
      <totalsRowFormula>COUNTIF(PresençaemAgosto[12],"U")+COUNTIF(PresençaemAgosto[12],"E")</totalsRowFormula>
    </tableColumn>
    <tableColumn id="14" name="13" totalsRowFunction="custom" totalsRowDxfId="948">
      <totalsRowFormula>COUNTIF(PresençaemAgosto[13],"U")+COUNTIF(PresençaemAgosto[13],"E")</totalsRowFormula>
    </tableColumn>
    <tableColumn id="15" name="14" totalsRowFunction="custom" totalsRowDxfId="947">
      <totalsRowFormula>COUNTIF(PresençaemAgosto[14],"U")+COUNTIF(PresençaemAgosto[14],"E")</totalsRowFormula>
    </tableColumn>
    <tableColumn id="16" name="15" totalsRowFunction="custom" totalsRowDxfId="946">
      <totalsRowFormula>COUNTIF(PresençaemAgosto[15],"U")+COUNTIF(PresençaemAgosto[15],"E")</totalsRowFormula>
    </tableColumn>
    <tableColumn id="17" name="16" totalsRowFunction="custom" totalsRowDxfId="945">
      <totalsRowFormula>COUNTIF(PresençaemAgosto[16],"U")+COUNTIF(PresençaemAgosto[16],"E")</totalsRowFormula>
    </tableColumn>
    <tableColumn id="18" name="17" totalsRowFunction="custom" totalsRowDxfId="944">
      <totalsRowFormula>COUNTIF(PresençaemAgosto[17],"U")+COUNTIF(PresençaemAgosto[17],"E")</totalsRowFormula>
    </tableColumn>
    <tableColumn id="19" name="18" totalsRowFunction="custom" totalsRowDxfId="943">
      <totalsRowFormula>COUNTIF(PresençaemAgosto[18],"U")+COUNTIF(PresençaemAgosto[18],"E")</totalsRowFormula>
    </tableColumn>
    <tableColumn id="20" name="19" totalsRowFunction="custom" totalsRowDxfId="942">
      <totalsRowFormula>COUNTIF(PresençaemAgosto[19],"U")+COUNTIF(PresençaemAgosto[19],"E")</totalsRowFormula>
    </tableColumn>
    <tableColumn id="21" name="20" totalsRowFunction="custom" totalsRowDxfId="941">
      <totalsRowFormula>COUNTIF(PresençaemAgosto[20],"U")+COUNTIF(PresençaemAgosto[20],"E")</totalsRowFormula>
    </tableColumn>
    <tableColumn id="22" name="21" totalsRowFunction="custom" totalsRowDxfId="940">
      <totalsRowFormula>COUNTIF(PresençaemAgosto[21],"U")+COUNTIF(PresençaemAgosto[21],"E")</totalsRowFormula>
    </tableColumn>
    <tableColumn id="23" name="22" totalsRowFunction="custom" totalsRowDxfId="939">
      <totalsRowFormula>COUNTIF(PresençaemAgosto[22],"U")+COUNTIF(PresençaemAgosto[22],"E")</totalsRowFormula>
    </tableColumn>
    <tableColumn id="24" name="23" totalsRowFunction="custom" totalsRowDxfId="938">
      <totalsRowFormula>COUNTIF(PresençaemAgosto[23],"U")+COUNTIF(PresençaemAgosto[23],"E")</totalsRowFormula>
    </tableColumn>
    <tableColumn id="25" name="24" totalsRowFunction="custom" totalsRowDxfId="937">
      <totalsRowFormula>COUNTIF(PresençaemAgosto[24],"U")+COUNTIF(PresençaemAgosto[24],"E")</totalsRowFormula>
    </tableColumn>
    <tableColumn id="26" name="25" totalsRowFunction="custom" totalsRowDxfId="936">
      <totalsRowFormula>COUNTIF(PresençaemAgosto[25],"U")+COUNTIF(PresençaemAgosto[25],"E")</totalsRowFormula>
    </tableColumn>
    <tableColumn id="27" name="26" totalsRowFunction="custom" totalsRowDxfId="935">
      <totalsRowFormula>COUNTIF(PresençaemAgosto[26],"U")+COUNTIF(PresençaemAgosto[26],"E")</totalsRowFormula>
    </tableColumn>
    <tableColumn id="28" name="27" totalsRowFunction="custom" totalsRowDxfId="934">
      <totalsRowFormula>COUNTIF(PresençaemAgosto[27],"U")+COUNTIF(PresençaemAgosto[27],"E")</totalsRowFormula>
    </tableColumn>
    <tableColumn id="29" name="28" totalsRowFunction="custom" totalsRowDxfId="933">
      <totalsRowFormula>COUNTIF(PresençaemAgosto[28],"U")+COUNTIF(PresençaemAgosto[28],"E")</totalsRowFormula>
    </tableColumn>
    <tableColumn id="30" name="29" totalsRowFunction="custom" totalsRowDxfId="932">
      <totalsRowFormula>COUNTIF(PresençaemAgosto[29],"U")+COUNTIF(PresençaemAgosto[29],"E")</totalsRowFormula>
    </tableColumn>
    <tableColumn id="31" name="30" totalsRowFunction="custom" totalsRowDxfId="931">
      <totalsRowFormula>COUNTIF(PresençaemAgosto[30],"U")+COUNTIF(PresençaemAgosto[30],"E")</totalsRowFormula>
    </tableColumn>
    <tableColumn id="32" name="31" totalsRowFunction="custom" totalsRowDxfId="930">
      <totalsRowFormula>COUNTIF(PresençaemAgosto[31],"U")+COUNTIF(PresençaemAgosto[31],"E")</totalsRowFormula>
    </tableColumn>
    <tableColumn id="35" name="T" totalsRowFunction="sum" dataDxfId="929" totalsRowDxfId="928">
      <calculatedColumnFormula>COUNTIF(PresençaemAgosto[[#This Row],[1]:[31]],Código1)</calculatedColumnFormula>
    </tableColumn>
    <tableColumn id="34" name="E" totalsRowFunction="sum" dataDxfId="927" totalsRowDxfId="926">
      <calculatedColumnFormula>COUNTIF(PresençaemAgosto[[#This Row],[1]:[31]],Código2)</calculatedColumnFormula>
    </tableColumn>
    <tableColumn id="37" name="U" totalsRowFunction="sum" dataDxfId="925" totalsRowDxfId="924">
      <calculatedColumnFormula>COUNTIF(PresençaemAgosto[[#This Row],[1]:[31]],Código3)</calculatedColumnFormula>
    </tableColumn>
    <tableColumn id="36" name="P" totalsRowFunction="sum" dataDxfId="923" totalsRowDxfId="922">
      <calculatedColumnFormula>COUNTIF(PresençaemAgosto[[#This Row],[1]:[31]],Código4)</calculatedColumnFormula>
    </tableColumn>
    <tableColumn id="33" name="Dias de Ausência" totalsRowFunction="sum" totalsRowDxfId="921">
      <calculatedColumnFormula>SUM(PresençaemAgosto[[#This Row],[E]:[U]])</calculatedColumnFormula>
    </tableColumn>
  </tableColumns>
  <tableStyleInfo name="Employee Absence Table" showFirstColumn="0" showLastColumn="1" showRowStripes="1" showColumnStripes="1"/>
  <extLst>
    <ext xmlns:x14="http://schemas.microsoft.com/office/spreadsheetml/2009/9/main" uri="{504A1905-F514-4f6f-8877-14C23A59335A}">
      <x14:table altText="Registro de Presença em Agosto" altTextSummary="Controla a presença do aluno, como T=Atrasado, E=Dispensado, U=Não Dispensado, P=Presente, N=Sem Aula no mês de agosto."/>
    </ext>
  </extLst>
</table>
</file>

<file path=xl/tables/table3.xml><?xml version="1.0" encoding="utf-8"?>
<table xmlns="http://schemas.openxmlformats.org/spreadsheetml/2006/main" id="10" name="PresençaemSetembro" displayName="PresençaemSetembro" ref="B6:AM12" totalsRowCount="1" totalsRowDxfId="910">
  <tableColumns count="38">
    <tableColumn id="38" name="ID do Aluno" totalsRowDxfId="909"/>
    <tableColumn id="1" name="Nome do Aluno" totalsRowLabel="Total de dias de ausência" dataDxfId="908" totalsRowDxfId="907"/>
    <tableColumn id="2" name="1" totalsRowFunction="custom" dataDxfId="906" totalsRowDxfId="905">
      <totalsRowFormula>COUNTIF(PresençaemSetembro[1],"U")+COUNTIF(PresençaemSetembro[1],"E")</totalsRowFormula>
    </tableColumn>
    <tableColumn id="3" name="2" totalsRowFunction="custom" dataDxfId="904" totalsRowDxfId="903">
      <totalsRowFormula>COUNTIF(PresençaemSetembro[2],"U")+COUNTIF(PresençaemSetembro[2],"E")</totalsRowFormula>
    </tableColumn>
    <tableColumn id="4" name="3" totalsRowFunction="custom" dataDxfId="902" totalsRowDxfId="901">
      <totalsRowFormula>COUNTIF(PresençaemSetembro[3],"U")+COUNTIF(PresençaemSetembro[3],"E")</totalsRowFormula>
    </tableColumn>
    <tableColumn id="5" name="4" totalsRowFunction="custom" dataDxfId="900" totalsRowDxfId="899">
      <totalsRowFormula>COUNTIF(PresençaemSetembro[4],"U")+COUNTIF(PresençaemSetembro[4],"E")</totalsRowFormula>
    </tableColumn>
    <tableColumn id="6" name="5" totalsRowFunction="custom" dataDxfId="898" totalsRowDxfId="897">
      <totalsRowFormula>COUNTIF(PresençaemSetembro[5],"U")+COUNTIF(PresençaemSetembro[5],"E")</totalsRowFormula>
    </tableColumn>
    <tableColumn id="7" name="6" totalsRowFunction="custom" dataDxfId="896" totalsRowDxfId="895">
      <totalsRowFormula>COUNTIF(PresençaemSetembro[6],"U")+COUNTIF(PresençaemSetembro[6],"E")</totalsRowFormula>
    </tableColumn>
    <tableColumn id="8" name="7" totalsRowFunction="custom" dataDxfId="894" totalsRowDxfId="893">
      <totalsRowFormula>COUNTIF(PresençaemSetembro[7],"U")+COUNTIF(PresençaemSetembro[7],"E")</totalsRowFormula>
    </tableColumn>
    <tableColumn id="9" name="8" totalsRowFunction="custom" dataDxfId="892" totalsRowDxfId="891">
      <totalsRowFormula>COUNTIF(PresençaemSetembro[8],"U")+COUNTIF(PresençaemSetembro[8],"E")</totalsRowFormula>
    </tableColumn>
    <tableColumn id="10" name="9" totalsRowFunction="custom" dataDxfId="890" totalsRowDxfId="889">
      <totalsRowFormula>COUNTIF(PresençaemSetembro[9],"U")+COUNTIF(PresençaemSetembro[9],"E")</totalsRowFormula>
    </tableColumn>
    <tableColumn id="11" name="10" totalsRowFunction="custom" dataDxfId="888" totalsRowDxfId="887">
      <totalsRowFormula>COUNTIF(PresençaemSetembro[10],"U")+COUNTIF(PresençaemSetembro[10],"E")</totalsRowFormula>
    </tableColumn>
    <tableColumn id="12" name="11" totalsRowFunction="custom" dataDxfId="886" totalsRowDxfId="885">
      <totalsRowFormula>COUNTIF(PresençaemSetembro[11],"U")+COUNTIF(PresençaemSetembro[11],"E")</totalsRowFormula>
    </tableColumn>
    <tableColumn id="13" name="12" totalsRowFunction="custom" dataDxfId="884" totalsRowDxfId="883">
      <totalsRowFormula>COUNTIF(PresençaemSetembro[12],"U")+COUNTIF(PresençaemSetembro[12],"E")</totalsRowFormula>
    </tableColumn>
    <tableColumn id="14" name="13" totalsRowFunction="custom" dataDxfId="882" totalsRowDxfId="881">
      <totalsRowFormula>COUNTIF(PresençaemSetembro[13],"U")+COUNTIF(PresençaemSetembro[13],"E")</totalsRowFormula>
    </tableColumn>
    <tableColumn id="15" name="14" totalsRowFunction="custom" dataDxfId="880" totalsRowDxfId="879">
      <totalsRowFormula>COUNTIF(PresençaemSetembro[14],"U")+COUNTIF(PresençaemSetembro[14],"E")</totalsRowFormula>
    </tableColumn>
    <tableColumn id="16" name="15" totalsRowFunction="custom" dataDxfId="878" totalsRowDxfId="877">
      <totalsRowFormula>COUNTIF(PresençaemSetembro[15],"U")+COUNTIF(PresençaemSetembro[15],"E")</totalsRowFormula>
    </tableColumn>
    <tableColumn id="17" name="16" totalsRowFunction="custom" dataDxfId="876" totalsRowDxfId="875">
      <totalsRowFormula>COUNTIF(PresençaemSetembro[16],"U")+COUNTIF(PresençaemSetembro[16],"E")</totalsRowFormula>
    </tableColumn>
    <tableColumn id="18" name="17" totalsRowFunction="custom" dataDxfId="874" totalsRowDxfId="873">
      <totalsRowFormula>COUNTIF(PresençaemSetembro[17],"U")+COUNTIF(PresençaemSetembro[17],"E")</totalsRowFormula>
    </tableColumn>
    <tableColumn id="19" name="18" totalsRowFunction="custom" dataDxfId="872" totalsRowDxfId="871">
      <totalsRowFormula>COUNTIF(PresençaemSetembro[18],"U")+COUNTIF(PresençaemSetembro[18],"E")</totalsRowFormula>
    </tableColumn>
    <tableColumn id="20" name="19" totalsRowFunction="custom" dataDxfId="870" totalsRowDxfId="869">
      <totalsRowFormula>COUNTIF(PresençaemSetembro[19],"U")+COUNTIF(PresençaemSetembro[19],"E")</totalsRowFormula>
    </tableColumn>
    <tableColumn id="21" name="20" totalsRowFunction="custom" dataDxfId="868" totalsRowDxfId="867">
      <totalsRowFormula>COUNTIF(PresençaemSetembro[20],"U")+COUNTIF(PresençaemSetembro[20],"E")</totalsRowFormula>
    </tableColumn>
    <tableColumn id="22" name="21" totalsRowFunction="custom" dataDxfId="866" totalsRowDxfId="865">
      <totalsRowFormula>COUNTIF(PresençaemSetembro[21],"U")+COUNTIF(PresençaemSetembro[21],"E")</totalsRowFormula>
    </tableColumn>
    <tableColumn id="23" name="22" totalsRowFunction="custom" dataDxfId="864" totalsRowDxfId="863">
      <totalsRowFormula>COUNTIF(PresençaemSetembro[22],"U")+COUNTIF(PresençaemSetembro[22],"E")</totalsRowFormula>
    </tableColumn>
    <tableColumn id="24" name="23" totalsRowFunction="custom" dataDxfId="862" totalsRowDxfId="861">
      <totalsRowFormula>COUNTIF(PresençaemSetembro[23],"U")+COUNTIF(PresençaemSetembro[23],"E")</totalsRowFormula>
    </tableColumn>
    <tableColumn id="25" name="24" totalsRowFunction="custom" dataDxfId="860" totalsRowDxfId="859">
      <totalsRowFormula>COUNTIF(PresençaemSetembro[24],"U")+COUNTIF(PresençaemSetembro[24],"E")</totalsRowFormula>
    </tableColumn>
    <tableColumn id="26" name="25" totalsRowFunction="custom" dataDxfId="858" totalsRowDxfId="857">
      <totalsRowFormula>COUNTIF(PresençaemSetembro[25],"U")+COUNTIF(PresençaemSetembro[25],"E")</totalsRowFormula>
    </tableColumn>
    <tableColumn id="27" name="26" totalsRowFunction="custom" dataDxfId="856" totalsRowDxfId="855">
      <totalsRowFormula>COUNTIF(PresençaemSetembro[26],"U")+COUNTIF(PresençaemSetembro[26],"E")</totalsRowFormula>
    </tableColumn>
    <tableColumn id="28" name="27" totalsRowFunction="custom" dataDxfId="854" totalsRowDxfId="853">
      <totalsRowFormula>COUNTIF(PresençaemSetembro[27],"U")+COUNTIF(PresençaemSetembro[27],"E")</totalsRowFormula>
    </tableColumn>
    <tableColumn id="29" name="28" totalsRowFunction="custom" dataDxfId="852" totalsRowDxfId="851">
      <totalsRowFormula>COUNTIF(PresençaemSetembro[28],"U")+COUNTIF(PresençaemSetembro[28],"E")</totalsRowFormula>
    </tableColumn>
    <tableColumn id="30" name="29" totalsRowFunction="custom" dataDxfId="850" totalsRowDxfId="849">
      <totalsRowFormula>COUNTIF(PresençaemSetembro[29],"U")+COUNTIF(PresençaemSetembro[29],"E")</totalsRowFormula>
    </tableColumn>
    <tableColumn id="31" name="30" totalsRowFunction="custom" totalsRowDxfId="848">
      <totalsRowFormula>COUNTIF(PresençaemSetembro[30],"U")+COUNTIF(PresençaemSetembro[30],"E")</totalsRowFormula>
    </tableColumn>
    <tableColumn id="32" name=" " totalsRowFunction="custom" totalsRowDxfId="847">
      <totalsRowFormula>COUNTIF(PresençaemSetembro[[ ]],"U")+COUNTIF(PresençaemSetembro[[ ]],"E")</totalsRowFormula>
    </tableColumn>
    <tableColumn id="35" name="T" totalsRowFunction="sum" dataDxfId="846" totalsRowDxfId="845">
      <calculatedColumnFormula>COUNTIF(PresençaemSetembro[[#This Row],[1]:[ ]],Código1)</calculatedColumnFormula>
    </tableColumn>
    <tableColumn id="34" name="E" totalsRowFunction="sum" dataDxfId="844" totalsRowDxfId="843">
      <calculatedColumnFormula>COUNTIF(PresençaemSetembro[[#This Row],[1]:[ ]],Código2)</calculatedColumnFormula>
    </tableColumn>
    <tableColumn id="37" name="U" totalsRowFunction="sum" dataDxfId="842" totalsRowDxfId="841">
      <calculatedColumnFormula>COUNTIF(PresençaemSetembro[[#This Row],[1]:[ ]],Código3)</calculatedColumnFormula>
    </tableColumn>
    <tableColumn id="36" name="P" totalsRowFunction="sum" dataDxfId="840" totalsRowDxfId="839">
      <calculatedColumnFormula>COUNTIF(PresençaemSetembro[[#This Row],[1]:[ ]],Código4)</calculatedColumnFormula>
    </tableColumn>
    <tableColumn id="33" name="Dias de Ausência" totalsRowFunction="sum" totalsRowDxfId="838">
      <calculatedColumnFormula>SUM(PresençaemSetembro[[#This Row],[E]:[U]])</calculatedColumnFormula>
    </tableColumn>
  </tableColumns>
  <tableStyleInfo name="Employee Absence Table" showFirstColumn="0" showLastColumn="1" showRowStripes="1" showColumnStripes="1"/>
  <extLst>
    <ext xmlns:x14="http://schemas.microsoft.com/office/spreadsheetml/2009/9/main" uri="{504A1905-F514-4f6f-8877-14C23A59335A}">
      <x14:table altText="Registro de Presença em Agosto" altTextSummary="Controla a presença do aluno, como T=Atrasado, E=Dispensado, U=Não Dispensado, P=Presente, N=Sem Aula no mês de setembro."/>
    </ext>
  </extLst>
</table>
</file>

<file path=xl/tables/table4.xml><?xml version="1.0" encoding="utf-8"?>
<table xmlns="http://schemas.openxmlformats.org/spreadsheetml/2006/main" id="2" name="PresençaemOutubro" displayName="PresençaemOutubro" ref="B6:AM12" totalsRowCount="1" totalsRowDxfId="827">
  <tableColumns count="38">
    <tableColumn id="38" name="ID do Aluno" totalsRowDxfId="826"/>
    <tableColumn id="1" name="Nome do Aluno" totalsRowLabel="Total de dias de ausência" dataDxfId="825" totalsRowDxfId="824"/>
    <tableColumn id="2" name="1" totalsRowFunction="custom" dataDxfId="823" totalsRowDxfId="822">
      <totalsRowFormula>COUNTIF(PresençaemOutubro[1],"U")+COUNTIF(PresençaemOutubro[1],"E")</totalsRowFormula>
    </tableColumn>
    <tableColumn id="3" name="2" totalsRowFunction="custom" dataDxfId="821" totalsRowDxfId="820">
      <totalsRowFormula>COUNTIF(PresençaemOutubro[2],"U")+COUNTIF(PresençaemOutubro[2],"E")</totalsRowFormula>
    </tableColumn>
    <tableColumn id="4" name="3" totalsRowFunction="custom" dataDxfId="819" totalsRowDxfId="818">
      <totalsRowFormula>COUNTIF(PresençaemOutubro[3],"U")+COUNTIF(PresençaemOutubro[3],"E")</totalsRowFormula>
    </tableColumn>
    <tableColumn id="5" name="4" totalsRowFunction="custom" dataDxfId="817" totalsRowDxfId="816">
      <totalsRowFormula>COUNTIF(PresençaemOutubro[4],"U")+COUNTIF(PresençaemOutubro[4],"E")</totalsRowFormula>
    </tableColumn>
    <tableColumn id="6" name="5" totalsRowFunction="custom" dataDxfId="815" totalsRowDxfId="814">
      <totalsRowFormula>COUNTIF(PresençaemOutubro[5],"U")+COUNTIF(PresençaemOutubro[5],"E")</totalsRowFormula>
    </tableColumn>
    <tableColumn id="7" name="6" totalsRowFunction="custom" dataDxfId="813" totalsRowDxfId="812">
      <totalsRowFormula>COUNTIF(PresençaemOutubro[6],"U")+COUNTIF(PresençaemOutubro[6],"E")</totalsRowFormula>
    </tableColumn>
    <tableColumn id="8" name="7" totalsRowFunction="custom" dataDxfId="811" totalsRowDxfId="810">
      <totalsRowFormula>COUNTIF(PresençaemOutubro[7],"U")+COUNTIF(PresençaemOutubro[7],"E")</totalsRowFormula>
    </tableColumn>
    <tableColumn id="9" name="8" totalsRowFunction="custom" dataDxfId="809" totalsRowDxfId="808">
      <totalsRowFormula>COUNTIF(PresençaemOutubro[8],"U")+COUNTIF(PresençaemOutubro[8],"E")</totalsRowFormula>
    </tableColumn>
    <tableColumn id="10" name="9" totalsRowFunction="custom" dataDxfId="807" totalsRowDxfId="806">
      <totalsRowFormula>COUNTIF(PresençaemOutubro[9],"U")+COUNTIF(PresençaemOutubro[9],"E")</totalsRowFormula>
    </tableColumn>
    <tableColumn id="11" name="10" totalsRowFunction="custom" dataDxfId="805" totalsRowDxfId="804">
      <totalsRowFormula>COUNTIF(PresençaemOutubro[10],"U")+COUNTIF(PresençaemOutubro[10],"E")</totalsRowFormula>
    </tableColumn>
    <tableColumn id="12" name="11" totalsRowFunction="custom" dataDxfId="803" totalsRowDxfId="802">
      <totalsRowFormula>COUNTIF(PresençaemOutubro[11],"U")+COUNTIF(PresençaemOutubro[11],"E")</totalsRowFormula>
    </tableColumn>
    <tableColumn id="13" name="12" totalsRowFunction="custom" dataDxfId="801" totalsRowDxfId="800">
      <totalsRowFormula>COUNTIF(PresençaemOutubro[12],"U")+COUNTIF(PresençaemOutubro[12],"E")</totalsRowFormula>
    </tableColumn>
    <tableColumn id="14" name="13" totalsRowFunction="custom" dataDxfId="799" totalsRowDxfId="798">
      <totalsRowFormula>COUNTIF(PresençaemOutubro[13],"U")+COUNTIF(PresençaemOutubro[13],"E")</totalsRowFormula>
    </tableColumn>
    <tableColumn id="15" name="14" totalsRowFunction="custom" dataDxfId="797" totalsRowDxfId="796">
      <totalsRowFormula>COUNTIF(PresençaemOutubro[14],"U")+COUNTIF(PresençaemOutubro[14],"E")</totalsRowFormula>
    </tableColumn>
    <tableColumn id="16" name="15" totalsRowFunction="custom" dataDxfId="795" totalsRowDxfId="794">
      <totalsRowFormula>COUNTIF(PresençaemOutubro[15],"U")+COUNTIF(PresençaemOutubro[15],"E")</totalsRowFormula>
    </tableColumn>
    <tableColumn id="17" name="16" totalsRowFunction="custom" dataDxfId="793" totalsRowDxfId="792">
      <totalsRowFormula>COUNTIF(PresençaemOutubro[16],"U")+COUNTIF(PresençaemOutubro[16],"E")</totalsRowFormula>
    </tableColumn>
    <tableColumn id="18" name="17" totalsRowFunction="custom" dataDxfId="791" totalsRowDxfId="790">
      <totalsRowFormula>COUNTIF(PresençaemOutubro[17],"U")+COUNTIF(PresençaemOutubro[17],"E")</totalsRowFormula>
    </tableColumn>
    <tableColumn id="19" name="18" totalsRowFunction="custom" dataDxfId="789" totalsRowDxfId="788">
      <totalsRowFormula>COUNTIF(PresençaemOutubro[18],"U")+COUNTIF(PresençaemOutubro[18],"E")</totalsRowFormula>
    </tableColumn>
    <tableColumn id="20" name="19" totalsRowFunction="custom" dataDxfId="787" totalsRowDxfId="786">
      <totalsRowFormula>COUNTIF(PresençaemOutubro[19],"U")+COUNTIF(PresençaemOutubro[19],"E")</totalsRowFormula>
    </tableColumn>
    <tableColumn id="21" name="20" totalsRowFunction="custom" dataDxfId="785" totalsRowDxfId="784">
      <totalsRowFormula>COUNTIF(PresençaemOutubro[20],"U")+COUNTIF(PresençaemOutubro[20],"E")</totalsRowFormula>
    </tableColumn>
    <tableColumn id="22" name="21" totalsRowFunction="custom" dataDxfId="783" totalsRowDxfId="782">
      <totalsRowFormula>COUNTIF(PresençaemOutubro[21],"U")+COUNTIF(PresençaemOutubro[21],"E")</totalsRowFormula>
    </tableColumn>
    <tableColumn id="23" name="22" totalsRowFunction="custom" dataDxfId="781" totalsRowDxfId="780">
      <totalsRowFormula>COUNTIF(PresençaemOutubro[22],"U")+COUNTIF(PresençaemOutubro[22],"E")</totalsRowFormula>
    </tableColumn>
    <tableColumn id="24" name="23" totalsRowFunction="custom" dataDxfId="779" totalsRowDxfId="778">
      <totalsRowFormula>COUNTIF(PresençaemOutubro[23],"U")+COUNTIF(PresençaemOutubro[23],"E")</totalsRowFormula>
    </tableColumn>
    <tableColumn id="25" name="24" totalsRowFunction="custom" dataDxfId="777" totalsRowDxfId="776">
      <totalsRowFormula>COUNTIF(PresençaemOutubro[24],"U")+COUNTIF(PresençaemOutubro[24],"E")</totalsRowFormula>
    </tableColumn>
    <tableColumn id="26" name="25" totalsRowFunction="custom" dataDxfId="775" totalsRowDxfId="774">
      <totalsRowFormula>COUNTIF(PresençaemOutubro[25],"U")+COUNTIF(PresençaemOutubro[25],"E")</totalsRowFormula>
    </tableColumn>
    <tableColumn id="27" name="26" totalsRowFunction="custom" dataDxfId="773" totalsRowDxfId="772">
      <totalsRowFormula>COUNTIF(PresençaemOutubro[26],"U")+COUNTIF(PresençaemOutubro[26],"E")</totalsRowFormula>
    </tableColumn>
    <tableColumn id="28" name="27" totalsRowFunction="custom" dataDxfId="771" totalsRowDxfId="770">
      <totalsRowFormula>COUNTIF(PresençaemOutubro[27],"U")+COUNTIF(PresençaemOutubro[27],"E")</totalsRowFormula>
    </tableColumn>
    <tableColumn id="29" name="28" totalsRowFunction="custom" dataDxfId="769" totalsRowDxfId="768">
      <totalsRowFormula>COUNTIF(PresençaemOutubro[28],"U")+COUNTIF(PresençaemOutubro[28],"E")</totalsRowFormula>
    </tableColumn>
    <tableColumn id="30" name="29" totalsRowFunction="custom" dataDxfId="767" totalsRowDxfId="766">
      <totalsRowFormula>COUNTIF(PresençaemOutubro[29],"U")+COUNTIF(PresençaemOutubro[29],"E")</totalsRowFormula>
    </tableColumn>
    <tableColumn id="31" name="30" totalsRowFunction="custom" totalsRowDxfId="765">
      <totalsRowFormula>COUNTIF(PresençaemOutubro[30],"U")+COUNTIF(PresençaemOutubro[30],"E")</totalsRowFormula>
    </tableColumn>
    <tableColumn id="32" name="31" totalsRowFunction="custom" totalsRowDxfId="764">
      <totalsRowFormula>COUNTIF(PresençaemOutubro[31],"U")+COUNTIF(PresençaemOutubro[31],"E")</totalsRowFormula>
    </tableColumn>
    <tableColumn id="35" name="T" totalsRowFunction="sum" dataDxfId="763" totalsRowDxfId="762">
      <calculatedColumnFormula>COUNTIF(PresençaemOutubro[[#This Row],[1]:[31]],Código1)</calculatedColumnFormula>
    </tableColumn>
    <tableColumn id="34" name="E" totalsRowFunction="sum" dataDxfId="761" totalsRowDxfId="760">
      <calculatedColumnFormula>COUNTIF(PresençaemOutubro[[#This Row],[1]:[31]],Código2)</calculatedColumnFormula>
    </tableColumn>
    <tableColumn id="37" name="U" totalsRowFunction="sum" dataDxfId="759" totalsRowDxfId="758">
      <calculatedColumnFormula>COUNTIF(PresençaemOutubro[[#This Row],[1]:[31]],Código3)</calculatedColumnFormula>
    </tableColumn>
    <tableColumn id="36" name="P" totalsRowFunction="sum" dataDxfId="757" totalsRowDxfId="756">
      <calculatedColumnFormula>COUNTIF(PresençaemOutubro[[#This Row],[1]:[31]],Código4)</calculatedColumnFormula>
    </tableColumn>
    <tableColumn id="33" name="Dias de Ausência" totalsRowFunction="sum" totalsRowDxfId="755">
      <calculatedColumnFormula>SUM(PresençaemOutubro[[#This Row],[E]:[U]])</calculatedColumnFormula>
    </tableColumn>
  </tableColumns>
  <tableStyleInfo name="Employee Absence Table" showFirstColumn="0" showLastColumn="1" showRowStripes="1" showColumnStripes="1"/>
  <extLst>
    <ext xmlns:x14="http://schemas.microsoft.com/office/spreadsheetml/2009/9/main" uri="{504A1905-F514-4f6f-8877-14C23A59335A}">
      <x14:table altText="Registro de Presença em Agosto" altTextSummary="Controla a presença do aluno, como T=Atrasado, E=Dispensado, U=Não Dispensado, P=Presente, N=Sem Aula no mês de outubro."/>
    </ext>
  </extLst>
</table>
</file>

<file path=xl/tables/table5.xml><?xml version="1.0" encoding="utf-8"?>
<table xmlns="http://schemas.openxmlformats.org/spreadsheetml/2006/main" id="4" name="PresençaemNovembro" displayName="PresençaemNovembro" ref="B6:AM12" totalsRowCount="1" totalsRowDxfId="744">
  <tableColumns count="38">
    <tableColumn id="38" name="ID do Aluno" totalsRowDxfId="743"/>
    <tableColumn id="1" name="Nome do Aluno" totalsRowLabel="Total de dias de ausência" dataDxfId="742" totalsRowDxfId="741"/>
    <tableColumn id="2" name="1" totalsRowFunction="custom" dataDxfId="740" totalsRowDxfId="739">
      <totalsRowFormula>COUNTIF(PresençaemNovembro[1],"U")+COUNTIF(PresençaemNovembro[1],"E")</totalsRowFormula>
    </tableColumn>
    <tableColumn id="3" name="2" totalsRowFunction="custom" dataDxfId="738" totalsRowDxfId="737">
      <totalsRowFormula>COUNTIF(PresençaemNovembro[2],"U")+COUNTIF(PresençaemNovembro[2],"E")</totalsRowFormula>
    </tableColumn>
    <tableColumn id="4" name="3" totalsRowFunction="custom" dataDxfId="736" totalsRowDxfId="735">
      <totalsRowFormula>COUNTIF(PresençaemNovembro[3],"U")+COUNTIF(PresençaemNovembro[3],"E")</totalsRowFormula>
    </tableColumn>
    <tableColumn id="5" name="4" totalsRowFunction="custom" dataDxfId="734" totalsRowDxfId="733">
      <totalsRowFormula>COUNTIF(PresençaemNovembro[4],"U")+COUNTIF(PresençaemNovembro[4],"E")</totalsRowFormula>
    </tableColumn>
    <tableColumn id="6" name="5" totalsRowFunction="custom" dataDxfId="732" totalsRowDxfId="731">
      <totalsRowFormula>COUNTIF(PresençaemNovembro[5],"U")+COUNTIF(PresençaemNovembro[5],"E")</totalsRowFormula>
    </tableColumn>
    <tableColumn id="7" name="6" totalsRowFunction="custom" dataDxfId="730" totalsRowDxfId="729">
      <totalsRowFormula>COUNTIF(PresençaemNovembro[6],"U")+COUNTIF(PresençaemNovembro[6],"E")</totalsRowFormula>
    </tableColumn>
    <tableColumn id="8" name="7" totalsRowFunction="custom" dataDxfId="728" totalsRowDxfId="727">
      <totalsRowFormula>COUNTIF(PresençaemNovembro[7],"U")+COUNTIF(PresençaemNovembro[7],"E")</totalsRowFormula>
    </tableColumn>
    <tableColumn id="9" name="8" totalsRowFunction="custom" dataDxfId="726" totalsRowDxfId="725">
      <totalsRowFormula>COUNTIF(PresençaemNovembro[8],"U")+COUNTIF(PresençaemNovembro[8],"E")</totalsRowFormula>
    </tableColumn>
    <tableColumn id="10" name="9" totalsRowFunction="custom" dataDxfId="724" totalsRowDxfId="723">
      <totalsRowFormula>COUNTIF(PresençaemNovembro[9],"U")+COUNTIF(PresençaemNovembro[9],"E")</totalsRowFormula>
    </tableColumn>
    <tableColumn id="11" name="10" totalsRowFunction="custom" dataDxfId="722" totalsRowDxfId="721">
      <totalsRowFormula>COUNTIF(PresençaemNovembro[10],"U")+COUNTIF(PresençaemNovembro[10],"E")</totalsRowFormula>
    </tableColumn>
    <tableColumn id="12" name="11" totalsRowFunction="custom" dataDxfId="720" totalsRowDxfId="719">
      <totalsRowFormula>COUNTIF(PresençaemNovembro[11],"U")+COUNTIF(PresençaemNovembro[11],"E")</totalsRowFormula>
    </tableColumn>
    <tableColumn id="13" name="12" totalsRowFunction="custom" dataDxfId="718" totalsRowDxfId="717">
      <totalsRowFormula>COUNTIF(PresençaemNovembro[12],"U")+COUNTIF(PresençaemNovembro[12],"E")</totalsRowFormula>
    </tableColumn>
    <tableColumn id="14" name="13" totalsRowFunction="custom" dataDxfId="716" totalsRowDxfId="715">
      <totalsRowFormula>COUNTIF(PresençaemNovembro[13],"U")+COUNTIF(PresençaemNovembro[13],"E")</totalsRowFormula>
    </tableColumn>
    <tableColumn id="15" name="14" totalsRowFunction="custom" dataDxfId="714" totalsRowDxfId="713">
      <totalsRowFormula>COUNTIF(PresençaemNovembro[14],"U")+COUNTIF(PresençaemNovembro[14],"E")</totalsRowFormula>
    </tableColumn>
    <tableColumn id="16" name="15" totalsRowFunction="custom" dataDxfId="712" totalsRowDxfId="711">
      <totalsRowFormula>COUNTIF(PresençaemNovembro[15],"U")+COUNTIF(PresençaemNovembro[15],"E")</totalsRowFormula>
    </tableColumn>
    <tableColumn id="17" name="16" totalsRowFunction="custom" dataDxfId="710" totalsRowDxfId="709">
      <totalsRowFormula>COUNTIF(PresençaemNovembro[16],"U")+COUNTIF(PresençaemNovembro[16],"E")</totalsRowFormula>
    </tableColumn>
    <tableColumn id="18" name="17" totalsRowFunction="custom" dataDxfId="708" totalsRowDxfId="707">
      <totalsRowFormula>COUNTIF(PresençaemNovembro[17],"U")+COUNTIF(PresençaemNovembro[17],"E")</totalsRowFormula>
    </tableColumn>
    <tableColumn id="19" name="18" totalsRowFunction="custom" dataDxfId="706" totalsRowDxfId="705">
      <totalsRowFormula>COUNTIF(PresençaemNovembro[18],"U")+COUNTIF(PresençaemNovembro[18],"E")</totalsRowFormula>
    </tableColumn>
    <tableColumn id="20" name="19" totalsRowFunction="custom" dataDxfId="704" totalsRowDxfId="703">
      <totalsRowFormula>COUNTIF(PresençaemNovembro[19],"U")+COUNTIF(PresençaemNovembro[19],"E")</totalsRowFormula>
    </tableColumn>
    <tableColumn id="21" name="20" totalsRowFunction="custom" dataDxfId="702" totalsRowDxfId="701">
      <totalsRowFormula>COUNTIF(PresençaemNovembro[20],"U")+COUNTIF(PresençaemNovembro[20],"E")</totalsRowFormula>
    </tableColumn>
    <tableColumn id="22" name="21" totalsRowFunction="custom" dataDxfId="700" totalsRowDxfId="699">
      <totalsRowFormula>COUNTIF(PresençaemNovembro[21],"U")+COUNTIF(PresençaemNovembro[21],"E")</totalsRowFormula>
    </tableColumn>
    <tableColumn id="23" name="22" totalsRowFunction="custom" dataDxfId="698" totalsRowDxfId="697">
      <totalsRowFormula>COUNTIF(PresençaemNovembro[22],"U")+COUNTIF(PresençaemNovembro[22],"E")</totalsRowFormula>
    </tableColumn>
    <tableColumn id="24" name="23" totalsRowFunction="custom" dataDxfId="696" totalsRowDxfId="695">
      <totalsRowFormula>COUNTIF(PresençaemNovembro[23],"U")+COUNTIF(PresençaemNovembro[23],"E")</totalsRowFormula>
    </tableColumn>
    <tableColumn id="25" name="24" totalsRowFunction="custom" dataDxfId="694" totalsRowDxfId="693">
      <totalsRowFormula>COUNTIF(PresençaemNovembro[24],"U")+COUNTIF(PresençaemNovembro[24],"E")</totalsRowFormula>
    </tableColumn>
    <tableColumn id="26" name="25" totalsRowFunction="custom" dataDxfId="692" totalsRowDxfId="691">
      <totalsRowFormula>COUNTIF(PresençaemNovembro[25],"U")+COUNTIF(PresençaemNovembro[25],"E")</totalsRowFormula>
    </tableColumn>
    <tableColumn id="27" name="26" totalsRowFunction="custom" dataDxfId="690" totalsRowDxfId="689">
      <totalsRowFormula>COUNTIF(PresençaemNovembro[26],"U")+COUNTIF(PresençaemNovembro[26],"E")</totalsRowFormula>
    </tableColumn>
    <tableColumn id="28" name="27" totalsRowFunction="custom" dataDxfId="688" totalsRowDxfId="687">
      <totalsRowFormula>COUNTIF(PresençaemNovembro[27],"U")+COUNTIF(PresençaemNovembro[27],"E")</totalsRowFormula>
    </tableColumn>
    <tableColumn id="29" name="28" totalsRowFunction="custom" dataDxfId="686" totalsRowDxfId="685">
      <totalsRowFormula>COUNTIF(PresençaemNovembro[28],"U")+COUNTIF(PresençaemNovembro[28],"E")</totalsRowFormula>
    </tableColumn>
    <tableColumn id="30" name="29" totalsRowFunction="custom" dataDxfId="684" totalsRowDxfId="683">
      <totalsRowFormula>COUNTIF(PresençaemNovembro[29],"U")+COUNTIF(PresençaemNovembro[29],"E")</totalsRowFormula>
    </tableColumn>
    <tableColumn id="31" name="30" totalsRowFunction="custom" totalsRowDxfId="682">
      <totalsRowFormula>COUNTIF(PresençaemNovembro[30],"U")+COUNTIF(PresençaemNovembro[30],"E")</totalsRowFormula>
    </tableColumn>
    <tableColumn id="32" name=" " totalsRowFunction="custom" totalsRowDxfId="681">
      <totalsRowFormula>COUNTIF(PresençaemNovembro[[ ]],"U")+COUNTIF(PresençaemNovembro[[ ]],"E")</totalsRowFormula>
    </tableColumn>
    <tableColumn id="35" name="T" totalsRowFunction="sum" dataDxfId="680" totalsRowDxfId="679">
      <calculatedColumnFormula>COUNTIF(PresençaemNovembro[[#This Row],[1]:[ ]],Código1)</calculatedColumnFormula>
    </tableColumn>
    <tableColumn id="34" name="E" totalsRowFunction="sum" dataDxfId="678" totalsRowDxfId="677">
      <calculatedColumnFormula>COUNTIF(PresençaemNovembro[[#This Row],[1]:[ ]],Código2)</calculatedColumnFormula>
    </tableColumn>
    <tableColumn id="37" name="U" totalsRowFunction="sum" dataDxfId="676" totalsRowDxfId="675">
      <calculatedColumnFormula>COUNTIF(PresençaemNovembro[[#This Row],[1]:[ ]],Código3)</calculatedColumnFormula>
    </tableColumn>
    <tableColumn id="36" name="P" totalsRowFunction="sum" dataDxfId="674" totalsRowDxfId="673">
      <calculatedColumnFormula>COUNTIF(PresençaemNovembro[[#This Row],[1]:[ ]],Código4)</calculatedColumnFormula>
    </tableColumn>
    <tableColumn id="33" name="Dias de Ausência" totalsRowFunction="sum" totalsRowDxfId="672">
      <calculatedColumnFormula>SUM(PresençaemNovembro[[#This Row],[E]:[U]])</calculatedColumnFormula>
    </tableColumn>
  </tableColumns>
  <tableStyleInfo name="Employee Absence Table" showFirstColumn="0" showLastColumn="1" showRowStripes="1" showColumnStripes="1"/>
  <extLst>
    <ext xmlns:x14="http://schemas.microsoft.com/office/spreadsheetml/2009/9/main" uri="{504A1905-F514-4f6f-8877-14C23A59335A}">
      <x14:table altText="Registro de Presença em Agosto" altTextSummary="Controla a presença do aluno, como T=Atrasado, E=Dispensado, U=Não Dispensado, P=Presente, N=Sem Aula no mês de novembro."/>
    </ext>
  </extLst>
</table>
</file>

<file path=xl/tables/table6.xml><?xml version="1.0" encoding="utf-8"?>
<table xmlns="http://schemas.openxmlformats.org/spreadsheetml/2006/main" id="6" name="PresençaemDezembro" displayName="PresençaemDezembro" ref="B6:AM12" totalsRowCount="1" totalsRowDxfId="661">
  <tableColumns count="38">
    <tableColumn id="38" name="ID do Aluno" totalsRowDxfId="660"/>
    <tableColumn id="1" name="Nome do Aluno" totalsRowLabel="Total de dias de ausência" dataDxfId="659" totalsRowDxfId="658"/>
    <tableColumn id="2" name="1" totalsRowFunction="custom" dataDxfId="657" totalsRowDxfId="656">
      <totalsRowFormula>COUNTIF(PresençaemDezembro[1],"U")+COUNTIF(PresençaemDezembro[1],"E")</totalsRowFormula>
    </tableColumn>
    <tableColumn id="3" name="2" totalsRowFunction="custom" dataDxfId="655" totalsRowDxfId="654">
      <totalsRowFormula>COUNTIF(PresençaemDezembro[2],"U")+COUNTIF(PresençaemDezembro[2],"E")</totalsRowFormula>
    </tableColumn>
    <tableColumn id="4" name="3" totalsRowFunction="custom" dataDxfId="653" totalsRowDxfId="652">
      <totalsRowFormula>COUNTIF(PresençaemDezembro[3],"U")+COUNTIF(PresençaemDezembro[3],"E")</totalsRowFormula>
    </tableColumn>
    <tableColumn id="5" name="4" totalsRowFunction="custom" dataDxfId="651" totalsRowDxfId="650">
      <totalsRowFormula>COUNTIF(PresençaemDezembro[4],"U")+COUNTIF(PresençaemDezembro[4],"E")</totalsRowFormula>
    </tableColumn>
    <tableColumn id="6" name="5" totalsRowFunction="custom" dataDxfId="649" totalsRowDxfId="648">
      <totalsRowFormula>COUNTIF(PresençaemDezembro[5],"U")+COUNTIF(PresençaemDezembro[5],"E")</totalsRowFormula>
    </tableColumn>
    <tableColumn id="7" name="6" totalsRowFunction="custom" dataDxfId="647" totalsRowDxfId="646">
      <totalsRowFormula>COUNTIF(PresençaemDezembro[6],"U")+COUNTIF(PresençaemDezembro[6],"E")</totalsRowFormula>
    </tableColumn>
    <tableColumn id="8" name="7" totalsRowFunction="custom" dataDxfId="645" totalsRowDxfId="644">
      <totalsRowFormula>COUNTIF(PresençaemDezembro[7],"U")+COUNTIF(PresençaemDezembro[7],"E")</totalsRowFormula>
    </tableColumn>
    <tableColumn id="9" name="8" totalsRowFunction="custom" dataDxfId="643" totalsRowDxfId="642">
      <totalsRowFormula>COUNTIF(PresençaemDezembro[8],"U")+COUNTIF(PresençaemDezembro[8],"E")</totalsRowFormula>
    </tableColumn>
    <tableColumn id="10" name="9" totalsRowFunction="custom" dataDxfId="641" totalsRowDxfId="640">
      <totalsRowFormula>COUNTIF(PresençaemDezembro[9],"U")+COUNTIF(PresençaemDezembro[9],"E")</totalsRowFormula>
    </tableColumn>
    <tableColumn id="11" name="10" totalsRowFunction="custom" dataDxfId="639" totalsRowDxfId="638">
      <totalsRowFormula>COUNTIF(PresençaemDezembro[10],"U")+COUNTIF(PresençaemDezembro[10],"E")</totalsRowFormula>
    </tableColumn>
    <tableColumn id="12" name="11" totalsRowFunction="custom" dataDxfId="637" totalsRowDxfId="636">
      <totalsRowFormula>COUNTIF(PresençaemDezembro[11],"U")+COUNTIF(PresençaemDezembro[11],"E")</totalsRowFormula>
    </tableColumn>
    <tableColumn id="13" name="12" totalsRowFunction="custom" dataDxfId="635" totalsRowDxfId="634">
      <totalsRowFormula>COUNTIF(PresençaemDezembro[12],"U")+COUNTIF(PresençaemDezembro[12],"E")</totalsRowFormula>
    </tableColumn>
    <tableColumn id="14" name="13" totalsRowFunction="custom" dataDxfId="633" totalsRowDxfId="632">
      <totalsRowFormula>COUNTIF(PresençaemDezembro[13],"U")+COUNTIF(PresençaemDezembro[13],"E")</totalsRowFormula>
    </tableColumn>
    <tableColumn id="15" name="14" totalsRowFunction="custom" dataDxfId="631" totalsRowDxfId="630">
      <totalsRowFormula>COUNTIF(PresençaemDezembro[14],"U")+COUNTIF(PresençaemDezembro[14],"E")</totalsRowFormula>
    </tableColumn>
    <tableColumn id="16" name="15" totalsRowFunction="custom" dataDxfId="629" totalsRowDxfId="628">
      <totalsRowFormula>COUNTIF(PresençaemDezembro[15],"U")+COUNTIF(PresençaemDezembro[15],"E")</totalsRowFormula>
    </tableColumn>
    <tableColumn id="17" name="16" totalsRowFunction="custom" dataDxfId="627" totalsRowDxfId="626">
      <totalsRowFormula>COUNTIF(PresençaemDezembro[16],"U")+COUNTIF(PresençaemDezembro[16],"E")</totalsRowFormula>
    </tableColumn>
    <tableColumn id="18" name="17" totalsRowFunction="custom" dataDxfId="625" totalsRowDxfId="624">
      <totalsRowFormula>COUNTIF(PresençaemDezembro[17],"U")+COUNTIF(PresençaemDezembro[17],"E")</totalsRowFormula>
    </tableColumn>
    <tableColumn id="19" name="18" totalsRowFunction="custom" dataDxfId="623" totalsRowDxfId="622">
      <totalsRowFormula>COUNTIF(PresençaemDezembro[18],"U")+COUNTIF(PresençaemDezembro[18],"E")</totalsRowFormula>
    </tableColumn>
    <tableColumn id="20" name="19" totalsRowFunction="custom" dataDxfId="621" totalsRowDxfId="620">
      <totalsRowFormula>COUNTIF(PresençaemDezembro[19],"U")+COUNTIF(PresençaemDezembro[19],"E")</totalsRowFormula>
    </tableColumn>
    <tableColumn id="21" name="20" totalsRowFunction="custom" dataDxfId="619" totalsRowDxfId="618">
      <totalsRowFormula>COUNTIF(PresençaemDezembro[20],"U")+COUNTIF(PresençaemDezembro[20],"E")</totalsRowFormula>
    </tableColumn>
    <tableColumn id="22" name="21" totalsRowFunction="custom" dataDxfId="617" totalsRowDxfId="616">
      <totalsRowFormula>COUNTIF(PresençaemDezembro[21],"U")+COUNTIF(PresençaemDezembro[21],"E")</totalsRowFormula>
    </tableColumn>
    <tableColumn id="23" name="22" totalsRowFunction="custom" dataDxfId="615" totalsRowDxfId="614">
      <totalsRowFormula>COUNTIF(PresençaemDezembro[22],"U")+COUNTIF(PresençaemDezembro[22],"E")</totalsRowFormula>
    </tableColumn>
    <tableColumn id="24" name="23" totalsRowFunction="custom" dataDxfId="613" totalsRowDxfId="612">
      <totalsRowFormula>COUNTIF(PresençaemDezembro[23],"U")+COUNTIF(PresençaemDezembro[23],"E")</totalsRowFormula>
    </tableColumn>
    <tableColumn id="25" name="24" totalsRowFunction="custom" dataDxfId="611" totalsRowDxfId="610">
      <totalsRowFormula>COUNTIF(PresençaemDezembro[24],"U")+COUNTIF(PresençaemDezembro[24],"E")</totalsRowFormula>
    </tableColumn>
    <tableColumn id="26" name="25" totalsRowFunction="custom" dataDxfId="609" totalsRowDxfId="608">
      <totalsRowFormula>COUNTIF(PresençaemDezembro[25],"U")+COUNTIF(PresençaemDezembro[25],"E")</totalsRowFormula>
    </tableColumn>
    <tableColumn id="27" name="26" totalsRowFunction="custom" dataDxfId="607" totalsRowDxfId="606">
      <totalsRowFormula>COUNTIF(PresençaemDezembro[26],"U")+COUNTIF(PresençaemDezembro[26],"E")</totalsRowFormula>
    </tableColumn>
    <tableColumn id="28" name="27" totalsRowFunction="custom" dataDxfId="605" totalsRowDxfId="604">
      <totalsRowFormula>COUNTIF(PresençaemDezembro[27],"U")+COUNTIF(PresençaemDezembro[27],"E")</totalsRowFormula>
    </tableColumn>
    <tableColumn id="29" name="28" totalsRowFunction="custom" dataDxfId="603" totalsRowDxfId="602">
      <totalsRowFormula>COUNTIF(PresençaemDezembro[28],"U")+COUNTIF(PresençaemDezembro[28],"E")</totalsRowFormula>
    </tableColumn>
    <tableColumn id="30" name="29" totalsRowFunction="custom" dataDxfId="601" totalsRowDxfId="600">
      <totalsRowFormula>COUNTIF(PresençaemDezembro[29],"U")+COUNTIF(PresençaemDezembro[29],"E")</totalsRowFormula>
    </tableColumn>
    <tableColumn id="31" name="30" totalsRowFunction="custom" totalsRowDxfId="599">
      <totalsRowFormula>COUNTIF(PresençaemDezembro[30],"U")+COUNTIF(PresençaemDezembro[30],"E")</totalsRowFormula>
    </tableColumn>
    <tableColumn id="32" name="31" totalsRowFunction="custom" totalsRowDxfId="598">
      <totalsRowFormula>COUNTIF(PresençaemDezembro[31],"U")+COUNTIF(PresençaemDezembro[31],"E")</totalsRowFormula>
    </tableColumn>
    <tableColumn id="35" name="T" totalsRowFunction="sum" dataDxfId="597" totalsRowDxfId="596">
      <calculatedColumnFormula>COUNTIF(PresençaemDezembro[[#This Row],[1]:[31]],Código1)</calculatedColumnFormula>
    </tableColumn>
    <tableColumn id="34" name="E" totalsRowFunction="sum" dataDxfId="595" totalsRowDxfId="594">
      <calculatedColumnFormula>COUNTIF(PresençaemDezembro[[#This Row],[1]:[31]],Código2)</calculatedColumnFormula>
    </tableColumn>
    <tableColumn id="37" name="U" totalsRowFunction="sum" dataDxfId="593" totalsRowDxfId="592">
      <calculatedColumnFormula>COUNTIF(PresençaemDezembro[[#This Row],[1]:[31]],Código3)</calculatedColumnFormula>
    </tableColumn>
    <tableColumn id="36" name="P" totalsRowFunction="sum" dataDxfId="591" totalsRowDxfId="590">
      <calculatedColumnFormula>COUNTIF(PresençaemDezembro[[#This Row],[1]:[31]],Código4)</calculatedColumnFormula>
    </tableColumn>
    <tableColumn id="33" name="Dias de Ausência" totalsRowFunction="sum" totalsRowDxfId="589">
      <calculatedColumnFormula>SUM(PresençaemDezembro[[#This Row],[E]:[U]])</calculatedColumnFormula>
    </tableColumn>
  </tableColumns>
  <tableStyleInfo name="Employee Absence Table" showFirstColumn="0" showLastColumn="1" showRowStripes="1" showColumnStripes="1"/>
  <extLst>
    <ext xmlns:x14="http://schemas.microsoft.com/office/spreadsheetml/2009/9/main" uri="{504A1905-F514-4f6f-8877-14C23A59335A}">
      <x14:table altText="Registro de Presença em Agosto" altTextSummary="Controla a presença do aluno, como T=Atrasado, E=Dispensado, U=Não Dispensado, P=Presente, N=Sem Aula no mês de dezembro."/>
    </ext>
  </extLst>
</table>
</file>

<file path=xl/tables/table7.xml><?xml version="1.0" encoding="utf-8"?>
<table xmlns="http://schemas.openxmlformats.org/spreadsheetml/2006/main" id="7" name="PresençaemJaneiro" displayName="PresençaemJaneiro" ref="B6:AM12" totalsRowCount="1" headerRowDxfId="583" totalsRowDxfId="582">
  <tableColumns count="38">
    <tableColumn id="38" name="ID do Aluno" dataDxfId="581" totalsRowDxfId="580"/>
    <tableColumn id="1" name="Nome do Aluno" totalsRowLabel="Total de dias de ausência" dataDxfId="579" totalsRowDxfId="578"/>
    <tableColumn id="2" name="1" totalsRowFunction="custom" dataDxfId="577" totalsRowDxfId="576">
      <totalsRowFormula>COUNTIF(PresençaemJaneiro[1],"U")+COUNTIF(PresençaemJaneiro[1],"E")</totalsRowFormula>
    </tableColumn>
    <tableColumn id="3" name="2" totalsRowFunction="custom" dataDxfId="575" totalsRowDxfId="574">
      <totalsRowFormula>COUNTIF(PresençaemJaneiro[2],"U")+COUNTIF(PresençaemJaneiro[2],"E")</totalsRowFormula>
    </tableColumn>
    <tableColumn id="4" name="3" totalsRowFunction="custom" dataDxfId="573" totalsRowDxfId="572">
      <totalsRowFormula>COUNTIF(PresençaemJaneiro[3],"U")+COUNTIF(PresençaemJaneiro[3],"E")</totalsRowFormula>
    </tableColumn>
    <tableColumn id="5" name="4" totalsRowFunction="custom" dataDxfId="571" totalsRowDxfId="570">
      <totalsRowFormula>COUNTIF(PresençaemJaneiro[4],"U")+COUNTIF(PresençaemJaneiro[4],"E")</totalsRowFormula>
    </tableColumn>
    <tableColumn id="6" name="5" totalsRowFunction="custom" dataDxfId="569" totalsRowDxfId="568">
      <totalsRowFormula>COUNTIF(PresençaemJaneiro[5],"U")+COUNTIF(PresençaemJaneiro[5],"E")</totalsRowFormula>
    </tableColumn>
    <tableColumn id="7" name="6" totalsRowFunction="custom" dataDxfId="567" totalsRowDxfId="566">
      <totalsRowFormula>COUNTIF(PresençaemJaneiro[6],"U")+COUNTIF(PresençaemJaneiro[6],"E")</totalsRowFormula>
    </tableColumn>
    <tableColumn id="8" name="7" totalsRowFunction="custom" dataDxfId="565" totalsRowDxfId="564">
      <totalsRowFormula>COUNTIF(PresençaemJaneiro[7],"U")+COUNTIF(PresençaemJaneiro[7],"E")</totalsRowFormula>
    </tableColumn>
    <tableColumn id="9" name="8" totalsRowFunction="custom" dataDxfId="563" totalsRowDxfId="562">
      <totalsRowFormula>COUNTIF(PresençaemJaneiro[8],"U")+COUNTIF(PresençaemJaneiro[8],"E")</totalsRowFormula>
    </tableColumn>
    <tableColumn id="10" name="9" totalsRowFunction="custom" dataDxfId="561" totalsRowDxfId="560">
      <totalsRowFormula>COUNTIF(PresençaemJaneiro[9],"U")+COUNTIF(PresençaemJaneiro[9],"E")</totalsRowFormula>
    </tableColumn>
    <tableColumn id="11" name="10" totalsRowFunction="custom" dataDxfId="559" totalsRowDxfId="558">
      <totalsRowFormula>COUNTIF(PresençaemJaneiro[10],"U")+COUNTIF(PresençaemJaneiro[10],"E")</totalsRowFormula>
    </tableColumn>
    <tableColumn id="12" name="11" totalsRowFunction="custom" dataDxfId="557" totalsRowDxfId="556">
      <totalsRowFormula>COUNTIF(PresençaemJaneiro[11],"U")+COUNTIF(PresençaemJaneiro[11],"E")</totalsRowFormula>
    </tableColumn>
    <tableColumn id="13" name="12" totalsRowFunction="custom" dataDxfId="555" totalsRowDxfId="554">
      <totalsRowFormula>COUNTIF(PresençaemJaneiro[12],"U")+COUNTIF(PresençaemJaneiro[12],"E")</totalsRowFormula>
    </tableColumn>
    <tableColumn id="14" name="13" totalsRowFunction="custom" dataDxfId="553" totalsRowDxfId="552">
      <totalsRowFormula>COUNTIF(PresençaemJaneiro[13],"U")+COUNTIF(PresençaemJaneiro[13],"E")</totalsRowFormula>
    </tableColumn>
    <tableColumn id="15" name="14" totalsRowFunction="custom" dataDxfId="551" totalsRowDxfId="550">
      <totalsRowFormula>COUNTIF(PresençaemJaneiro[14],"U")+COUNTIF(PresençaemJaneiro[14],"E")</totalsRowFormula>
    </tableColumn>
    <tableColumn id="16" name="15" totalsRowFunction="custom" dataDxfId="549" totalsRowDxfId="548">
      <totalsRowFormula>COUNTIF(PresençaemJaneiro[15],"U")+COUNTIF(PresençaemJaneiro[15],"E")</totalsRowFormula>
    </tableColumn>
    <tableColumn id="17" name="16" totalsRowFunction="custom" dataDxfId="547" totalsRowDxfId="546">
      <totalsRowFormula>COUNTIF(PresençaemJaneiro[16],"U")+COUNTIF(PresençaemJaneiro[16],"E")</totalsRowFormula>
    </tableColumn>
    <tableColumn id="18" name="17" totalsRowFunction="custom" dataDxfId="545" totalsRowDxfId="544">
      <totalsRowFormula>COUNTIF(PresençaemJaneiro[17],"U")+COUNTIF(PresençaemJaneiro[17],"E")</totalsRowFormula>
    </tableColumn>
    <tableColumn id="19" name="18" totalsRowFunction="custom" dataDxfId="543" totalsRowDxfId="542">
      <totalsRowFormula>COUNTIF(PresençaemJaneiro[18],"U")+COUNTIF(PresençaemJaneiro[18],"E")</totalsRowFormula>
    </tableColumn>
    <tableColumn id="20" name="19" totalsRowFunction="custom" dataDxfId="541" totalsRowDxfId="540">
      <totalsRowFormula>COUNTIF(PresençaemJaneiro[19],"U")+COUNTIF(PresençaemJaneiro[19],"E")</totalsRowFormula>
    </tableColumn>
    <tableColumn id="21" name="20" totalsRowFunction="custom" dataDxfId="539" totalsRowDxfId="538">
      <totalsRowFormula>COUNTIF(PresençaemJaneiro[20],"U")+COUNTIF(PresençaemJaneiro[20],"E")</totalsRowFormula>
    </tableColumn>
    <tableColumn id="22" name="21" totalsRowFunction="custom" dataDxfId="537" totalsRowDxfId="536">
      <totalsRowFormula>COUNTIF(PresençaemJaneiro[21],"U")+COUNTIF(PresençaemJaneiro[21],"E")</totalsRowFormula>
    </tableColumn>
    <tableColumn id="23" name="22" totalsRowFunction="custom" dataDxfId="535" totalsRowDxfId="534">
      <totalsRowFormula>COUNTIF(PresençaemJaneiro[22],"U")+COUNTIF(PresençaemJaneiro[22],"E")</totalsRowFormula>
    </tableColumn>
    <tableColumn id="24" name="23" totalsRowFunction="custom" dataDxfId="533" totalsRowDxfId="532">
      <totalsRowFormula>COUNTIF(PresençaemJaneiro[23],"U")+COUNTIF(PresençaemJaneiro[23],"E")</totalsRowFormula>
    </tableColumn>
    <tableColumn id="25" name="24" totalsRowFunction="custom" dataDxfId="531" totalsRowDxfId="530">
      <totalsRowFormula>COUNTIF(PresençaemJaneiro[24],"U")+COUNTIF(PresençaemJaneiro[24],"E")</totalsRowFormula>
    </tableColumn>
    <tableColumn id="26" name="25" totalsRowFunction="custom" dataDxfId="529" totalsRowDxfId="528">
      <totalsRowFormula>COUNTIF(PresençaemJaneiro[25],"U")+COUNTIF(PresençaemJaneiro[25],"E")</totalsRowFormula>
    </tableColumn>
    <tableColumn id="27" name="26" totalsRowFunction="custom" dataDxfId="527" totalsRowDxfId="526">
      <totalsRowFormula>COUNTIF(PresençaemJaneiro[26],"U")+COUNTIF(PresençaemJaneiro[26],"E")</totalsRowFormula>
    </tableColumn>
    <tableColumn id="28" name="27" totalsRowFunction="custom" dataDxfId="525" totalsRowDxfId="524">
      <totalsRowFormula>COUNTIF(PresençaemJaneiro[27],"U")+COUNTIF(PresençaemJaneiro[27],"E")</totalsRowFormula>
    </tableColumn>
    <tableColumn id="29" name="28" totalsRowFunction="custom" dataDxfId="523" totalsRowDxfId="522">
      <totalsRowFormula>COUNTIF(PresençaemJaneiro[28],"U")+COUNTIF(PresençaemJaneiro[28],"E")</totalsRowFormula>
    </tableColumn>
    <tableColumn id="30" name="29" totalsRowFunction="custom" dataDxfId="521" totalsRowDxfId="520">
      <totalsRowFormula>COUNTIF(PresençaemJaneiro[29],"U")+COUNTIF(PresençaemJaneiro[29],"E")</totalsRowFormula>
    </tableColumn>
    <tableColumn id="31" name="30" dataDxfId="519" totalsRowDxfId="518"/>
    <tableColumn id="32" name="31" dataDxfId="517" totalsRowDxfId="516"/>
    <tableColumn id="35" name="T" totalsRowFunction="sum" dataDxfId="515" totalsRowDxfId="514">
      <calculatedColumnFormula>COUNTIF(PresençaemJaneiro[[#This Row],[1]:[31]],Código1)</calculatedColumnFormula>
    </tableColumn>
    <tableColumn id="34" name="E" totalsRowFunction="sum" dataDxfId="513" totalsRowDxfId="512">
      <calculatedColumnFormula>COUNTIF(PresençaemJaneiro[[#This Row],[1]:[31]],Código2)</calculatedColumnFormula>
    </tableColumn>
    <tableColumn id="37" name="U" totalsRowFunction="sum" dataDxfId="511" totalsRowDxfId="510">
      <calculatedColumnFormula>COUNTIF(PresençaemJaneiro[[#This Row],[1]:[31]],Código3)</calculatedColumnFormula>
    </tableColumn>
    <tableColumn id="36" name="P" totalsRowFunction="sum" dataDxfId="509" totalsRowDxfId="508">
      <calculatedColumnFormula>COUNTIF(PresençaemJaneiro[[#This Row],[1]:[31]],Código4)</calculatedColumnFormula>
    </tableColumn>
    <tableColumn id="33" name="Dias de Ausência" totalsRowFunction="sum" dataDxfId="507" totalsRowDxfId="506">
      <calculatedColumnFormula>SUM(PresençaemJaneiro[[#This Row],[E]:[U]])</calculatedColumnFormula>
    </tableColumn>
  </tableColumns>
  <tableStyleInfo name="Employee Absence Table" showFirstColumn="0" showLastColumn="0" showRowStripes="1" showColumnStripes="1"/>
  <extLst>
    <ext xmlns:x14="http://schemas.microsoft.com/office/spreadsheetml/2009/9/main" uri="{504A1905-F514-4f6f-8877-14C23A59335A}">
      <x14:table altText="Registro de Presença em Fevereiro" altTextSummary="Controla a presença do aluno, como T=Atrasado, E=Dispensado, U=Não Dispensado, P=Presente, N=Sem Aula no mês de janeiro."/>
    </ext>
  </extLst>
</table>
</file>

<file path=xl/tables/table8.xml><?xml version="1.0" encoding="utf-8"?>
<table xmlns="http://schemas.openxmlformats.org/spreadsheetml/2006/main" id="5" name="PresençaemFevereiro" displayName="PresençaemFevereiro" ref="B6:AM12" totalsRowCount="1" headerRowDxfId="498" totalsRowDxfId="497">
  <tableColumns count="38">
    <tableColumn id="38" name="ID do Aluno" dataDxfId="496" totalsRowDxfId="495"/>
    <tableColumn id="1" name="Nome do Aluno" totalsRowLabel="Total de dias de ausência" dataDxfId="494" totalsRowDxfId="493"/>
    <tableColumn id="2" name="1" totalsRowFunction="custom" dataDxfId="492" totalsRowDxfId="491">
      <totalsRowFormula>COUNTIF(PresençaemFevereiro[1],"U")+COUNTIF(PresençaemFevereiro[1],"E")</totalsRowFormula>
    </tableColumn>
    <tableColumn id="3" name="2" totalsRowFunction="custom" dataDxfId="490" totalsRowDxfId="489">
      <totalsRowFormula>COUNTIF(PresençaemFevereiro[2],"U")+COUNTIF(PresençaemFevereiro[2],"E")</totalsRowFormula>
    </tableColumn>
    <tableColumn id="4" name="3" totalsRowFunction="custom" dataDxfId="488" totalsRowDxfId="487">
      <totalsRowFormula>COUNTIF(PresençaemFevereiro[3],"U")+COUNTIF(PresençaemFevereiro[3],"E")</totalsRowFormula>
    </tableColumn>
    <tableColumn id="5" name="4" totalsRowFunction="custom" dataDxfId="486" totalsRowDxfId="485">
      <totalsRowFormula>COUNTIF(PresençaemFevereiro[4],"U")+COUNTIF(PresençaemFevereiro[4],"E")</totalsRowFormula>
    </tableColumn>
    <tableColumn id="6" name="5" totalsRowFunction="custom" dataDxfId="484" totalsRowDxfId="483">
      <totalsRowFormula>COUNTIF(PresençaemFevereiro[5],"U")+COUNTIF(PresençaemFevereiro[5],"E")</totalsRowFormula>
    </tableColumn>
    <tableColumn id="7" name="6" totalsRowFunction="custom" dataDxfId="482" totalsRowDxfId="481">
      <totalsRowFormula>COUNTIF(PresençaemFevereiro[6],"U")+COUNTIF(PresençaemFevereiro[6],"E")</totalsRowFormula>
    </tableColumn>
    <tableColumn id="8" name="7" totalsRowFunction="custom" dataDxfId="480" totalsRowDxfId="479">
      <totalsRowFormula>COUNTIF(PresençaemFevereiro[7],"U")+COUNTIF(PresençaemFevereiro[7],"E")</totalsRowFormula>
    </tableColumn>
    <tableColumn id="9" name="8" totalsRowFunction="custom" dataDxfId="478" totalsRowDxfId="477">
      <totalsRowFormula>COUNTIF(PresençaemFevereiro[8],"U")+COUNTIF(PresençaemFevereiro[8],"E")</totalsRowFormula>
    </tableColumn>
    <tableColumn id="10" name="9" totalsRowFunction="custom" dataDxfId="476" totalsRowDxfId="475">
      <totalsRowFormula>COUNTIF(PresençaemFevereiro[9],"U")+COUNTIF(PresençaemFevereiro[9],"E")</totalsRowFormula>
    </tableColumn>
    <tableColumn id="11" name="10" totalsRowFunction="custom" dataDxfId="474" totalsRowDxfId="473">
      <totalsRowFormula>COUNTIF(PresençaemFevereiro[10],"U")+COUNTIF(PresençaemFevereiro[10],"E")</totalsRowFormula>
    </tableColumn>
    <tableColumn id="12" name="11" totalsRowFunction="custom" dataDxfId="472" totalsRowDxfId="471">
      <totalsRowFormula>COUNTIF(PresençaemFevereiro[11],"U")+COUNTIF(PresençaemFevereiro[11],"E")</totalsRowFormula>
    </tableColumn>
    <tableColumn id="13" name="12" totalsRowFunction="custom" dataDxfId="470" totalsRowDxfId="469">
      <totalsRowFormula>COUNTIF(PresençaemFevereiro[12],"U")+COUNTIF(PresençaemFevereiro[12],"E")</totalsRowFormula>
    </tableColumn>
    <tableColumn id="14" name="13" totalsRowFunction="custom" dataDxfId="468" totalsRowDxfId="467">
      <totalsRowFormula>COUNTIF(PresençaemFevereiro[13],"U")+COUNTIF(PresençaemFevereiro[13],"E")</totalsRowFormula>
    </tableColumn>
    <tableColumn id="15" name="14" totalsRowFunction="custom" dataDxfId="466" totalsRowDxfId="465">
      <totalsRowFormula>COUNTIF(PresençaemFevereiro[14],"U")+COUNTIF(PresençaemFevereiro[14],"E")</totalsRowFormula>
    </tableColumn>
    <tableColumn id="16" name="15" totalsRowFunction="custom" dataDxfId="464" totalsRowDxfId="463">
      <totalsRowFormula>COUNTIF(PresençaemFevereiro[15],"U")+COUNTIF(PresençaemFevereiro[15],"E")</totalsRowFormula>
    </tableColumn>
    <tableColumn id="17" name="16" totalsRowFunction="custom" dataDxfId="462" totalsRowDxfId="461">
      <totalsRowFormula>COUNTIF(PresençaemFevereiro[16],"U")+COUNTIF(PresençaemFevereiro[16],"E")</totalsRowFormula>
    </tableColumn>
    <tableColumn id="18" name="17" totalsRowFunction="custom" dataDxfId="460" totalsRowDxfId="459">
      <totalsRowFormula>COUNTIF(PresençaemFevereiro[17],"U")+COUNTIF(PresençaemFevereiro[17],"E")</totalsRowFormula>
    </tableColumn>
    <tableColumn id="19" name="18" totalsRowFunction="custom" dataDxfId="458" totalsRowDxfId="457">
      <totalsRowFormula>COUNTIF(PresençaemFevereiro[18],"U")+COUNTIF(PresençaemFevereiro[18],"E")</totalsRowFormula>
    </tableColumn>
    <tableColumn id="20" name="19" totalsRowFunction="custom" dataDxfId="456" totalsRowDxfId="455">
      <totalsRowFormula>COUNTIF(PresençaemFevereiro[19],"U")+COUNTIF(PresençaemFevereiro[19],"E")</totalsRowFormula>
    </tableColumn>
    <tableColumn id="21" name="20" totalsRowFunction="custom" dataDxfId="454" totalsRowDxfId="453">
      <totalsRowFormula>COUNTIF(PresençaemFevereiro[20],"U")+COUNTIF(PresençaemFevereiro[20],"E")</totalsRowFormula>
    </tableColumn>
    <tableColumn id="22" name="21" totalsRowFunction="custom" dataDxfId="452" totalsRowDxfId="451">
      <totalsRowFormula>COUNTIF(PresençaemFevereiro[21],"U")+COUNTIF(PresençaemFevereiro[21],"E")</totalsRowFormula>
    </tableColumn>
    <tableColumn id="23" name="22" totalsRowFunction="custom" dataDxfId="450" totalsRowDxfId="449">
      <totalsRowFormula>COUNTIF(PresençaemFevereiro[22],"U")+COUNTIF(PresençaemFevereiro[22],"E")</totalsRowFormula>
    </tableColumn>
    <tableColumn id="24" name="23" totalsRowFunction="custom" dataDxfId="448" totalsRowDxfId="447">
      <totalsRowFormula>COUNTIF(PresençaemFevereiro[23],"U")+COUNTIF(PresençaemFevereiro[23],"E")</totalsRowFormula>
    </tableColumn>
    <tableColumn id="25" name="24" totalsRowFunction="custom" dataDxfId="446" totalsRowDxfId="445">
      <totalsRowFormula>COUNTIF(PresençaemFevereiro[24],"U")+COUNTIF(PresençaemFevereiro[24],"E")</totalsRowFormula>
    </tableColumn>
    <tableColumn id="26" name="25" totalsRowFunction="custom" dataDxfId="444" totalsRowDxfId="443">
      <totalsRowFormula>COUNTIF(PresençaemFevereiro[25],"U")+COUNTIF(PresençaemFevereiro[25],"E")</totalsRowFormula>
    </tableColumn>
    <tableColumn id="27" name="26" totalsRowFunction="custom" dataDxfId="442" totalsRowDxfId="441">
      <totalsRowFormula>COUNTIF(PresençaemFevereiro[26],"U")+COUNTIF(PresençaemFevereiro[26],"E")</totalsRowFormula>
    </tableColumn>
    <tableColumn id="28" name="27" totalsRowFunction="custom" dataDxfId="440" totalsRowDxfId="439">
      <totalsRowFormula>COUNTIF(PresençaemFevereiro[27],"U")+COUNTIF(PresençaemFevereiro[27],"E")</totalsRowFormula>
    </tableColumn>
    <tableColumn id="29" name="28" totalsRowFunction="custom" dataDxfId="438" totalsRowDxfId="437">
      <totalsRowFormula>COUNTIF(PresençaemFevereiro[28],"U")+COUNTIF(PresençaemFevereiro[28],"E")</totalsRowFormula>
    </tableColumn>
    <tableColumn id="30" name="29" totalsRowFunction="custom" dataDxfId="436" totalsRowDxfId="435">
      <totalsRowFormula>COUNTIF(PresençaemFevereiro[29],"U")+COUNTIF(PresençaemFevereiro[29],"E")</totalsRowFormula>
    </tableColumn>
    <tableColumn id="31" name="30" dataDxfId="434" totalsRowDxfId="433"/>
    <tableColumn id="32" name="31" dataDxfId="432" totalsRowDxfId="431"/>
    <tableColumn id="35" name="T" totalsRowFunction="sum" dataDxfId="430" totalsRowDxfId="429">
      <calculatedColumnFormula>COUNTIF(PresençaemFevereiro[[#This Row],[1]:[31]],Código1)</calculatedColumnFormula>
    </tableColumn>
    <tableColumn id="34" name="E" totalsRowFunction="sum" dataDxfId="428" totalsRowDxfId="427">
      <calculatedColumnFormula>COUNTIF(PresençaemFevereiro[[#This Row],[1]:[31]],Código2)</calculatedColumnFormula>
    </tableColumn>
    <tableColumn id="37" name="U" totalsRowFunction="sum" dataDxfId="426" totalsRowDxfId="425">
      <calculatedColumnFormula>COUNTIF(PresençaemFevereiro[[#This Row],[1]:[31]],Código3)</calculatedColumnFormula>
    </tableColumn>
    <tableColumn id="36" name="P" totalsRowFunction="sum" dataDxfId="424" totalsRowDxfId="423">
      <calculatedColumnFormula>COUNTIF(PresençaemFevereiro[[#This Row],[1]:[31]],Código4)</calculatedColumnFormula>
    </tableColumn>
    <tableColumn id="33" name="Dias de Ausência" totalsRowFunction="sum" dataDxfId="422" totalsRowDxfId="421">
      <calculatedColumnFormula>SUM(PresençaemFevereiro[[#This Row],[E]:[U]])</calculatedColumnFormula>
    </tableColumn>
  </tableColumns>
  <tableStyleInfo name="Employee Absence Table" showFirstColumn="0" showLastColumn="0" showRowStripes="1" showColumnStripes="1"/>
  <extLst>
    <ext xmlns:x14="http://schemas.microsoft.com/office/spreadsheetml/2009/9/main" uri="{504A1905-F514-4f6f-8877-14C23A59335A}">
      <x14:table altText="Registro de Presença em Fevereiro" altTextSummary="Controla a presença do aluno, como T=Atrasado, E=Dispensado, U=Não Dispensado, P=Presente, N=Sem Aula no mês de fevereiro."/>
    </ext>
  </extLst>
</table>
</file>

<file path=xl/tables/table9.xml><?xml version="1.0" encoding="utf-8"?>
<table xmlns="http://schemas.openxmlformats.org/spreadsheetml/2006/main" id="8" name="PresençaemMarço" displayName="PresençaemMarço" ref="B6:AM12" totalsRowCount="1" headerRowDxfId="415" totalsRowDxfId="414">
  <tableColumns count="38">
    <tableColumn id="38" name="ID do Aluno" dataDxfId="413" totalsRowDxfId="412"/>
    <tableColumn id="1" name="Nome do Aluno" totalsRowLabel="Total de dias de ausência" dataDxfId="411" totalsRowDxfId="410"/>
    <tableColumn id="2" name="1" totalsRowFunction="custom" dataDxfId="409" totalsRowDxfId="408">
      <totalsRowFormula>COUNTIF(PresençaemMarço[1],"U")+COUNTIF(PresençaemMarço[1],"E")</totalsRowFormula>
    </tableColumn>
    <tableColumn id="3" name="2" totalsRowFunction="custom" dataDxfId="407" totalsRowDxfId="406">
      <totalsRowFormula>COUNTIF(PresençaemMarço[2],"U")+COUNTIF(PresençaemMarço[2],"E")</totalsRowFormula>
    </tableColumn>
    <tableColumn id="4" name="3" totalsRowFunction="custom" dataDxfId="405" totalsRowDxfId="404">
      <totalsRowFormula>COUNTIF(PresençaemMarço[3],"U")+COUNTIF(PresençaemMarço[3],"E")</totalsRowFormula>
    </tableColumn>
    <tableColumn id="5" name="4" totalsRowFunction="custom" dataDxfId="403" totalsRowDxfId="402">
      <totalsRowFormula>COUNTIF(PresençaemMarço[4],"U")+COUNTIF(PresençaemMarço[4],"E")</totalsRowFormula>
    </tableColumn>
    <tableColumn id="6" name="5" totalsRowFunction="custom" dataDxfId="401" totalsRowDxfId="400">
      <totalsRowFormula>COUNTIF(PresençaemMarço[5],"U")+COUNTIF(PresençaemMarço[5],"E")</totalsRowFormula>
    </tableColumn>
    <tableColumn id="7" name="6" totalsRowFunction="custom" dataDxfId="399" totalsRowDxfId="398">
      <totalsRowFormula>COUNTIF(PresençaemMarço[6],"U")+COUNTIF(PresençaemMarço[6],"E")</totalsRowFormula>
    </tableColumn>
    <tableColumn id="8" name="7" totalsRowFunction="custom" dataDxfId="397" totalsRowDxfId="396">
      <totalsRowFormula>COUNTIF(PresençaemMarço[7],"U")+COUNTIF(PresençaemMarço[7],"E")</totalsRowFormula>
    </tableColumn>
    <tableColumn id="9" name="8" totalsRowFunction="custom" dataDxfId="395" totalsRowDxfId="394">
      <totalsRowFormula>COUNTIF(PresençaemMarço[8],"U")+COUNTIF(PresençaemMarço[8],"E")</totalsRowFormula>
    </tableColumn>
    <tableColumn id="10" name="9" totalsRowFunction="custom" dataDxfId="393" totalsRowDxfId="392">
      <totalsRowFormula>COUNTIF(PresençaemMarço[9],"U")+COUNTIF(PresençaemMarço[9],"E")</totalsRowFormula>
    </tableColumn>
    <tableColumn id="11" name="10" totalsRowFunction="custom" dataDxfId="391" totalsRowDxfId="390">
      <totalsRowFormula>COUNTIF(PresençaemMarço[10],"U")+COUNTIF(PresençaemMarço[10],"E")</totalsRowFormula>
    </tableColumn>
    <tableColumn id="12" name="11" totalsRowFunction="custom" dataDxfId="389" totalsRowDxfId="388">
      <totalsRowFormula>COUNTIF(PresençaemMarço[11],"U")+COUNTIF(PresençaemMarço[11],"E")</totalsRowFormula>
    </tableColumn>
    <tableColumn id="13" name="12" totalsRowFunction="custom" dataDxfId="387" totalsRowDxfId="386">
      <totalsRowFormula>COUNTIF(PresençaemMarço[12],"U")+COUNTIF(PresençaemMarço[12],"E")</totalsRowFormula>
    </tableColumn>
    <tableColumn id="14" name="13" totalsRowFunction="custom" dataDxfId="385" totalsRowDxfId="384">
      <totalsRowFormula>COUNTIF(PresençaemMarço[13],"U")+COUNTIF(PresençaemMarço[13],"E")</totalsRowFormula>
    </tableColumn>
    <tableColumn id="15" name="14" totalsRowFunction="custom" dataDxfId="383" totalsRowDxfId="382">
      <totalsRowFormula>COUNTIF(PresençaemMarço[14],"U")+COUNTIF(PresençaemMarço[14],"E")</totalsRowFormula>
    </tableColumn>
    <tableColumn id="16" name="15" totalsRowFunction="custom" dataDxfId="381" totalsRowDxfId="380">
      <totalsRowFormula>COUNTIF(PresençaemMarço[15],"U")+COUNTIF(PresençaemMarço[15],"E")</totalsRowFormula>
    </tableColumn>
    <tableColumn id="17" name="16" totalsRowFunction="custom" dataDxfId="379" totalsRowDxfId="378">
      <totalsRowFormula>COUNTIF(PresençaemMarço[16],"U")+COUNTIF(PresençaemMarço[16],"E")</totalsRowFormula>
    </tableColumn>
    <tableColumn id="18" name="17" totalsRowFunction="custom" dataDxfId="377" totalsRowDxfId="376">
      <totalsRowFormula>COUNTIF(PresençaemMarço[17],"U")+COUNTIF(PresençaemMarço[17],"E")</totalsRowFormula>
    </tableColumn>
    <tableColumn id="19" name="18" totalsRowFunction="custom" dataDxfId="375" totalsRowDxfId="374">
      <totalsRowFormula>COUNTIF(PresençaemMarço[18],"U")+COUNTIF(PresençaemMarço[18],"E")</totalsRowFormula>
    </tableColumn>
    <tableColumn id="20" name="19" totalsRowFunction="custom" dataDxfId="373" totalsRowDxfId="372">
      <totalsRowFormula>COUNTIF(PresençaemMarço[19],"U")+COUNTIF(PresençaemMarço[19],"E")</totalsRowFormula>
    </tableColumn>
    <tableColumn id="21" name="20" totalsRowFunction="custom" dataDxfId="371" totalsRowDxfId="370">
      <totalsRowFormula>COUNTIF(PresençaemMarço[20],"U")+COUNTIF(PresençaemMarço[20],"E")</totalsRowFormula>
    </tableColumn>
    <tableColumn id="22" name="21" totalsRowFunction="custom" dataDxfId="369" totalsRowDxfId="368">
      <totalsRowFormula>COUNTIF(PresençaemMarço[21],"U")+COUNTIF(PresençaemMarço[21],"E")</totalsRowFormula>
    </tableColumn>
    <tableColumn id="23" name="22" totalsRowFunction="custom" dataDxfId="367" totalsRowDxfId="366">
      <totalsRowFormula>COUNTIF(PresençaemMarço[22],"U")+COUNTIF(PresençaemMarço[22],"E")</totalsRowFormula>
    </tableColumn>
    <tableColumn id="24" name="23" totalsRowFunction="custom" dataDxfId="365" totalsRowDxfId="364">
      <totalsRowFormula>COUNTIF(PresençaemMarço[23],"U")+COUNTIF(PresençaemMarço[23],"E")</totalsRowFormula>
    </tableColumn>
    <tableColumn id="25" name="24" totalsRowFunction="custom" dataDxfId="363" totalsRowDxfId="362">
      <totalsRowFormula>COUNTIF(PresençaemMarço[24],"U")+COUNTIF(PresençaemMarço[24],"E")</totalsRowFormula>
    </tableColumn>
    <tableColumn id="26" name="25" totalsRowFunction="custom" dataDxfId="361" totalsRowDxfId="360">
      <totalsRowFormula>COUNTIF(PresençaemMarço[25],"U")+COUNTIF(PresençaemMarço[25],"E")</totalsRowFormula>
    </tableColumn>
    <tableColumn id="27" name="26" totalsRowFunction="custom" dataDxfId="359" totalsRowDxfId="358">
      <totalsRowFormula>COUNTIF(PresençaemMarço[26],"U")+COUNTIF(PresençaemMarço[26],"E")</totalsRowFormula>
    </tableColumn>
    <tableColumn id="28" name="27" totalsRowFunction="custom" dataDxfId="357" totalsRowDxfId="356">
      <totalsRowFormula>COUNTIF(PresençaemMarço[27],"U")+COUNTIF(PresençaemMarço[27],"E")</totalsRowFormula>
    </tableColumn>
    <tableColumn id="29" name="28" totalsRowFunction="custom" dataDxfId="355" totalsRowDxfId="354">
      <totalsRowFormula>COUNTIF(PresençaemMarço[28],"U")+COUNTIF(PresençaemMarço[28],"E")</totalsRowFormula>
    </tableColumn>
    <tableColumn id="30" name="29" totalsRowFunction="custom" dataDxfId="353" totalsRowDxfId="352">
      <totalsRowFormula>COUNTIF(PresençaemMarço[29],"U")+COUNTIF(PresençaemMarço[29],"E")</totalsRowFormula>
    </tableColumn>
    <tableColumn id="31" name="30" dataDxfId="351" totalsRowDxfId="350"/>
    <tableColumn id="32" name="31" dataDxfId="349" totalsRowDxfId="348"/>
    <tableColumn id="35" name="T" totalsRowFunction="sum" dataDxfId="347" totalsRowDxfId="346">
      <calculatedColumnFormula>COUNTIF(PresençaemMarço[[#This Row],[1]:[31]],Código1)</calculatedColumnFormula>
    </tableColumn>
    <tableColumn id="34" name="E" totalsRowFunction="sum" dataDxfId="345" totalsRowDxfId="344">
      <calculatedColumnFormula>COUNTIF(PresençaemMarço[[#This Row],[1]:[31]],Código2)</calculatedColumnFormula>
    </tableColumn>
    <tableColumn id="37" name="U" totalsRowFunction="sum" dataDxfId="343" totalsRowDxfId="342">
      <calculatedColumnFormula>COUNTIF(PresençaemMarço[[#This Row],[1]:[31]],Código3)</calculatedColumnFormula>
    </tableColumn>
    <tableColumn id="36" name="P" totalsRowFunction="sum" dataDxfId="341" totalsRowDxfId="340">
      <calculatedColumnFormula>COUNTIF(PresençaemMarço[[#This Row],[1]:[31]],Código4)</calculatedColumnFormula>
    </tableColumn>
    <tableColumn id="33" name="Dias de Ausência" totalsRowFunction="sum" dataDxfId="339" totalsRowDxfId="338">
      <calculatedColumnFormula>SUM(PresençaemMarço[[#This Row],[E]:[U]])</calculatedColumnFormula>
    </tableColumn>
  </tableColumns>
  <tableStyleInfo name="Employee Absence Table" showFirstColumn="0" showLastColumn="0" showRowStripes="1" showColumnStripes="1"/>
  <extLst>
    <ext xmlns:x14="http://schemas.microsoft.com/office/spreadsheetml/2009/9/main" uri="{504A1905-F514-4f6f-8877-14C23A59335A}">
      <x14:table altText="Registro de Presença em Fevereiro" altTextSummary="Controla a presença do aluno, como T=Atrasado, E=Dispensado, U=Não Dispensado, P=Presente, N=Sem Aula no mês de março."/>
    </ext>
  </extLst>
</table>
</file>

<file path=xl/theme/theme1.xml><?xml version="1.0" encoding="utf-8"?>
<a:theme xmlns:a="http://schemas.openxmlformats.org/drawingml/2006/main" name="Office Theme">
  <a:themeElements>
    <a:clrScheme name="Student Attendance Record">
      <a:dk1>
        <a:sysClr val="windowText" lastClr="000000"/>
      </a:dk1>
      <a:lt1>
        <a:sysClr val="window" lastClr="FFFFFF"/>
      </a:lt1>
      <a:dk2>
        <a:srgbClr val="645050"/>
      </a:dk2>
      <a:lt2>
        <a:srgbClr val="FAF0DC"/>
      </a:lt2>
      <a:accent1>
        <a:srgbClr val="4BACC6"/>
      </a:accent1>
      <a:accent2>
        <a:srgbClr val="FFD264"/>
      </a:accent2>
      <a:accent3>
        <a:srgbClr val="FF9354"/>
      </a:accent3>
      <a:accent4>
        <a:srgbClr val="B4D23C"/>
      </a:accent4>
      <a:accent5>
        <a:srgbClr val="AE701E"/>
      </a:accent5>
      <a:accent6>
        <a:srgbClr val="003CC9"/>
      </a:accent6>
      <a:hlink>
        <a:srgbClr val="457CFF"/>
      </a:hlink>
      <a:folHlink>
        <a:srgbClr val="EDC796"/>
      </a:folHlink>
    </a:clrScheme>
    <a:fontScheme name="Student Attendance Record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ffice.microsoft.com/client/helppreview14.aspx?AssetId=HA010354866&amp;lcid=1033&amp;NS=EXCEL&amp;Version=14&amp;tl=2&amp;respos=0&amp;CTT=1&amp;queryid=d38d00d08c94494fb55f055eb667c2c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P32"/>
  <sheetViews>
    <sheetView showGridLines="0" showRowColHeaders="0" tabSelected="1" workbookViewId="0"/>
  </sheetViews>
  <sheetFormatPr defaultRowHeight="13.5" x14ac:dyDescent="0.25"/>
  <cols>
    <col min="1" max="3" width="3.28515625" customWidth="1"/>
    <col min="4" max="4" width="3.85546875" customWidth="1"/>
    <col min="14" max="14" width="2.42578125" customWidth="1"/>
  </cols>
  <sheetData>
    <row r="1" spans="1:16" ht="42" customHeight="1" x14ac:dyDescent="0.25">
      <c r="A1" s="90" t="s">
        <v>117</v>
      </c>
      <c r="B1" s="90"/>
      <c r="C1" s="90"/>
      <c r="D1" s="90"/>
      <c r="E1" s="45"/>
      <c r="F1" s="45"/>
      <c r="G1" s="45"/>
      <c r="H1" s="45"/>
      <c r="I1" s="45"/>
      <c r="J1" s="45"/>
      <c r="K1" s="45"/>
      <c r="L1" s="45"/>
      <c r="M1" s="45"/>
      <c r="N1" s="45"/>
      <c r="O1" s="98"/>
      <c r="P1" s="98"/>
    </row>
    <row r="2" spans="1:16" ht="6.75" customHeight="1" x14ac:dyDescent="0.25"/>
    <row r="3" spans="1:16" ht="17.25" x14ac:dyDescent="0.3">
      <c r="B3" s="91" t="s">
        <v>102</v>
      </c>
      <c r="C3" s="91"/>
      <c r="D3" s="91"/>
      <c r="E3" s="91"/>
      <c r="F3" s="91"/>
    </row>
    <row r="4" spans="1:16" ht="28.5" customHeight="1" x14ac:dyDescent="0.25">
      <c r="C4" s="122" t="s">
        <v>106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</row>
    <row r="5" spans="1:16" ht="96" customHeight="1" x14ac:dyDescent="0.25">
      <c r="D5" s="97" t="s">
        <v>98</v>
      </c>
      <c r="E5" s="121" t="s">
        <v>122</v>
      </c>
      <c r="F5" s="121"/>
      <c r="G5" s="121"/>
      <c r="H5" s="121"/>
      <c r="I5" s="121"/>
      <c r="J5" s="121"/>
      <c r="K5" s="121"/>
      <c r="L5" s="121"/>
      <c r="M5" s="121"/>
      <c r="N5" s="92"/>
    </row>
    <row r="6" spans="1:16" ht="61.5" customHeight="1" x14ac:dyDescent="0.25">
      <c r="C6" s="92"/>
      <c r="D6" s="97" t="s">
        <v>99</v>
      </c>
      <c r="E6" s="121" t="s">
        <v>123</v>
      </c>
      <c r="F6" s="121"/>
      <c r="G6" s="121"/>
      <c r="H6" s="121"/>
      <c r="I6" s="121"/>
      <c r="J6" s="121"/>
      <c r="K6" s="121"/>
      <c r="L6" s="121"/>
      <c r="M6" s="121"/>
      <c r="N6" s="92"/>
    </row>
    <row r="7" spans="1:16" ht="96.75" customHeight="1" x14ac:dyDescent="0.25">
      <c r="C7" s="92"/>
      <c r="D7" s="97" t="s">
        <v>100</v>
      </c>
      <c r="E7" s="121" t="s">
        <v>125</v>
      </c>
      <c r="F7" s="121"/>
      <c r="G7" s="121"/>
      <c r="H7" s="121"/>
      <c r="I7" s="121"/>
      <c r="J7" s="121"/>
      <c r="K7" s="121"/>
      <c r="L7" s="121"/>
      <c r="M7" s="121"/>
      <c r="N7" s="92"/>
    </row>
    <row r="8" spans="1:16" ht="69.75" customHeight="1" x14ac:dyDescent="0.25">
      <c r="C8" s="92"/>
      <c r="D8" s="97"/>
      <c r="E8" s="123" t="s">
        <v>126</v>
      </c>
      <c r="F8" s="123"/>
      <c r="G8" s="123"/>
      <c r="H8" s="123"/>
      <c r="I8" s="123"/>
      <c r="J8" s="123"/>
      <c r="K8" s="123"/>
      <c r="L8" s="123"/>
      <c r="M8" s="123"/>
      <c r="N8" s="92"/>
    </row>
    <row r="9" spans="1:16" ht="16.5" customHeight="1" x14ac:dyDescent="0.25">
      <c r="E9" s="124" t="s">
        <v>118</v>
      </c>
      <c r="F9" s="124"/>
      <c r="G9" s="124"/>
      <c r="H9" s="124"/>
    </row>
    <row r="10" spans="1:16" ht="6.75" customHeight="1" x14ac:dyDescent="0.25"/>
    <row r="11" spans="1:16" ht="16.5" customHeight="1" x14ac:dyDescent="0.3">
      <c r="B11" s="91" t="s">
        <v>103</v>
      </c>
      <c r="C11" s="91"/>
      <c r="D11" s="91"/>
      <c r="E11" s="91"/>
      <c r="F11" s="91"/>
      <c r="G11" s="91"/>
      <c r="H11" s="91"/>
      <c r="I11" s="91"/>
    </row>
    <row r="12" spans="1:16" s="93" customFormat="1" ht="35.25" customHeight="1" x14ac:dyDescent="0.25">
      <c r="C12" s="122" t="s">
        <v>101</v>
      </c>
      <c r="D12" s="122"/>
      <c r="E12" s="122"/>
      <c r="F12" s="122"/>
      <c r="G12" s="122"/>
      <c r="H12" s="122"/>
      <c r="I12" s="122"/>
      <c r="J12" s="122"/>
      <c r="K12" s="122"/>
      <c r="L12" s="122"/>
      <c r="M12" s="122"/>
    </row>
    <row r="13" spans="1:16" ht="47.25" customHeight="1" x14ac:dyDescent="0.25">
      <c r="D13" s="97" t="s">
        <v>98</v>
      </c>
      <c r="E13" s="121" t="s">
        <v>119</v>
      </c>
      <c r="F13" s="121"/>
      <c r="G13" s="121"/>
      <c r="H13" s="121"/>
      <c r="I13" s="121"/>
      <c r="J13" s="121"/>
      <c r="K13" s="121"/>
      <c r="L13" s="121"/>
      <c r="M13" s="121"/>
      <c r="N13" s="92"/>
      <c r="O13" s="92"/>
    </row>
    <row r="14" spans="1:16" ht="47.25" customHeight="1" x14ac:dyDescent="0.25">
      <c r="D14" s="97"/>
      <c r="E14" s="121" t="s">
        <v>124</v>
      </c>
      <c r="F14" s="121"/>
      <c r="G14" s="121"/>
      <c r="H14" s="121"/>
      <c r="I14" s="121"/>
      <c r="J14" s="121"/>
      <c r="K14" s="121"/>
      <c r="L14" s="121"/>
      <c r="M14" s="121"/>
      <c r="N14" s="102"/>
      <c r="O14" s="102"/>
    </row>
    <row r="15" spans="1:16" s="94" customFormat="1" ht="67.5" customHeight="1" x14ac:dyDescent="0.25">
      <c r="D15" s="97" t="s">
        <v>99</v>
      </c>
      <c r="E15" s="121" t="s">
        <v>111</v>
      </c>
      <c r="F15" s="121"/>
      <c r="G15" s="121"/>
      <c r="H15" s="121"/>
      <c r="I15" s="121"/>
      <c r="J15" s="121"/>
      <c r="K15" s="121"/>
      <c r="L15" s="121"/>
      <c r="M15" s="121"/>
      <c r="N15" s="95"/>
      <c r="O15" s="95"/>
    </row>
    <row r="16" spans="1:16" ht="6.75" customHeight="1" x14ac:dyDescent="0.25"/>
    <row r="17" spans="2:13" ht="17.25" x14ac:dyDescent="0.3">
      <c r="B17" s="91" t="s">
        <v>104</v>
      </c>
      <c r="C17" s="91"/>
      <c r="D17" s="91"/>
      <c r="E17" s="91"/>
      <c r="F17" s="91"/>
      <c r="G17" s="91"/>
      <c r="H17" s="91"/>
      <c r="I17" s="91"/>
      <c r="J17" s="91"/>
    </row>
    <row r="18" spans="2:13" ht="30.75" customHeight="1" x14ac:dyDescent="0.25">
      <c r="B18" s="93"/>
      <c r="C18" s="122" t="s">
        <v>112</v>
      </c>
      <c r="D18" s="122"/>
      <c r="E18" s="122"/>
      <c r="F18" s="122"/>
      <c r="G18" s="122"/>
      <c r="H18" s="122"/>
      <c r="I18" s="122"/>
      <c r="J18" s="122"/>
      <c r="K18" s="122"/>
      <c r="L18" s="122"/>
      <c r="M18" s="122"/>
    </row>
    <row r="19" spans="2:13" ht="34.5" customHeight="1" x14ac:dyDescent="0.25">
      <c r="B19" s="93"/>
      <c r="C19" s="99"/>
      <c r="D19" s="94" t="s">
        <v>97</v>
      </c>
      <c r="E19" s="122" t="s">
        <v>108</v>
      </c>
      <c r="F19" s="122"/>
      <c r="G19" s="122"/>
      <c r="H19" s="122"/>
      <c r="I19" s="122"/>
      <c r="J19" s="122"/>
      <c r="K19" s="122"/>
      <c r="L19" s="122"/>
      <c r="M19" s="122"/>
    </row>
    <row r="20" spans="2:13" s="94" customFormat="1" ht="34.5" customHeight="1" x14ac:dyDescent="0.25">
      <c r="D20" s="94" t="s">
        <v>97</v>
      </c>
      <c r="E20" s="121" t="s">
        <v>109</v>
      </c>
      <c r="F20" s="121"/>
      <c r="G20" s="121"/>
      <c r="H20" s="121"/>
      <c r="I20" s="121"/>
      <c r="J20" s="121"/>
      <c r="K20" s="121"/>
      <c r="L20" s="121"/>
      <c r="M20" s="121"/>
    </row>
    <row r="21" spans="2:13" s="94" customFormat="1" ht="34.5" customHeight="1" x14ac:dyDescent="0.25">
      <c r="D21" s="94" t="s">
        <v>97</v>
      </c>
      <c r="E21" s="121" t="s">
        <v>120</v>
      </c>
      <c r="F21" s="121"/>
      <c r="G21" s="121"/>
      <c r="H21" s="121"/>
      <c r="I21" s="121"/>
      <c r="J21" s="121"/>
      <c r="K21" s="121"/>
      <c r="L21" s="121"/>
      <c r="M21" s="121"/>
    </row>
    <row r="22" spans="2:13" s="94" customFormat="1" ht="41.25" customHeight="1" x14ac:dyDescent="0.25">
      <c r="D22" s="94" t="s">
        <v>97</v>
      </c>
      <c r="E22" s="121" t="s">
        <v>110</v>
      </c>
      <c r="F22" s="121"/>
      <c r="G22" s="121"/>
      <c r="H22" s="121"/>
      <c r="I22" s="121"/>
      <c r="J22" s="121"/>
      <c r="K22" s="121"/>
      <c r="L22" s="121"/>
      <c r="M22" s="121"/>
    </row>
    <row r="23" spans="2:13" ht="6.75" customHeight="1" x14ac:dyDescent="0.25"/>
    <row r="24" spans="2:13" s="94" customFormat="1" ht="16.5" customHeight="1" x14ac:dyDescent="0.25">
      <c r="B24" s="100" t="s">
        <v>105</v>
      </c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3" s="94" customFormat="1" ht="96" customHeight="1" x14ac:dyDescent="0.25">
      <c r="C25" s="122" t="s">
        <v>121</v>
      </c>
      <c r="D25" s="122"/>
      <c r="E25" s="122"/>
      <c r="F25" s="122"/>
      <c r="G25" s="122"/>
      <c r="H25" s="122"/>
      <c r="I25" s="122"/>
      <c r="J25" s="122"/>
      <c r="K25" s="122"/>
      <c r="L25" s="122"/>
      <c r="M25" s="122"/>
    </row>
    <row r="26" spans="2:13" s="94" customFormat="1" ht="16.5" customHeight="1" x14ac:dyDescent="0.25"/>
    <row r="27" spans="2:13" s="94" customFormat="1" ht="16.5" customHeight="1" x14ac:dyDescent="0.25"/>
    <row r="28" spans="2:13" s="94" customFormat="1" ht="16.5" customHeight="1" x14ac:dyDescent="0.25"/>
    <row r="29" spans="2:13" s="94" customFormat="1" ht="16.5" customHeight="1" x14ac:dyDescent="0.25"/>
    <row r="30" spans="2:13" s="94" customFormat="1" ht="16.5" customHeight="1" x14ac:dyDescent="0.25"/>
    <row r="31" spans="2:13" s="94" customFormat="1" ht="16.5" customHeight="1" x14ac:dyDescent="0.25"/>
    <row r="32" spans="2:13" ht="16.5" customHeight="1" x14ac:dyDescent="0.25"/>
  </sheetData>
  <mergeCells count="16">
    <mergeCell ref="C12:M12"/>
    <mergeCell ref="C4:M4"/>
    <mergeCell ref="E5:M5"/>
    <mergeCell ref="E6:M6"/>
    <mergeCell ref="E7:M7"/>
    <mergeCell ref="E8:M8"/>
    <mergeCell ref="E9:H9"/>
    <mergeCell ref="E22:M22"/>
    <mergeCell ref="C25:M25"/>
    <mergeCell ref="E13:M13"/>
    <mergeCell ref="E15:M15"/>
    <mergeCell ref="C18:M18"/>
    <mergeCell ref="E19:M19"/>
    <mergeCell ref="E20:M20"/>
    <mergeCell ref="E21:M21"/>
    <mergeCell ref="E14:M14"/>
  </mergeCells>
  <hyperlinks>
    <hyperlink ref="E9:F9" r:id="rId1" location="_Toc261352312" display="Customize a document theme."/>
  </hyperlinks>
  <printOptions horizontalCentered="1"/>
  <pageMargins left="0.25" right="0.25" top="0.75" bottom="0.75" header="0.3" footer="0.3"/>
  <pageSetup paperSize="9" scale="78" orientation="portrait" r:id="rId2"/>
  <ignoredErrors>
    <ignoredError sqref="D15 D5:D7 D1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M264"/>
  <sheetViews>
    <sheetView showGridLines="0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5" customHeight="1" x14ac:dyDescent="0.25"/>
  <cols>
    <col min="1" max="1" width="2.7109375" style="11" customWidth="1"/>
    <col min="2" max="2" width="11.85546875" style="11" bestFit="1" customWidth="1"/>
    <col min="3" max="3" width="28.85546875" style="12" customWidth="1"/>
    <col min="4" max="34" width="5" style="10" customWidth="1"/>
    <col min="35" max="35" width="4.7109375" style="9" customWidth="1"/>
    <col min="36" max="36" width="4.7109375" style="10" customWidth="1"/>
    <col min="37" max="38" width="4.7109375" style="11" customWidth="1"/>
    <col min="39" max="39" width="16.85546875" style="11" bestFit="1" customWidth="1"/>
    <col min="40" max="16384" width="9.140625" style="11"/>
  </cols>
  <sheetData>
    <row r="1" spans="1:39" s="1" customFormat="1" ht="42" customHeight="1" x14ac:dyDescent="0.25">
      <c r="A1" s="39" t="s">
        <v>89</v>
      </c>
      <c r="B1" s="40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0"/>
      <c r="AD1" s="40"/>
      <c r="AE1" s="40"/>
      <c r="AF1" s="40"/>
      <c r="AG1" s="42"/>
      <c r="AH1" s="40"/>
      <c r="AI1" s="40"/>
      <c r="AJ1" s="43"/>
      <c r="AK1" s="40"/>
      <c r="AL1" s="59" t="s">
        <v>72</v>
      </c>
      <c r="AM1" s="60">
        <f>AnoCalendário</f>
        <v>2012</v>
      </c>
    </row>
    <row r="2" spans="1:39" customFormat="1" ht="13.5" x14ac:dyDescent="0.25"/>
    <row r="3" spans="1:39" s="31" customFormat="1" ht="12.75" customHeight="1" x14ac:dyDescent="0.25">
      <c r="C3" s="46" t="str">
        <f>TextodaChavedeCor</f>
        <v xml:space="preserve">CHAVE COLORIDA </v>
      </c>
      <c r="D3" s="53" t="str">
        <f>Código1</f>
        <v>T</v>
      </c>
      <c r="E3" s="70" t="str">
        <f>TextodeCódigo1</f>
        <v>Atrasado</v>
      </c>
      <c r="F3" s="61"/>
      <c r="H3" s="54" t="str">
        <f>Código2</f>
        <v>E</v>
      </c>
      <c r="I3" s="58" t="str">
        <f>TextodeCódigo2</f>
        <v>Dispensado</v>
      </c>
      <c r="L3" s="55" t="str">
        <f>Código3</f>
        <v>U</v>
      </c>
      <c r="M3" s="58" t="str">
        <f>TextodeCódigo3</f>
        <v>Não Dispensado</v>
      </c>
      <c r="P3" s="56" t="str">
        <f>Código4</f>
        <v>P</v>
      </c>
      <c r="Q3" s="58" t="str">
        <f>TextodeCódigo4</f>
        <v>Presente</v>
      </c>
      <c r="T3" s="57" t="str">
        <f>Código5</f>
        <v>N</v>
      </c>
      <c r="U3" s="58" t="str">
        <f>TextodeCódigo5</f>
        <v>Sem Aula</v>
      </c>
      <c r="W3"/>
      <c r="X3"/>
      <c r="Y3"/>
      <c r="AD3" s="30"/>
      <c r="AE3" s="30"/>
      <c r="AH3" s="32"/>
      <c r="AI3" s="33"/>
      <c r="AK3" s="34"/>
    </row>
    <row r="4" spans="1:39" customFormat="1" ht="16.5" customHeight="1" x14ac:dyDescent="0.25"/>
    <row r="5" spans="1:39" s="2" customFormat="1" ht="18" customHeight="1" x14ac:dyDescent="0.3">
      <c r="B5" s="63">
        <f>DATE(AnoCalendário+1,3,1)</f>
        <v>41334</v>
      </c>
      <c r="C5" s="62"/>
      <c r="D5" s="44" t="str">
        <f>TEXT(WEEKDAY(DATE(AnoCalendário+1,3,1),1),"ddd")</f>
        <v>sex</v>
      </c>
      <c r="E5" s="44" t="str">
        <f>TEXT(WEEKDAY(DATE(AnoCalendário+1,3,2),1),"ddd")</f>
        <v>sáb</v>
      </c>
      <c r="F5" s="44" t="str">
        <f>TEXT(WEEKDAY(DATE(AnoCalendário+1,3,3),1),"ddd")</f>
        <v>dom</v>
      </c>
      <c r="G5" s="44" t="str">
        <f>TEXT(WEEKDAY(DATE(AnoCalendário+1,3,4),1),"ddd")</f>
        <v>seg</v>
      </c>
      <c r="H5" s="44" t="str">
        <f>TEXT(WEEKDAY(DATE(AnoCalendário+1,3,5),1),"ddd")</f>
        <v>ter</v>
      </c>
      <c r="I5" s="44" t="str">
        <f>TEXT(WEEKDAY(DATE(AnoCalendário+1,3,6),1),"ddd")</f>
        <v>qua</v>
      </c>
      <c r="J5" s="44" t="str">
        <f>TEXT(WEEKDAY(DATE(AnoCalendário+1,3,7),1),"ddd")</f>
        <v>qui</v>
      </c>
      <c r="K5" s="44" t="str">
        <f>TEXT(WEEKDAY(DATE(AnoCalendário+1,3,8),1),"ddd")</f>
        <v>sex</v>
      </c>
      <c r="L5" s="44" t="str">
        <f>TEXT(WEEKDAY(DATE(AnoCalendário+1,3,9),1),"ddd")</f>
        <v>sáb</v>
      </c>
      <c r="M5" s="44" t="str">
        <f>TEXT(WEEKDAY(DATE(AnoCalendário+1,3,10),1),"ddd")</f>
        <v>dom</v>
      </c>
      <c r="N5" s="44" t="str">
        <f>TEXT(WEEKDAY(DATE(AnoCalendário+1,3,11),1),"ddd")</f>
        <v>seg</v>
      </c>
      <c r="O5" s="44" t="str">
        <f>TEXT(WEEKDAY(DATE(AnoCalendário+1,3,12),1),"ddd")</f>
        <v>ter</v>
      </c>
      <c r="P5" s="44" t="str">
        <f>TEXT(WEEKDAY(DATE(AnoCalendário+1,3,13),1),"ddd")</f>
        <v>qua</v>
      </c>
      <c r="Q5" s="44" t="str">
        <f>TEXT(WEEKDAY(DATE(AnoCalendário+1,3,14),1),"ddd")</f>
        <v>qui</v>
      </c>
      <c r="R5" s="44" t="str">
        <f>TEXT(WEEKDAY(DATE(AnoCalendário+1,3,15),1),"ddd")</f>
        <v>sex</v>
      </c>
      <c r="S5" s="44" t="str">
        <f>TEXT(WEEKDAY(DATE(AnoCalendário+1,3,16),1),"ddd")</f>
        <v>sáb</v>
      </c>
      <c r="T5" s="44" t="str">
        <f>TEXT(WEEKDAY(DATE(AnoCalendário+1,3,17),1),"ddd")</f>
        <v>dom</v>
      </c>
      <c r="U5" s="44" t="str">
        <f>TEXT(WEEKDAY(DATE(AnoCalendário+1,3,18),1),"ddd")</f>
        <v>seg</v>
      </c>
      <c r="V5" s="44" t="str">
        <f>TEXT(WEEKDAY(DATE(AnoCalendário+1,3,19),1),"ddd")</f>
        <v>ter</v>
      </c>
      <c r="W5" s="44" t="str">
        <f>TEXT(WEEKDAY(DATE(AnoCalendário+1,3,20),1),"ddd")</f>
        <v>qua</v>
      </c>
      <c r="X5" s="44" t="str">
        <f>TEXT(WEEKDAY(DATE(AnoCalendário+1,3,21),1),"ddd")</f>
        <v>qui</v>
      </c>
      <c r="Y5" s="44" t="str">
        <f>TEXT(WEEKDAY(DATE(AnoCalendário+1,3,22),1),"ddd")</f>
        <v>sex</v>
      </c>
      <c r="Z5" s="44" t="str">
        <f>TEXT(WEEKDAY(DATE(AnoCalendário+1,3,23),1),"ddd")</f>
        <v>sáb</v>
      </c>
      <c r="AA5" s="44" t="str">
        <f>TEXT(WEEKDAY(DATE(AnoCalendário+1,3,24),1),"ddd")</f>
        <v>dom</v>
      </c>
      <c r="AB5" s="44" t="str">
        <f>TEXT(WEEKDAY(DATE(AnoCalendário+1,3,25),1),"ddd")</f>
        <v>seg</v>
      </c>
      <c r="AC5" s="44" t="str">
        <f>TEXT(WEEKDAY(DATE(AnoCalendário+1,3,26),1),"ddd")</f>
        <v>ter</v>
      </c>
      <c r="AD5" s="44" t="str">
        <f>TEXT(WEEKDAY(DATE(AnoCalendário+1,3,27),1),"ddd")</f>
        <v>qua</v>
      </c>
      <c r="AE5" s="44" t="str">
        <f>TEXT(WEEKDAY(DATE(AnoCalendário+1,3,28),1),"ddd")</f>
        <v>qui</v>
      </c>
      <c r="AF5" s="44" t="str">
        <f>TEXT(WEEKDAY(DATE(AnoCalendário+1,3,29),1),"ddd")</f>
        <v>sex</v>
      </c>
      <c r="AG5" s="44" t="str">
        <f>TEXT(WEEKDAY(DATE(AnoCalendário+1,3,30),1),"ddd")</f>
        <v>sáb</v>
      </c>
      <c r="AH5" s="44" t="str">
        <f>TEXT(WEEKDAY(DATE(AnoCalendário+1,3,31),1),"ddd")</f>
        <v>dom</v>
      </c>
      <c r="AI5" s="128" t="s">
        <v>41</v>
      </c>
      <c r="AJ5" s="128"/>
      <c r="AK5" s="128"/>
      <c r="AL5" s="128"/>
      <c r="AM5" s="128"/>
    </row>
    <row r="6" spans="1:39" ht="14.25" customHeight="1" x14ac:dyDescent="0.25">
      <c r="B6" s="27" t="s">
        <v>34</v>
      </c>
      <c r="C6" s="28" t="s">
        <v>36</v>
      </c>
      <c r="D6" s="29" t="s">
        <v>0</v>
      </c>
      <c r="E6" s="29" t="s">
        <v>1</v>
      </c>
      <c r="F6" s="29" t="s">
        <v>2</v>
      </c>
      <c r="G6" s="29" t="s">
        <v>3</v>
      </c>
      <c r="H6" s="29" t="s">
        <v>4</v>
      </c>
      <c r="I6" s="29" t="s">
        <v>5</v>
      </c>
      <c r="J6" s="29" t="s">
        <v>6</v>
      </c>
      <c r="K6" s="29" t="s">
        <v>7</v>
      </c>
      <c r="L6" s="29" t="s">
        <v>8</v>
      </c>
      <c r="M6" s="29" t="s">
        <v>9</v>
      </c>
      <c r="N6" s="29" t="s">
        <v>10</v>
      </c>
      <c r="O6" s="29" t="s">
        <v>11</v>
      </c>
      <c r="P6" s="29" t="s">
        <v>12</v>
      </c>
      <c r="Q6" s="29" t="s">
        <v>13</v>
      </c>
      <c r="R6" s="29" t="s">
        <v>14</v>
      </c>
      <c r="S6" s="29" t="s">
        <v>15</v>
      </c>
      <c r="T6" s="29" t="s">
        <v>16</v>
      </c>
      <c r="U6" s="29" t="s">
        <v>17</v>
      </c>
      <c r="V6" s="29" t="s">
        <v>18</v>
      </c>
      <c r="W6" s="29" t="s">
        <v>19</v>
      </c>
      <c r="X6" s="29" t="s">
        <v>20</v>
      </c>
      <c r="Y6" s="29" t="s">
        <v>21</v>
      </c>
      <c r="Z6" s="29" t="s">
        <v>22</v>
      </c>
      <c r="AA6" s="29" t="s">
        <v>23</v>
      </c>
      <c r="AB6" s="29" t="s">
        <v>24</v>
      </c>
      <c r="AC6" s="29" t="s">
        <v>25</v>
      </c>
      <c r="AD6" s="29" t="s">
        <v>26</v>
      </c>
      <c r="AE6" s="29" t="s">
        <v>27</v>
      </c>
      <c r="AF6" s="29" t="s">
        <v>28</v>
      </c>
      <c r="AG6" s="29" t="s">
        <v>29</v>
      </c>
      <c r="AH6" s="29" t="s">
        <v>30</v>
      </c>
      <c r="AI6" s="74" t="s">
        <v>37</v>
      </c>
      <c r="AJ6" s="38" t="s">
        <v>39</v>
      </c>
      <c r="AK6" s="37" t="s">
        <v>38</v>
      </c>
      <c r="AL6" s="35" t="s">
        <v>31</v>
      </c>
      <c r="AM6" t="s">
        <v>40</v>
      </c>
    </row>
    <row r="7" spans="1:39" ht="16.5" customHeight="1" x14ac:dyDescent="0.25">
      <c r="B7" s="26"/>
      <c r="C7" s="21" t="str">
        <f>IFERROR(VLOOKUP(PresençaemMarço[[#This Row],[ID do Aluno]],ListadeAlunos[],18,FALSE),"")</f>
        <v/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5"/>
      <c r="AG7" s="3"/>
      <c r="AH7" s="3"/>
      <c r="AI7" s="36">
        <f>COUNTIF(PresençaemMarço[[#This Row],[1]:[31]],Código1)</f>
        <v>0</v>
      </c>
      <c r="AJ7" s="36">
        <f>COUNTIF(PresençaemMarço[[#This Row],[1]:[31]],Código2)</f>
        <v>0</v>
      </c>
      <c r="AK7" s="36">
        <f>COUNTIF(PresençaemMarço[[#This Row],[1]:[31]],Código3)</f>
        <v>0</v>
      </c>
      <c r="AL7" s="36">
        <f>COUNTIF(PresençaemMarço[[#This Row],[1]:[31]],Código4)</f>
        <v>0</v>
      </c>
      <c r="AM7" s="6">
        <f>SUM(PresençaemMarço[[#This Row],[E]:[U]])</f>
        <v>0</v>
      </c>
    </row>
    <row r="8" spans="1:39" ht="16.5" customHeight="1" x14ac:dyDescent="0.25">
      <c r="B8" s="26"/>
      <c r="C8" s="22" t="str">
        <f>IFERROR(VLOOKUP(PresençaemMarço[[#This Row],[ID do Aluno]],ListadeAlunos[],18,FALSE),"")</f>
        <v/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5"/>
      <c r="AG8" s="3"/>
      <c r="AH8" s="3"/>
      <c r="AI8" s="36">
        <f>COUNTIF(PresençaemMarço[[#This Row],[1]:[31]],Código1)</f>
        <v>0</v>
      </c>
      <c r="AJ8" s="36">
        <f>COUNTIF(PresençaemMarço[[#This Row],[1]:[31]],Código2)</f>
        <v>0</v>
      </c>
      <c r="AK8" s="36">
        <f>COUNTIF(PresençaemMarço[[#This Row],[1]:[31]],Código3)</f>
        <v>0</v>
      </c>
      <c r="AL8" s="36">
        <f>COUNTIF(PresençaemMarço[[#This Row],[1]:[31]],Código4)</f>
        <v>0</v>
      </c>
      <c r="AM8" s="6">
        <f>SUM(PresençaemMarço[[#This Row],[E]:[U]])</f>
        <v>0</v>
      </c>
    </row>
    <row r="9" spans="1:39" ht="16.5" customHeight="1" x14ac:dyDescent="0.25">
      <c r="B9" s="26"/>
      <c r="C9" s="22" t="str">
        <f>IFERROR(VLOOKUP(PresençaemMarço[[#This Row],[ID do Aluno]],ListadeAlunos[],18,FALSE),"")</f>
        <v/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5"/>
      <c r="AG9" s="3"/>
      <c r="AH9" s="3"/>
      <c r="AI9" s="36">
        <f>COUNTIF(PresençaemMarço[[#This Row],[1]:[31]],Código1)</f>
        <v>0</v>
      </c>
      <c r="AJ9" s="36">
        <f>COUNTIF(PresençaemMarço[[#This Row],[1]:[31]],Código2)</f>
        <v>0</v>
      </c>
      <c r="AK9" s="36">
        <f>COUNTIF(PresençaemMarço[[#This Row],[1]:[31]],Código3)</f>
        <v>0</v>
      </c>
      <c r="AL9" s="36">
        <f>COUNTIF(PresençaemMarço[[#This Row],[1]:[31]],Código4)</f>
        <v>0</v>
      </c>
      <c r="AM9" s="6">
        <f>SUM(PresençaemMarço[[#This Row],[E]:[U]])</f>
        <v>0</v>
      </c>
    </row>
    <row r="10" spans="1:39" ht="16.5" customHeight="1" x14ac:dyDescent="0.25">
      <c r="B10" s="26"/>
      <c r="C10" s="22" t="str">
        <f>IFERROR(VLOOKUP(PresençaemMarço[[#This Row],[ID do Aluno]],ListadeAlunos[],18,FALSE),"")</f>
        <v/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5"/>
      <c r="AG10" s="3"/>
      <c r="AH10" s="3"/>
      <c r="AI10" s="36">
        <f>COUNTIF(PresençaemMarço[[#This Row],[1]:[31]],Código1)</f>
        <v>0</v>
      </c>
      <c r="AJ10" s="36">
        <f>COUNTIF(PresençaemMarço[[#This Row],[1]:[31]],Código2)</f>
        <v>0</v>
      </c>
      <c r="AK10" s="36">
        <f>COUNTIF(PresençaemMarço[[#This Row],[1]:[31]],Código3)</f>
        <v>0</v>
      </c>
      <c r="AL10" s="36">
        <f>COUNTIF(PresençaemMarço[[#This Row],[1]:[31]],Código4)</f>
        <v>0</v>
      </c>
      <c r="AM10" s="6">
        <f>SUM(PresençaemMarço[[#This Row],[E]:[U]])</f>
        <v>0</v>
      </c>
    </row>
    <row r="11" spans="1:39" ht="16.5" customHeight="1" x14ac:dyDescent="0.25">
      <c r="B11" s="26"/>
      <c r="C11" s="22" t="str">
        <f>IFERROR(VLOOKUP(PresençaemMarço[[#This Row],[ID do Aluno]],ListadeAlunos[],18,FALSE),"")</f>
        <v/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5"/>
      <c r="AG11" s="3"/>
      <c r="AH11" s="3"/>
      <c r="AI11" s="36">
        <f>COUNTIF(PresençaemMarço[[#This Row],[1]:[31]],Código1)</f>
        <v>0</v>
      </c>
      <c r="AJ11" s="36">
        <f>COUNTIF(PresençaemMarço[[#This Row],[1]:[31]],Código2)</f>
        <v>0</v>
      </c>
      <c r="AK11" s="36">
        <f>COUNTIF(PresençaemMarço[[#This Row],[1]:[31]],Código3)</f>
        <v>0</v>
      </c>
      <c r="AL11" s="36">
        <f>COUNTIF(PresençaemMarço[[#This Row],[1]:[31]],Código4)</f>
        <v>0</v>
      </c>
      <c r="AM11" s="6">
        <f>SUM(PresençaemMarço[[#This Row],[E]:[U]])</f>
        <v>0</v>
      </c>
    </row>
    <row r="12" spans="1:39" ht="16.5" customHeight="1" x14ac:dyDescent="0.25">
      <c r="B12" s="118"/>
      <c r="C12" s="119" t="s">
        <v>115</v>
      </c>
      <c r="D12" s="120">
        <f>COUNTIF(PresençaemMarço[1],"U")+COUNTIF(PresençaemMarço[1],"E")</f>
        <v>0</v>
      </c>
      <c r="E12" s="120">
        <f>COUNTIF(PresençaemMarço[2],"U")+COUNTIF(PresençaemMarço[2],"E")</f>
        <v>0</v>
      </c>
      <c r="F12" s="120">
        <f>COUNTIF(PresençaemMarço[3],"U")+COUNTIF(PresençaemMarço[3],"E")</f>
        <v>0</v>
      </c>
      <c r="G12" s="120">
        <f>COUNTIF(PresençaemMarço[4],"U")+COUNTIF(PresençaemMarço[4],"E")</f>
        <v>0</v>
      </c>
      <c r="H12" s="120">
        <f>COUNTIF(PresençaemMarço[5],"U")+COUNTIF(PresençaemMarço[5],"E")</f>
        <v>0</v>
      </c>
      <c r="I12" s="120">
        <f>COUNTIF(PresençaemMarço[6],"U")+COUNTIF(PresençaemMarço[6],"E")</f>
        <v>0</v>
      </c>
      <c r="J12" s="120">
        <f>COUNTIF(PresençaemMarço[7],"U")+COUNTIF(PresençaemMarço[7],"E")</f>
        <v>0</v>
      </c>
      <c r="K12" s="120">
        <f>COUNTIF(PresençaemMarço[8],"U")+COUNTIF(PresençaemMarço[8],"E")</f>
        <v>0</v>
      </c>
      <c r="L12" s="120">
        <f>COUNTIF(PresençaemMarço[9],"U")+COUNTIF(PresençaemMarço[9],"E")</f>
        <v>0</v>
      </c>
      <c r="M12" s="120">
        <f>COUNTIF(PresençaemMarço[10],"U")+COUNTIF(PresençaemMarço[10],"E")</f>
        <v>0</v>
      </c>
      <c r="N12" s="120">
        <f>COUNTIF(PresençaemMarço[11],"U")+COUNTIF(PresençaemMarço[11],"E")</f>
        <v>0</v>
      </c>
      <c r="O12" s="120">
        <f>COUNTIF(PresençaemMarço[12],"U")+COUNTIF(PresençaemMarço[12],"E")</f>
        <v>0</v>
      </c>
      <c r="P12" s="120">
        <f>COUNTIF(PresençaemMarço[13],"U")+COUNTIF(PresençaemMarço[13],"E")</f>
        <v>0</v>
      </c>
      <c r="Q12" s="120">
        <f>COUNTIF(PresençaemMarço[14],"U")+COUNTIF(PresençaemMarço[14],"E")</f>
        <v>0</v>
      </c>
      <c r="R12" s="120">
        <f>COUNTIF(PresençaemMarço[15],"U")+COUNTIF(PresençaemMarço[15],"E")</f>
        <v>0</v>
      </c>
      <c r="S12" s="120">
        <f>COUNTIF(PresençaemMarço[16],"U")+COUNTIF(PresençaemMarço[16],"E")</f>
        <v>0</v>
      </c>
      <c r="T12" s="120">
        <f>COUNTIF(PresençaemMarço[17],"U")+COUNTIF(PresençaemMarço[17],"E")</f>
        <v>0</v>
      </c>
      <c r="U12" s="120">
        <f>COUNTIF(PresençaemMarço[18],"U")+COUNTIF(PresençaemMarço[18],"E")</f>
        <v>0</v>
      </c>
      <c r="V12" s="120">
        <f>COUNTIF(PresençaemMarço[19],"U")+COUNTIF(PresençaemMarço[19],"E")</f>
        <v>0</v>
      </c>
      <c r="W12" s="120">
        <f>COUNTIF(PresençaemMarço[20],"U")+COUNTIF(PresençaemMarço[20],"E")</f>
        <v>0</v>
      </c>
      <c r="X12" s="120">
        <f>COUNTIF(PresençaemMarço[21],"U")+COUNTIF(PresençaemMarço[21],"E")</f>
        <v>0</v>
      </c>
      <c r="Y12" s="120">
        <f>COUNTIF(PresençaemMarço[22],"U")+COUNTIF(PresençaemMarço[22],"E")</f>
        <v>0</v>
      </c>
      <c r="Z12" s="120">
        <f>COUNTIF(PresençaemMarço[23],"U")+COUNTIF(PresençaemMarço[23],"E")</f>
        <v>0</v>
      </c>
      <c r="AA12" s="120">
        <f>COUNTIF(PresençaemMarço[24],"U")+COUNTIF(PresençaemMarço[24],"E")</f>
        <v>0</v>
      </c>
      <c r="AB12" s="120">
        <f>COUNTIF(PresençaemMarço[25],"U")+COUNTIF(PresençaemMarço[25],"E")</f>
        <v>0</v>
      </c>
      <c r="AC12" s="120">
        <f>COUNTIF(PresençaemMarço[26],"U")+COUNTIF(PresençaemMarço[26],"E")</f>
        <v>0</v>
      </c>
      <c r="AD12" s="120">
        <f>COUNTIF(PresençaemMarço[27],"U")+COUNTIF(PresençaemMarço[27],"E")</f>
        <v>0</v>
      </c>
      <c r="AE12" s="120">
        <f>COUNTIF(PresençaemMarço[28],"U")+COUNTIF(PresençaemMarço[28],"E")</f>
        <v>0</v>
      </c>
      <c r="AF12" s="120">
        <f>COUNTIF(PresençaemMarço[29],"U")+COUNTIF(PresençaemMarço[29],"E")</f>
        <v>0</v>
      </c>
      <c r="AG12" s="120"/>
      <c r="AH12" s="120"/>
      <c r="AI12" s="120">
        <f>SUBTOTAL(109,PresençaemMarço[T])</f>
        <v>0</v>
      </c>
      <c r="AJ12" s="120">
        <f>SUBTOTAL(109,PresençaemMarço[E])</f>
        <v>0</v>
      </c>
      <c r="AK12" s="120">
        <f>SUBTOTAL(109,PresençaemMarço[U])</f>
        <v>0</v>
      </c>
      <c r="AL12" s="120">
        <f>SUBTOTAL(109,PresençaemMarço[P])</f>
        <v>0</v>
      </c>
      <c r="AM12" s="120">
        <f>SUBTOTAL(109,PresençaemMarço[Dias de Ausência])</f>
        <v>0</v>
      </c>
    </row>
    <row r="13" spans="1:39" ht="16.5" customHeight="1" x14ac:dyDescent="0.25"/>
    <row r="14" spans="1:39" ht="16.5" customHeight="1" x14ac:dyDescent="0.25"/>
    <row r="15" spans="1:39" ht="16.5" customHeight="1" x14ac:dyDescent="0.25"/>
    <row r="16" spans="1:39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6.5" customHeight="1" x14ac:dyDescent="0.25"/>
    <row r="25" ht="16.5" customHeight="1" x14ac:dyDescent="0.25"/>
    <row r="26" ht="16.5" customHeight="1" x14ac:dyDescent="0.25"/>
    <row r="27" ht="16.5" customHeight="1" x14ac:dyDescent="0.25"/>
    <row r="28" ht="16.5" customHeight="1" x14ac:dyDescent="0.25"/>
    <row r="29" ht="16.5" customHeight="1" x14ac:dyDescent="0.25"/>
    <row r="30" ht="16.5" customHeight="1" x14ac:dyDescent="0.25"/>
    <row r="31" ht="16.5" customHeight="1" x14ac:dyDescent="0.25"/>
    <row r="32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I5:AM5"/>
  </mergeCells>
  <conditionalFormatting sqref="AM7:AM11">
    <cfRule type="dataBar" priority="1">
      <dataBar>
        <cfvo type="min"/>
        <cfvo type="num" val="DATEDIF(DATE(AnoCalendário,2,1),DATE(AnoCalendário,3,1),&quot;d&quot;)"/>
        <color theme="4"/>
      </dataBar>
      <extLst>
        <ext xmlns:x14="http://schemas.microsoft.com/office/spreadsheetml/2009/9/main" uri="{B025F937-C7B1-47D3-B67F-A62EFF666E3E}">
          <x14:id>{FE16E06C-E989-439D-8944-FBFC073CA68C}</x14:id>
        </ext>
      </extLst>
    </cfRule>
  </conditionalFormatting>
  <conditionalFormatting sqref="D7:AF11">
    <cfRule type="expression" dxfId="420" priority="2" stopIfTrue="1">
      <formula>D7=Código2</formula>
    </cfRule>
  </conditionalFormatting>
  <conditionalFormatting sqref="D7:AF11">
    <cfRule type="expression" dxfId="419" priority="3" stopIfTrue="1">
      <formula>D7=Código5</formula>
    </cfRule>
    <cfRule type="expression" dxfId="418" priority="4" stopIfTrue="1">
      <formula>D7=Código4</formula>
    </cfRule>
    <cfRule type="expression" dxfId="417" priority="5" stopIfTrue="1">
      <formula>D7=Código3</formula>
    </cfRule>
    <cfRule type="expression" dxfId="416" priority="6" stopIfTrue="1">
      <formula>D7=Código1</formula>
    </cfRule>
  </conditionalFormatting>
  <dataValidations count="1">
    <dataValidation type="list" errorStyle="warning" allowBlank="1" showInputMessage="1" showErrorMessage="1" errorTitle="Ops!" error="A ID de Aluno que você inseriu não está na planilha Lista de Alunos. Você pode clicar em Sim para usar a ID de Aluno inserida, mas ela não estará disponível na planilha Relatório de Presença dos Alunos." sqref="B7:B11">
      <formula1>IDAluno</formula1>
    </dataValidation>
  </dataValidations>
  <printOptions horizontalCentered="1"/>
  <pageMargins left="0.5" right="0.5" top="0.75" bottom="0.75" header="0.3" footer="0.3"/>
  <pageSetup paperSize="9" scale="59" fitToHeight="0" orientation="landscape" verticalDpi="120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E16E06C-E989-439D-8944-FBFC073CA68C}">
            <x14:dataBar minLength="0" maxLength="100" border="1" negativeBarBorderColorSameAsPositive="0">
              <x14:cfvo type="autoMin"/>
              <x14:cfvo type="num">
                <xm:f>DATEDIF(DATE(AnoCalendário,2,1),DATE(AnoCalendário,3,1),"d")</xm:f>
              </x14:cfvo>
              <x14:borderColor theme="4"/>
              <x14:negativeFillColor rgb="FFFF0000"/>
              <x14:negativeBorderColor rgb="FFFF0000"/>
              <x14:axisColor rgb="FF000000"/>
            </x14:dataBar>
          </x14:cfRule>
          <xm:sqref>AM7:AM11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M264"/>
  <sheetViews>
    <sheetView showGridLines="0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5" customHeight="1" x14ac:dyDescent="0.25"/>
  <cols>
    <col min="1" max="1" width="2.7109375" style="11" customWidth="1"/>
    <col min="2" max="2" width="11.85546875" style="11" bestFit="1" customWidth="1"/>
    <col min="3" max="3" width="28.85546875" style="12" customWidth="1"/>
    <col min="4" max="34" width="5" style="10" customWidth="1"/>
    <col min="35" max="35" width="4.7109375" style="9" customWidth="1"/>
    <col min="36" max="36" width="4.7109375" style="10" customWidth="1"/>
    <col min="37" max="38" width="4.7109375" style="11" customWidth="1"/>
    <col min="39" max="39" width="16.85546875" style="11" bestFit="1" customWidth="1"/>
    <col min="40" max="16384" width="9.140625" style="11"/>
  </cols>
  <sheetData>
    <row r="1" spans="1:39" s="1" customFormat="1" ht="42" customHeight="1" x14ac:dyDescent="0.25">
      <c r="A1" s="39" t="s">
        <v>89</v>
      </c>
      <c r="B1" s="40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0"/>
      <c r="AD1" s="40"/>
      <c r="AE1" s="40"/>
      <c r="AF1" s="40"/>
      <c r="AG1" s="42"/>
      <c r="AH1" s="40"/>
      <c r="AI1" s="40"/>
      <c r="AJ1" s="43"/>
      <c r="AK1" s="40"/>
      <c r="AL1" s="59" t="s">
        <v>72</v>
      </c>
      <c r="AM1" s="60">
        <f>AnoCalendário</f>
        <v>2012</v>
      </c>
    </row>
    <row r="2" spans="1:39" customFormat="1" ht="13.5" x14ac:dyDescent="0.25"/>
    <row r="3" spans="1:39" s="31" customFormat="1" ht="12.75" customHeight="1" x14ac:dyDescent="0.25">
      <c r="C3" s="46" t="str">
        <f>TextodaChavedeCor</f>
        <v xml:space="preserve">CHAVE COLORIDA </v>
      </c>
      <c r="D3" s="53" t="str">
        <f>Código1</f>
        <v>T</v>
      </c>
      <c r="E3" s="70" t="str">
        <f>TextodeCódigo1</f>
        <v>Atrasado</v>
      </c>
      <c r="F3" s="61"/>
      <c r="H3" s="54" t="str">
        <f>Código2</f>
        <v>E</v>
      </c>
      <c r="I3" s="58" t="str">
        <f>TextodeCódigo2</f>
        <v>Dispensado</v>
      </c>
      <c r="L3" s="55" t="str">
        <f>Código3</f>
        <v>U</v>
      </c>
      <c r="M3" s="58" t="str">
        <f>TextodeCódigo3</f>
        <v>Não Dispensado</v>
      </c>
      <c r="P3" s="56" t="str">
        <f>Código4</f>
        <v>P</v>
      </c>
      <c r="Q3" s="58" t="str">
        <f>TextodeCódigo4</f>
        <v>Presente</v>
      </c>
      <c r="T3" s="57" t="str">
        <f>Código5</f>
        <v>N</v>
      </c>
      <c r="U3" s="58" t="str">
        <f>TextodeCódigo5</f>
        <v>Sem Aula</v>
      </c>
      <c r="W3"/>
      <c r="X3"/>
      <c r="Y3"/>
      <c r="AD3" s="30"/>
      <c r="AE3" s="30"/>
      <c r="AH3" s="32"/>
      <c r="AI3" s="33"/>
      <c r="AK3" s="34"/>
    </row>
    <row r="4" spans="1:39" customFormat="1" ht="16.5" customHeight="1" x14ac:dyDescent="0.25"/>
    <row r="5" spans="1:39" s="2" customFormat="1" ht="18" customHeight="1" x14ac:dyDescent="0.3">
      <c r="B5" s="63">
        <f>DATE(AnoCalendário+1,4,1)</f>
        <v>41365</v>
      </c>
      <c r="C5" s="62"/>
      <c r="D5" s="44" t="str">
        <f>TEXT(WEEKDAY(DATE(AnoCalendário+1,4,1),1),"ddd")</f>
        <v>seg</v>
      </c>
      <c r="E5" s="44" t="str">
        <f>TEXT(WEEKDAY(DATE(AnoCalendário+1,4,2),1),"ddd")</f>
        <v>ter</v>
      </c>
      <c r="F5" s="44" t="str">
        <f>TEXT(WEEKDAY(DATE(AnoCalendário+1,4,3),1),"ddd")</f>
        <v>qua</v>
      </c>
      <c r="G5" s="44" t="str">
        <f>TEXT(WEEKDAY(DATE(AnoCalendário+1,4,4),1),"ddd")</f>
        <v>qui</v>
      </c>
      <c r="H5" s="44" t="str">
        <f>TEXT(WEEKDAY(DATE(AnoCalendário+1,4,5),1),"ddd")</f>
        <v>sex</v>
      </c>
      <c r="I5" s="44" t="str">
        <f>TEXT(WEEKDAY(DATE(AnoCalendário+1,4,6),1),"ddd")</f>
        <v>sáb</v>
      </c>
      <c r="J5" s="44" t="str">
        <f>TEXT(WEEKDAY(DATE(AnoCalendário+1,4,7),1),"ddd")</f>
        <v>dom</v>
      </c>
      <c r="K5" s="44" t="str">
        <f>TEXT(WEEKDAY(DATE(AnoCalendário+1,4,8),1),"ddd")</f>
        <v>seg</v>
      </c>
      <c r="L5" s="44" t="str">
        <f>TEXT(WEEKDAY(DATE(AnoCalendário+1,4,9),1),"ddd")</f>
        <v>ter</v>
      </c>
      <c r="M5" s="44" t="str">
        <f>TEXT(WEEKDAY(DATE(AnoCalendário+1,4,10),1),"ddd")</f>
        <v>qua</v>
      </c>
      <c r="N5" s="44" t="str">
        <f>TEXT(WEEKDAY(DATE(AnoCalendário+1,4,11),1),"ddd")</f>
        <v>qui</v>
      </c>
      <c r="O5" s="44" t="str">
        <f>TEXT(WEEKDAY(DATE(AnoCalendário+1,4,12),1),"ddd")</f>
        <v>sex</v>
      </c>
      <c r="P5" s="44" t="str">
        <f>TEXT(WEEKDAY(DATE(AnoCalendário+1,4,13),1),"ddd")</f>
        <v>sáb</v>
      </c>
      <c r="Q5" s="44" t="str">
        <f>TEXT(WEEKDAY(DATE(AnoCalendário+1,4,14),1),"ddd")</f>
        <v>dom</v>
      </c>
      <c r="R5" s="44" t="str">
        <f>TEXT(WEEKDAY(DATE(AnoCalendário+1,4,15),1),"ddd")</f>
        <v>seg</v>
      </c>
      <c r="S5" s="44" t="str">
        <f>TEXT(WEEKDAY(DATE(AnoCalendário+1,4,16),1),"ddd")</f>
        <v>ter</v>
      </c>
      <c r="T5" s="44" t="str">
        <f>TEXT(WEEKDAY(DATE(AnoCalendário+1,4,17),1),"ddd")</f>
        <v>qua</v>
      </c>
      <c r="U5" s="44" t="str">
        <f>TEXT(WEEKDAY(DATE(AnoCalendário+1,4,18),1),"ddd")</f>
        <v>qui</v>
      </c>
      <c r="V5" s="44" t="str">
        <f>TEXT(WEEKDAY(DATE(AnoCalendário+1,4,19),1),"ddd")</f>
        <v>sex</v>
      </c>
      <c r="W5" s="44" t="str">
        <f>TEXT(WEEKDAY(DATE(AnoCalendário+1,4,20),1),"ddd")</f>
        <v>sáb</v>
      </c>
      <c r="X5" s="44" t="str">
        <f>TEXT(WEEKDAY(DATE(AnoCalendário+1,4,21),1),"ddd")</f>
        <v>dom</v>
      </c>
      <c r="Y5" s="44" t="str">
        <f>TEXT(WEEKDAY(DATE(AnoCalendário+1,4,22),1),"ddd")</f>
        <v>seg</v>
      </c>
      <c r="Z5" s="44" t="str">
        <f>TEXT(WEEKDAY(DATE(AnoCalendário+1,4,23),1),"ddd")</f>
        <v>ter</v>
      </c>
      <c r="AA5" s="44" t="str">
        <f>TEXT(WEEKDAY(DATE(AnoCalendário+1,4,24),1),"ddd")</f>
        <v>qua</v>
      </c>
      <c r="AB5" s="44" t="str">
        <f>TEXT(WEEKDAY(DATE(AnoCalendário+1,4,25),1),"ddd")</f>
        <v>qui</v>
      </c>
      <c r="AC5" s="44" t="str">
        <f>TEXT(WEEKDAY(DATE(AnoCalendário+1,4,26),1),"ddd")</f>
        <v>sex</v>
      </c>
      <c r="AD5" s="44" t="str">
        <f>TEXT(WEEKDAY(DATE(AnoCalendário+1,4,27),1),"ddd")</f>
        <v>sáb</v>
      </c>
      <c r="AE5" s="44" t="str">
        <f>TEXT(WEEKDAY(DATE(AnoCalendário+1,4,28),1),"ddd")</f>
        <v>dom</v>
      </c>
      <c r="AF5" s="44" t="str">
        <f>TEXT(WEEKDAY(DATE(AnoCalendário+1,4,29),1),"ddd")</f>
        <v>seg</v>
      </c>
      <c r="AG5" s="44" t="str">
        <f>TEXT(WEEKDAY(DATE(AnoCalendário+1,4,30),1),"ddd")</f>
        <v>ter</v>
      </c>
      <c r="AH5" s="44"/>
      <c r="AI5" s="128" t="s">
        <v>41</v>
      </c>
      <c r="AJ5" s="128"/>
      <c r="AK5" s="128"/>
      <c r="AL5" s="128"/>
      <c r="AM5" s="128"/>
    </row>
    <row r="6" spans="1:39" ht="14.25" customHeight="1" x14ac:dyDescent="0.25">
      <c r="B6" s="27" t="s">
        <v>34</v>
      </c>
      <c r="C6" s="28" t="s">
        <v>36</v>
      </c>
      <c r="D6" s="29" t="s">
        <v>0</v>
      </c>
      <c r="E6" s="29" t="s">
        <v>1</v>
      </c>
      <c r="F6" s="29" t="s">
        <v>2</v>
      </c>
      <c r="G6" s="29" t="s">
        <v>3</v>
      </c>
      <c r="H6" s="29" t="s">
        <v>4</v>
      </c>
      <c r="I6" s="29" t="s">
        <v>5</v>
      </c>
      <c r="J6" s="29" t="s">
        <v>6</v>
      </c>
      <c r="K6" s="29" t="s">
        <v>7</v>
      </c>
      <c r="L6" s="29" t="s">
        <v>8</v>
      </c>
      <c r="M6" s="29" t="s">
        <v>9</v>
      </c>
      <c r="N6" s="29" t="s">
        <v>10</v>
      </c>
      <c r="O6" s="29" t="s">
        <v>11</v>
      </c>
      <c r="P6" s="29" t="s">
        <v>12</v>
      </c>
      <c r="Q6" s="29" t="s">
        <v>13</v>
      </c>
      <c r="R6" s="29" t="s">
        <v>14</v>
      </c>
      <c r="S6" s="29" t="s">
        <v>15</v>
      </c>
      <c r="T6" s="29" t="s">
        <v>16</v>
      </c>
      <c r="U6" s="29" t="s">
        <v>17</v>
      </c>
      <c r="V6" s="29" t="s">
        <v>18</v>
      </c>
      <c r="W6" s="29" t="s">
        <v>19</v>
      </c>
      <c r="X6" s="29" t="s">
        <v>20</v>
      </c>
      <c r="Y6" s="29" t="s">
        <v>21</v>
      </c>
      <c r="Z6" s="29" t="s">
        <v>22</v>
      </c>
      <c r="AA6" s="29" t="s">
        <v>23</v>
      </c>
      <c r="AB6" s="29" t="s">
        <v>24</v>
      </c>
      <c r="AC6" s="29" t="s">
        <v>25</v>
      </c>
      <c r="AD6" s="29" t="s">
        <v>26</v>
      </c>
      <c r="AE6" s="29" t="s">
        <v>27</v>
      </c>
      <c r="AF6" s="29" t="s">
        <v>28</v>
      </c>
      <c r="AG6" s="29" t="s">
        <v>29</v>
      </c>
      <c r="AH6" s="29" t="s">
        <v>114</v>
      </c>
      <c r="AI6" s="74" t="s">
        <v>37</v>
      </c>
      <c r="AJ6" s="38" t="s">
        <v>39</v>
      </c>
      <c r="AK6" s="37" t="s">
        <v>38</v>
      </c>
      <c r="AL6" s="35" t="s">
        <v>31</v>
      </c>
      <c r="AM6" t="s">
        <v>40</v>
      </c>
    </row>
    <row r="7" spans="1:39" ht="16.5" customHeight="1" x14ac:dyDescent="0.25">
      <c r="B7" s="26"/>
      <c r="C7" s="21" t="str">
        <f>IFERROR(VLOOKUP(PresençaemAbril[[#This Row],[ID do Aluno]],ListadeAlunos[],18,FALSE),"")</f>
        <v/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5"/>
      <c r="AG7" s="3"/>
      <c r="AH7" s="3"/>
      <c r="AI7" s="36">
        <f>COUNTIF(PresençaemAbril[[#This Row],[1]:[ ]],Código1)</f>
        <v>0</v>
      </c>
      <c r="AJ7" s="36">
        <f>COUNTIF(PresençaemAbril[[#This Row],[1]:[ ]],Código2)</f>
        <v>0</v>
      </c>
      <c r="AK7" s="36">
        <f>COUNTIF(PresençaemAbril[[#This Row],[1]:[ ]],Código3)</f>
        <v>0</v>
      </c>
      <c r="AL7" s="36">
        <f>COUNTIF(PresençaemAbril[[#This Row],[1]:[ ]],Código4)</f>
        <v>0</v>
      </c>
      <c r="AM7" s="6">
        <f>SUM(PresençaemAbril[[#This Row],[E]:[U]])</f>
        <v>0</v>
      </c>
    </row>
    <row r="8" spans="1:39" ht="16.5" customHeight="1" x14ac:dyDescent="0.25">
      <c r="B8" s="26"/>
      <c r="C8" s="22" t="str">
        <f>IFERROR(VLOOKUP(PresençaemAbril[[#This Row],[ID do Aluno]],ListadeAlunos[],18,FALSE),"")</f>
        <v/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5"/>
      <c r="AG8" s="3"/>
      <c r="AH8" s="3"/>
      <c r="AI8" s="36">
        <f>COUNTIF(PresençaemAbril[[#This Row],[1]:[ ]],Código1)</f>
        <v>0</v>
      </c>
      <c r="AJ8" s="36">
        <f>COUNTIF(PresençaemAbril[[#This Row],[1]:[ ]],Código2)</f>
        <v>0</v>
      </c>
      <c r="AK8" s="36">
        <f>COUNTIF(PresençaemAbril[[#This Row],[1]:[ ]],Código3)</f>
        <v>0</v>
      </c>
      <c r="AL8" s="36">
        <f>COUNTIF(PresençaemAbril[[#This Row],[1]:[ ]],Código4)</f>
        <v>0</v>
      </c>
      <c r="AM8" s="6">
        <f>SUM(PresençaemAbril[[#This Row],[E]:[U]])</f>
        <v>0</v>
      </c>
    </row>
    <row r="9" spans="1:39" ht="16.5" customHeight="1" x14ac:dyDescent="0.25">
      <c r="B9" s="26"/>
      <c r="C9" s="22" t="str">
        <f>IFERROR(VLOOKUP(PresençaemAbril[[#This Row],[ID do Aluno]],ListadeAlunos[],18,FALSE),"")</f>
        <v/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5"/>
      <c r="AG9" s="3"/>
      <c r="AH9" s="3"/>
      <c r="AI9" s="36">
        <f>COUNTIF(PresençaemAbril[[#This Row],[1]:[ ]],Código1)</f>
        <v>0</v>
      </c>
      <c r="AJ9" s="36">
        <f>COUNTIF(PresençaemAbril[[#This Row],[1]:[ ]],Código2)</f>
        <v>0</v>
      </c>
      <c r="AK9" s="36">
        <f>COUNTIF(PresençaemAbril[[#This Row],[1]:[ ]],Código3)</f>
        <v>0</v>
      </c>
      <c r="AL9" s="36">
        <f>COUNTIF(PresençaemAbril[[#This Row],[1]:[ ]],Código4)</f>
        <v>0</v>
      </c>
      <c r="AM9" s="6">
        <f>SUM(PresençaemAbril[[#This Row],[E]:[U]])</f>
        <v>0</v>
      </c>
    </row>
    <row r="10" spans="1:39" ht="16.5" customHeight="1" x14ac:dyDescent="0.25">
      <c r="B10" s="26"/>
      <c r="C10" s="22" t="str">
        <f>IFERROR(VLOOKUP(PresençaemAbril[[#This Row],[ID do Aluno]],ListadeAlunos[],18,FALSE),"")</f>
        <v/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5"/>
      <c r="AG10" s="3"/>
      <c r="AH10" s="3"/>
      <c r="AI10" s="36">
        <f>COUNTIF(PresençaemAbril[[#This Row],[1]:[ ]],Código1)</f>
        <v>0</v>
      </c>
      <c r="AJ10" s="36">
        <f>COUNTIF(PresençaemAbril[[#This Row],[1]:[ ]],Código2)</f>
        <v>0</v>
      </c>
      <c r="AK10" s="36">
        <f>COUNTIF(PresençaemAbril[[#This Row],[1]:[ ]],Código3)</f>
        <v>0</v>
      </c>
      <c r="AL10" s="36">
        <f>COUNTIF(PresençaemAbril[[#This Row],[1]:[ ]],Código4)</f>
        <v>0</v>
      </c>
      <c r="AM10" s="6">
        <f>SUM(PresençaemAbril[[#This Row],[E]:[U]])</f>
        <v>0</v>
      </c>
    </row>
    <row r="11" spans="1:39" ht="16.5" customHeight="1" x14ac:dyDescent="0.25">
      <c r="B11" s="26"/>
      <c r="C11" s="22" t="str">
        <f>IFERROR(VLOOKUP(PresençaemAbril[[#This Row],[ID do Aluno]],ListadeAlunos[],18,FALSE),"")</f>
        <v/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5"/>
      <c r="AG11" s="3"/>
      <c r="AH11" s="3"/>
      <c r="AI11" s="36">
        <f>COUNTIF(PresençaemAbril[[#This Row],[1]:[ ]],Código1)</f>
        <v>0</v>
      </c>
      <c r="AJ11" s="36">
        <f>COUNTIF(PresençaemAbril[[#This Row],[1]:[ ]],Código2)</f>
        <v>0</v>
      </c>
      <c r="AK11" s="36">
        <f>COUNTIF(PresençaemAbril[[#This Row],[1]:[ ]],Código3)</f>
        <v>0</v>
      </c>
      <c r="AL11" s="36">
        <f>COUNTIF(PresençaemAbril[[#This Row],[1]:[ ]],Código4)</f>
        <v>0</v>
      </c>
      <c r="AM11" s="6">
        <f>SUM(PresençaemAbril[[#This Row],[E]:[U]])</f>
        <v>0</v>
      </c>
    </row>
    <row r="12" spans="1:39" ht="16.5" customHeight="1" x14ac:dyDescent="0.25">
      <c r="B12" s="118"/>
      <c r="C12" s="119" t="s">
        <v>115</v>
      </c>
      <c r="D12" s="120">
        <f>COUNTIF(PresençaemAbril[1],"U")+COUNTIF(PresençaemAbril[1],"E")</f>
        <v>0</v>
      </c>
      <c r="E12" s="120">
        <f>COUNTIF(PresençaemAbril[2],"U")+COUNTIF(PresençaemAbril[2],"E")</f>
        <v>0</v>
      </c>
      <c r="F12" s="120">
        <f>COUNTIF(PresençaemAbril[3],"U")+COUNTIF(PresençaemAbril[3],"E")</f>
        <v>0</v>
      </c>
      <c r="G12" s="120">
        <f>COUNTIF(PresençaemAbril[4],"U")+COUNTIF(PresençaemAbril[4],"E")</f>
        <v>0</v>
      </c>
      <c r="H12" s="120">
        <f>COUNTIF(PresençaemAbril[5],"U")+COUNTIF(PresençaemAbril[5],"E")</f>
        <v>0</v>
      </c>
      <c r="I12" s="120">
        <f>COUNTIF(PresençaemAbril[6],"U")+COUNTIF(PresençaemAbril[6],"E")</f>
        <v>0</v>
      </c>
      <c r="J12" s="120">
        <f>COUNTIF(PresençaemAbril[7],"U")+COUNTIF(PresençaemAbril[7],"E")</f>
        <v>0</v>
      </c>
      <c r="K12" s="120">
        <f>COUNTIF(PresençaemAbril[8],"U")+COUNTIF(PresençaemAbril[8],"E")</f>
        <v>0</v>
      </c>
      <c r="L12" s="120">
        <f>COUNTIF(PresençaemAbril[9],"U")+COUNTIF(PresençaemAbril[9],"E")</f>
        <v>0</v>
      </c>
      <c r="M12" s="120">
        <f>COUNTIF(PresençaemAbril[10],"U")+COUNTIF(PresençaemAbril[10],"E")</f>
        <v>0</v>
      </c>
      <c r="N12" s="120">
        <f>COUNTIF(PresençaemAbril[11],"U")+COUNTIF(PresençaemAbril[11],"E")</f>
        <v>0</v>
      </c>
      <c r="O12" s="120">
        <f>COUNTIF(PresençaemAbril[12],"U")+COUNTIF(PresençaemAbril[12],"E")</f>
        <v>0</v>
      </c>
      <c r="P12" s="120">
        <f>COUNTIF(PresençaemAbril[13],"U")+COUNTIF(PresençaemAbril[13],"E")</f>
        <v>0</v>
      </c>
      <c r="Q12" s="120">
        <f>COUNTIF(PresençaemAbril[14],"U")+COUNTIF(PresençaemAbril[14],"E")</f>
        <v>0</v>
      </c>
      <c r="R12" s="120">
        <f>COUNTIF(PresençaemAbril[15],"U")+COUNTIF(PresençaemAbril[15],"E")</f>
        <v>0</v>
      </c>
      <c r="S12" s="120">
        <f>COUNTIF(PresençaemAbril[16],"U")+COUNTIF(PresençaemAbril[16],"E")</f>
        <v>0</v>
      </c>
      <c r="T12" s="120">
        <f>COUNTIF(PresençaemAbril[17],"U")+COUNTIF(PresençaemAbril[17],"E")</f>
        <v>0</v>
      </c>
      <c r="U12" s="120">
        <f>COUNTIF(PresençaemAbril[18],"U")+COUNTIF(PresençaemAbril[18],"E")</f>
        <v>0</v>
      </c>
      <c r="V12" s="120">
        <f>COUNTIF(PresençaemAbril[19],"U")+COUNTIF(PresençaemAbril[19],"E")</f>
        <v>0</v>
      </c>
      <c r="W12" s="120">
        <f>COUNTIF(PresençaemAbril[20],"U")+COUNTIF(PresençaemAbril[20],"E")</f>
        <v>0</v>
      </c>
      <c r="X12" s="120">
        <f>COUNTIF(PresençaemAbril[21],"U")+COUNTIF(PresençaemAbril[21],"E")</f>
        <v>0</v>
      </c>
      <c r="Y12" s="120">
        <f>COUNTIF(PresençaemAbril[22],"U")+COUNTIF(PresençaemAbril[22],"E")</f>
        <v>0</v>
      </c>
      <c r="Z12" s="120">
        <f>COUNTIF(PresençaemAbril[23],"U")+COUNTIF(PresençaemAbril[23],"E")</f>
        <v>0</v>
      </c>
      <c r="AA12" s="120">
        <f>COUNTIF(PresençaemAbril[24],"U")+COUNTIF(PresençaemAbril[24],"E")</f>
        <v>0</v>
      </c>
      <c r="AB12" s="120">
        <f>COUNTIF(PresençaemAbril[25],"U")+COUNTIF(PresençaemAbril[25],"E")</f>
        <v>0</v>
      </c>
      <c r="AC12" s="120">
        <f>COUNTIF(PresençaemAbril[26],"U")+COUNTIF(PresençaemAbril[26],"E")</f>
        <v>0</v>
      </c>
      <c r="AD12" s="120">
        <f>COUNTIF(PresençaemAbril[27],"U")+COUNTIF(PresençaemAbril[27],"E")</f>
        <v>0</v>
      </c>
      <c r="AE12" s="120">
        <f>COUNTIF(PresençaemAbril[28],"U")+COUNTIF(PresençaemAbril[28],"E")</f>
        <v>0</v>
      </c>
      <c r="AF12" s="120">
        <f>COUNTIF(PresençaemAbril[29],"U")+COUNTIF(PresençaemAbril[29],"E")</f>
        <v>0</v>
      </c>
      <c r="AG12" s="120"/>
      <c r="AH12" s="120"/>
      <c r="AI12" s="120">
        <f>SUBTOTAL(109,PresençaemAbril[T])</f>
        <v>0</v>
      </c>
      <c r="AJ12" s="120">
        <f>SUBTOTAL(109,PresençaemAbril[E])</f>
        <v>0</v>
      </c>
      <c r="AK12" s="120">
        <f>SUBTOTAL(109,PresençaemAbril[U])</f>
        <v>0</v>
      </c>
      <c r="AL12" s="120">
        <f>SUBTOTAL(109,PresençaemAbril[P])</f>
        <v>0</v>
      </c>
      <c r="AM12" s="120">
        <f>SUBTOTAL(109,PresençaemAbril[Dias de Ausência])</f>
        <v>0</v>
      </c>
    </row>
    <row r="13" spans="1:39" ht="16.5" customHeight="1" x14ac:dyDescent="0.25"/>
    <row r="14" spans="1:39" ht="16.5" customHeight="1" x14ac:dyDescent="0.25"/>
    <row r="15" spans="1:39" ht="16.5" customHeight="1" x14ac:dyDescent="0.25"/>
    <row r="16" spans="1:39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6.5" customHeight="1" x14ac:dyDescent="0.25"/>
    <row r="25" ht="16.5" customHeight="1" x14ac:dyDescent="0.25"/>
    <row r="26" ht="16.5" customHeight="1" x14ac:dyDescent="0.25"/>
    <row r="27" ht="16.5" customHeight="1" x14ac:dyDescent="0.25"/>
    <row r="28" ht="16.5" customHeight="1" x14ac:dyDescent="0.25"/>
    <row r="29" ht="16.5" customHeight="1" x14ac:dyDescent="0.25"/>
    <row r="30" ht="16.5" customHeight="1" x14ac:dyDescent="0.25"/>
    <row r="31" ht="16.5" customHeight="1" x14ac:dyDescent="0.25"/>
    <row r="32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I5:AM5"/>
  </mergeCells>
  <conditionalFormatting sqref="AM7:AM11">
    <cfRule type="dataBar" priority="1">
      <dataBar>
        <cfvo type="min"/>
        <cfvo type="num" val="DATEDIF(DATE(AnoCalendário,2,1),DATE(AnoCalendário,3,1),&quot;d&quot;)"/>
        <color theme="4"/>
      </dataBar>
      <extLst>
        <ext xmlns:x14="http://schemas.microsoft.com/office/spreadsheetml/2009/9/main" uri="{B025F937-C7B1-47D3-B67F-A62EFF666E3E}">
          <x14:id>{9FD523D2-45CA-45DA-93F8-59B772F50C00}</x14:id>
        </ext>
      </extLst>
    </cfRule>
  </conditionalFormatting>
  <conditionalFormatting sqref="D7:AF11">
    <cfRule type="expression" dxfId="337" priority="2" stopIfTrue="1">
      <formula>D7=Código2</formula>
    </cfRule>
  </conditionalFormatting>
  <conditionalFormatting sqref="D7:AF11">
    <cfRule type="expression" dxfId="336" priority="3" stopIfTrue="1">
      <formula>D7=Código5</formula>
    </cfRule>
    <cfRule type="expression" dxfId="335" priority="4" stopIfTrue="1">
      <formula>D7=Código4</formula>
    </cfRule>
    <cfRule type="expression" dxfId="334" priority="5" stopIfTrue="1">
      <formula>D7=Código3</formula>
    </cfRule>
    <cfRule type="expression" dxfId="333" priority="6" stopIfTrue="1">
      <formula>D7=Código1</formula>
    </cfRule>
  </conditionalFormatting>
  <dataValidations count="1">
    <dataValidation type="list" errorStyle="warning" allowBlank="1" showInputMessage="1" showErrorMessage="1" errorTitle="Ops!" error="A ID de Aluno que você inseriu não está na planilha Lista de Alunos. Você pode clicar em Sim para usar a ID de Aluno inserida, mas ela não estará disponível na planilha Relatório de Presença dos Alunos." sqref="B7:B11">
      <formula1>IDAluno</formula1>
    </dataValidation>
  </dataValidations>
  <printOptions horizontalCentered="1"/>
  <pageMargins left="0.5" right="0.5" top="0.75" bottom="0.75" header="0.3" footer="0.3"/>
  <pageSetup paperSize="9" scale="59" fitToHeight="0" orientation="landscape" verticalDpi="120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FD523D2-45CA-45DA-93F8-59B772F50C00}">
            <x14:dataBar minLength="0" maxLength="100" border="1" negativeBarBorderColorSameAsPositive="0">
              <x14:cfvo type="autoMin"/>
              <x14:cfvo type="num">
                <xm:f>DATEDIF(DATE(AnoCalendário,2,1),DATE(AnoCalendário,3,1),"d")</xm:f>
              </x14:cfvo>
              <x14:borderColor theme="4"/>
              <x14:negativeFillColor rgb="FFFF0000"/>
              <x14:negativeBorderColor rgb="FFFF0000"/>
              <x14:axisColor rgb="FF000000"/>
            </x14:dataBar>
          </x14:cfRule>
          <xm:sqref>AM7:AM11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M264"/>
  <sheetViews>
    <sheetView showGridLines="0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5" customHeight="1" x14ac:dyDescent="0.25"/>
  <cols>
    <col min="1" max="1" width="2.7109375" style="11" customWidth="1"/>
    <col min="2" max="2" width="11.85546875" style="11" bestFit="1" customWidth="1"/>
    <col min="3" max="3" width="28.85546875" style="12" customWidth="1"/>
    <col min="4" max="34" width="5" style="10" customWidth="1"/>
    <col min="35" max="35" width="4.7109375" style="9" customWidth="1"/>
    <col min="36" max="36" width="4.7109375" style="10" customWidth="1"/>
    <col min="37" max="38" width="4.7109375" style="11" customWidth="1"/>
    <col min="39" max="39" width="16.85546875" style="11" bestFit="1" customWidth="1"/>
    <col min="40" max="16384" width="9.140625" style="11"/>
  </cols>
  <sheetData>
    <row r="1" spans="1:39" s="1" customFormat="1" ht="42" customHeight="1" x14ac:dyDescent="0.25">
      <c r="A1" s="39" t="s">
        <v>89</v>
      </c>
      <c r="B1" s="40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0"/>
      <c r="AD1" s="40"/>
      <c r="AE1" s="40"/>
      <c r="AF1" s="40"/>
      <c r="AG1" s="42"/>
      <c r="AH1" s="40"/>
      <c r="AI1" s="40"/>
      <c r="AJ1" s="43"/>
      <c r="AK1" s="40"/>
      <c r="AL1" s="59" t="s">
        <v>72</v>
      </c>
      <c r="AM1" s="60">
        <f>AnoCalendário</f>
        <v>2012</v>
      </c>
    </row>
    <row r="2" spans="1:39" customFormat="1" ht="13.5" x14ac:dyDescent="0.25"/>
    <row r="3" spans="1:39" s="31" customFormat="1" ht="12.75" customHeight="1" x14ac:dyDescent="0.25">
      <c r="C3" s="46" t="str">
        <f>TextodaChavedeCor</f>
        <v xml:space="preserve">CHAVE COLORIDA </v>
      </c>
      <c r="D3" s="53" t="str">
        <f>Código1</f>
        <v>T</v>
      </c>
      <c r="E3" s="70" t="str">
        <f>TextodeCódigo1</f>
        <v>Atrasado</v>
      </c>
      <c r="F3" s="61"/>
      <c r="H3" s="54" t="str">
        <f>Código2</f>
        <v>E</v>
      </c>
      <c r="I3" s="58" t="str">
        <f>TextodeCódigo2</f>
        <v>Dispensado</v>
      </c>
      <c r="L3" s="55" t="str">
        <f>Código3</f>
        <v>U</v>
      </c>
      <c r="M3" s="58" t="str">
        <f>TextodeCódigo3</f>
        <v>Não Dispensado</v>
      </c>
      <c r="P3" s="56" t="str">
        <f>Código4</f>
        <v>P</v>
      </c>
      <c r="Q3" s="58" t="str">
        <f>TextodeCódigo4</f>
        <v>Presente</v>
      </c>
      <c r="T3" s="57" t="str">
        <f>Código5</f>
        <v>N</v>
      </c>
      <c r="U3" s="58" t="str">
        <f>TextodeCódigo5</f>
        <v>Sem Aula</v>
      </c>
      <c r="W3"/>
      <c r="X3"/>
      <c r="Y3"/>
      <c r="AD3" s="30"/>
      <c r="AE3" s="30"/>
      <c r="AH3" s="32"/>
      <c r="AI3" s="33"/>
      <c r="AK3" s="34"/>
    </row>
    <row r="4" spans="1:39" customFormat="1" ht="16.5" customHeight="1" x14ac:dyDescent="0.25"/>
    <row r="5" spans="1:39" s="2" customFormat="1" ht="18" customHeight="1" x14ac:dyDescent="0.3">
      <c r="B5" s="63">
        <f>DATE(AnoCalendário+1,5,1)</f>
        <v>41395</v>
      </c>
      <c r="C5" s="62"/>
      <c r="D5" s="44" t="str">
        <f>TEXT(WEEKDAY(DATE(AnoCalendário+1,5,1),1),"ddd")</f>
        <v>qua</v>
      </c>
      <c r="E5" s="44" t="str">
        <f>TEXT(WEEKDAY(DATE(AnoCalendário+1,5,2),1),"ddd")</f>
        <v>qui</v>
      </c>
      <c r="F5" s="44" t="str">
        <f>TEXT(WEEKDAY(DATE(AnoCalendário+1,5,3),1),"ddd")</f>
        <v>sex</v>
      </c>
      <c r="G5" s="44" t="str">
        <f>TEXT(WEEKDAY(DATE(AnoCalendário+1,5,4),1),"ddd")</f>
        <v>sáb</v>
      </c>
      <c r="H5" s="44" t="str">
        <f>TEXT(WEEKDAY(DATE(AnoCalendário+1,5,5),1),"ddd")</f>
        <v>dom</v>
      </c>
      <c r="I5" s="44" t="str">
        <f>TEXT(WEEKDAY(DATE(AnoCalendário+1,5,6),1),"ddd")</f>
        <v>seg</v>
      </c>
      <c r="J5" s="44" t="str">
        <f>TEXT(WEEKDAY(DATE(AnoCalendário+1,5,7),1),"ddd")</f>
        <v>ter</v>
      </c>
      <c r="K5" s="44" t="str">
        <f>TEXT(WEEKDAY(DATE(AnoCalendário+1,5,8),1),"ddd")</f>
        <v>qua</v>
      </c>
      <c r="L5" s="44" t="str">
        <f>TEXT(WEEKDAY(DATE(AnoCalendário+1,5,9),1),"ddd")</f>
        <v>qui</v>
      </c>
      <c r="M5" s="44" t="str">
        <f>TEXT(WEEKDAY(DATE(AnoCalendário+1,5,10),1),"ddd")</f>
        <v>sex</v>
      </c>
      <c r="N5" s="44" t="str">
        <f>TEXT(WEEKDAY(DATE(AnoCalendário+1,5,11),1),"ddd")</f>
        <v>sáb</v>
      </c>
      <c r="O5" s="44" t="str">
        <f>TEXT(WEEKDAY(DATE(AnoCalendário+1,5,12),1),"ddd")</f>
        <v>dom</v>
      </c>
      <c r="P5" s="44" t="str">
        <f>TEXT(WEEKDAY(DATE(AnoCalendário+1,5,13),1),"ddd")</f>
        <v>seg</v>
      </c>
      <c r="Q5" s="44" t="str">
        <f>TEXT(WEEKDAY(DATE(AnoCalendário+1,5,14),1),"ddd")</f>
        <v>ter</v>
      </c>
      <c r="R5" s="44" t="str">
        <f>TEXT(WEEKDAY(DATE(AnoCalendário+1,5,15),1),"ddd")</f>
        <v>qua</v>
      </c>
      <c r="S5" s="44" t="str">
        <f>TEXT(WEEKDAY(DATE(AnoCalendário+1,5,16),1),"ddd")</f>
        <v>qui</v>
      </c>
      <c r="T5" s="44" t="str">
        <f>TEXT(WEEKDAY(DATE(AnoCalendário+1,5,17),1),"ddd")</f>
        <v>sex</v>
      </c>
      <c r="U5" s="44" t="str">
        <f>TEXT(WEEKDAY(DATE(AnoCalendário+1,5,18),1),"ddd")</f>
        <v>sáb</v>
      </c>
      <c r="V5" s="44" t="str">
        <f>TEXT(WEEKDAY(DATE(AnoCalendário+1,5,19),1),"ddd")</f>
        <v>dom</v>
      </c>
      <c r="W5" s="44" t="str">
        <f>TEXT(WEEKDAY(DATE(AnoCalendário+1,5,20),1),"ddd")</f>
        <v>seg</v>
      </c>
      <c r="X5" s="44" t="str">
        <f>TEXT(WEEKDAY(DATE(AnoCalendário+1,5,21),1),"ddd")</f>
        <v>ter</v>
      </c>
      <c r="Y5" s="44" t="str">
        <f>TEXT(WEEKDAY(DATE(AnoCalendário+1,5,22),1),"ddd")</f>
        <v>qua</v>
      </c>
      <c r="Z5" s="44" t="str">
        <f>TEXT(WEEKDAY(DATE(AnoCalendário+1,5,23),1),"ddd")</f>
        <v>qui</v>
      </c>
      <c r="AA5" s="44" t="str">
        <f>TEXT(WEEKDAY(DATE(AnoCalendário+1,5,24),1),"ddd")</f>
        <v>sex</v>
      </c>
      <c r="AB5" s="44" t="str">
        <f>TEXT(WEEKDAY(DATE(AnoCalendário+1,5,25),1),"ddd")</f>
        <v>sáb</v>
      </c>
      <c r="AC5" s="44" t="str">
        <f>TEXT(WEEKDAY(DATE(AnoCalendário+1,5,26),1),"ddd")</f>
        <v>dom</v>
      </c>
      <c r="AD5" s="44" t="str">
        <f>TEXT(WEEKDAY(DATE(AnoCalendário+1,5,27),1),"ddd")</f>
        <v>seg</v>
      </c>
      <c r="AE5" s="44" t="str">
        <f>TEXT(WEEKDAY(DATE(AnoCalendário+1,5,28),1),"ddd")</f>
        <v>ter</v>
      </c>
      <c r="AF5" s="44" t="str">
        <f>TEXT(WEEKDAY(DATE(AnoCalendário+1,5,29),1),"ddd")</f>
        <v>qua</v>
      </c>
      <c r="AG5" s="44" t="str">
        <f>TEXT(WEEKDAY(DATE(AnoCalendário+1,5,30),1),"ddd")</f>
        <v>qui</v>
      </c>
      <c r="AH5" s="44" t="str">
        <f>TEXT(WEEKDAY(DATE(AnoCalendário+1,5,31),1),"ddd")</f>
        <v>sex</v>
      </c>
      <c r="AI5" s="128" t="s">
        <v>41</v>
      </c>
      <c r="AJ5" s="128"/>
      <c r="AK5" s="128"/>
      <c r="AL5" s="128"/>
      <c r="AM5" s="128"/>
    </row>
    <row r="6" spans="1:39" ht="14.25" customHeight="1" x14ac:dyDescent="0.25">
      <c r="B6" s="27" t="s">
        <v>34</v>
      </c>
      <c r="C6" s="28" t="s">
        <v>36</v>
      </c>
      <c r="D6" s="29" t="s">
        <v>0</v>
      </c>
      <c r="E6" s="29" t="s">
        <v>1</v>
      </c>
      <c r="F6" s="29" t="s">
        <v>2</v>
      </c>
      <c r="G6" s="29" t="s">
        <v>3</v>
      </c>
      <c r="H6" s="29" t="s">
        <v>4</v>
      </c>
      <c r="I6" s="29" t="s">
        <v>5</v>
      </c>
      <c r="J6" s="29" t="s">
        <v>6</v>
      </c>
      <c r="K6" s="29" t="s">
        <v>7</v>
      </c>
      <c r="L6" s="29" t="s">
        <v>8</v>
      </c>
      <c r="M6" s="29" t="s">
        <v>9</v>
      </c>
      <c r="N6" s="29" t="s">
        <v>10</v>
      </c>
      <c r="O6" s="29" t="s">
        <v>11</v>
      </c>
      <c r="P6" s="29" t="s">
        <v>12</v>
      </c>
      <c r="Q6" s="29" t="s">
        <v>13</v>
      </c>
      <c r="R6" s="29" t="s">
        <v>14</v>
      </c>
      <c r="S6" s="29" t="s">
        <v>15</v>
      </c>
      <c r="T6" s="29" t="s">
        <v>16</v>
      </c>
      <c r="U6" s="29" t="s">
        <v>17</v>
      </c>
      <c r="V6" s="29" t="s">
        <v>18</v>
      </c>
      <c r="W6" s="29" t="s">
        <v>19</v>
      </c>
      <c r="X6" s="29" t="s">
        <v>20</v>
      </c>
      <c r="Y6" s="29" t="s">
        <v>21</v>
      </c>
      <c r="Z6" s="29" t="s">
        <v>22</v>
      </c>
      <c r="AA6" s="29" t="s">
        <v>23</v>
      </c>
      <c r="AB6" s="29" t="s">
        <v>24</v>
      </c>
      <c r="AC6" s="29" t="s">
        <v>25</v>
      </c>
      <c r="AD6" s="29" t="s">
        <v>26</v>
      </c>
      <c r="AE6" s="29" t="s">
        <v>27</v>
      </c>
      <c r="AF6" s="29" t="s">
        <v>28</v>
      </c>
      <c r="AG6" s="29" t="s">
        <v>29</v>
      </c>
      <c r="AH6" s="29" t="s">
        <v>30</v>
      </c>
      <c r="AI6" s="74" t="s">
        <v>37</v>
      </c>
      <c r="AJ6" s="38" t="s">
        <v>39</v>
      </c>
      <c r="AK6" s="37" t="s">
        <v>38</v>
      </c>
      <c r="AL6" s="35" t="s">
        <v>31</v>
      </c>
      <c r="AM6" t="s">
        <v>40</v>
      </c>
    </row>
    <row r="7" spans="1:39" ht="16.5" customHeight="1" x14ac:dyDescent="0.25">
      <c r="B7" s="26"/>
      <c r="C7" s="21" t="str">
        <f>IFERROR(VLOOKUP(PresençaemMaio[[#This Row],[ID do Aluno]],ListadeAlunos[],18,FALSE),"")</f>
        <v/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5"/>
      <c r="AG7" s="3"/>
      <c r="AH7" s="3"/>
      <c r="AI7" s="36">
        <f>COUNTIF(PresençaemMaio[[#This Row],[1]:[31]],Código1)</f>
        <v>0</v>
      </c>
      <c r="AJ7" s="36">
        <f>COUNTIF(PresençaemMaio[[#This Row],[1]:[31]],Código2)</f>
        <v>0</v>
      </c>
      <c r="AK7" s="36">
        <f>COUNTIF(PresençaemMaio[[#This Row],[1]:[31]],Código3)</f>
        <v>0</v>
      </c>
      <c r="AL7" s="36">
        <f>COUNTIF(PresençaemMaio[[#This Row],[1]:[31]],Código4)</f>
        <v>0</v>
      </c>
      <c r="AM7" s="6">
        <f>SUM(PresençaemMaio[[#This Row],[E]:[U]])</f>
        <v>0</v>
      </c>
    </row>
    <row r="8" spans="1:39" ht="16.5" customHeight="1" x14ac:dyDescent="0.25">
      <c r="B8" s="26"/>
      <c r="C8" s="22" t="str">
        <f>IFERROR(VLOOKUP(PresençaemMaio[[#This Row],[ID do Aluno]],ListadeAlunos[],18,FALSE),"")</f>
        <v/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5"/>
      <c r="AG8" s="3"/>
      <c r="AH8" s="3"/>
      <c r="AI8" s="36">
        <f>COUNTIF(PresençaemMaio[[#This Row],[1]:[31]],Código1)</f>
        <v>0</v>
      </c>
      <c r="AJ8" s="36">
        <f>COUNTIF(PresençaemMaio[[#This Row],[1]:[31]],Código2)</f>
        <v>0</v>
      </c>
      <c r="AK8" s="36">
        <f>COUNTIF(PresençaemMaio[[#This Row],[1]:[31]],Código3)</f>
        <v>0</v>
      </c>
      <c r="AL8" s="36">
        <f>COUNTIF(PresençaemMaio[[#This Row],[1]:[31]],Código4)</f>
        <v>0</v>
      </c>
      <c r="AM8" s="6">
        <f>SUM(PresençaemMaio[[#This Row],[E]:[U]])</f>
        <v>0</v>
      </c>
    </row>
    <row r="9" spans="1:39" ht="16.5" customHeight="1" x14ac:dyDescent="0.25">
      <c r="B9" s="26"/>
      <c r="C9" s="22" t="str">
        <f>IFERROR(VLOOKUP(PresençaemMaio[[#This Row],[ID do Aluno]],ListadeAlunos[],18,FALSE),"")</f>
        <v/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5"/>
      <c r="AG9" s="3"/>
      <c r="AH9" s="3"/>
      <c r="AI9" s="36">
        <f>COUNTIF(PresençaemMaio[[#This Row],[1]:[31]],Código1)</f>
        <v>0</v>
      </c>
      <c r="AJ9" s="36">
        <f>COUNTIF(PresençaemMaio[[#This Row],[1]:[31]],Código2)</f>
        <v>0</v>
      </c>
      <c r="AK9" s="36">
        <f>COUNTIF(PresençaemMaio[[#This Row],[1]:[31]],Código3)</f>
        <v>0</v>
      </c>
      <c r="AL9" s="36">
        <f>COUNTIF(PresençaemMaio[[#This Row],[1]:[31]],Código4)</f>
        <v>0</v>
      </c>
      <c r="AM9" s="6">
        <f>SUM(PresençaemMaio[[#This Row],[E]:[U]])</f>
        <v>0</v>
      </c>
    </row>
    <row r="10" spans="1:39" ht="16.5" customHeight="1" x14ac:dyDescent="0.25">
      <c r="B10" s="26"/>
      <c r="C10" s="22" t="str">
        <f>IFERROR(VLOOKUP(PresençaemMaio[[#This Row],[ID do Aluno]],ListadeAlunos[],18,FALSE),"")</f>
        <v/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5"/>
      <c r="AG10" s="3"/>
      <c r="AH10" s="3"/>
      <c r="AI10" s="36">
        <f>COUNTIF(PresençaemMaio[[#This Row],[1]:[31]],Código1)</f>
        <v>0</v>
      </c>
      <c r="AJ10" s="36">
        <f>COUNTIF(PresençaemMaio[[#This Row],[1]:[31]],Código2)</f>
        <v>0</v>
      </c>
      <c r="AK10" s="36">
        <f>COUNTIF(PresençaemMaio[[#This Row],[1]:[31]],Código3)</f>
        <v>0</v>
      </c>
      <c r="AL10" s="36">
        <f>COUNTIF(PresençaemMaio[[#This Row],[1]:[31]],Código4)</f>
        <v>0</v>
      </c>
      <c r="AM10" s="6">
        <f>SUM(PresençaemMaio[[#This Row],[E]:[U]])</f>
        <v>0</v>
      </c>
    </row>
    <row r="11" spans="1:39" ht="16.5" customHeight="1" x14ac:dyDescent="0.25">
      <c r="B11" s="26"/>
      <c r="C11" s="22" t="str">
        <f>IFERROR(VLOOKUP(PresençaemMaio[[#This Row],[ID do Aluno]],ListadeAlunos[],18,FALSE),"")</f>
        <v/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5"/>
      <c r="AG11" s="3"/>
      <c r="AH11" s="3"/>
      <c r="AI11" s="36">
        <f>COUNTIF(PresençaemMaio[[#This Row],[1]:[31]],Código1)</f>
        <v>0</v>
      </c>
      <c r="AJ11" s="36">
        <f>COUNTIF(PresençaemMaio[[#This Row],[1]:[31]],Código2)</f>
        <v>0</v>
      </c>
      <c r="AK11" s="36">
        <f>COUNTIF(PresençaemMaio[[#This Row],[1]:[31]],Código3)</f>
        <v>0</v>
      </c>
      <c r="AL11" s="36">
        <f>COUNTIF(PresençaemMaio[[#This Row],[1]:[31]],Código4)</f>
        <v>0</v>
      </c>
      <c r="AM11" s="6">
        <f>SUM(PresençaemMaio[[#This Row],[E]:[U]])</f>
        <v>0</v>
      </c>
    </row>
    <row r="12" spans="1:39" ht="16.5" customHeight="1" x14ac:dyDescent="0.25">
      <c r="B12" s="118"/>
      <c r="C12" s="119" t="s">
        <v>115</v>
      </c>
      <c r="D12" s="120">
        <f>COUNTIF(PresençaemMaio[1],"U")+COUNTIF(PresençaemMaio[1],"E")</f>
        <v>0</v>
      </c>
      <c r="E12" s="120">
        <f>COUNTIF(PresençaemMaio[2],"U")+COUNTIF(PresençaemMaio[2],"E")</f>
        <v>0</v>
      </c>
      <c r="F12" s="120">
        <f>COUNTIF(PresençaemMaio[3],"U")+COUNTIF(PresençaemMaio[3],"E")</f>
        <v>0</v>
      </c>
      <c r="G12" s="120">
        <f>COUNTIF(PresençaemMaio[4],"U")+COUNTIF(PresençaemMaio[4],"E")</f>
        <v>0</v>
      </c>
      <c r="H12" s="120">
        <f>COUNTIF(PresençaemMaio[5],"U")+COUNTIF(PresençaemMaio[5],"E")</f>
        <v>0</v>
      </c>
      <c r="I12" s="120">
        <f>COUNTIF(PresençaemMaio[6],"U")+COUNTIF(PresençaemMaio[6],"E")</f>
        <v>0</v>
      </c>
      <c r="J12" s="120">
        <f>COUNTIF(PresençaemMaio[7],"U")+COUNTIF(PresençaemMaio[7],"E")</f>
        <v>0</v>
      </c>
      <c r="K12" s="120">
        <f>COUNTIF(PresençaemMaio[8],"U")+COUNTIF(PresençaemMaio[8],"E")</f>
        <v>0</v>
      </c>
      <c r="L12" s="120">
        <f>COUNTIF(PresençaemMaio[9],"U")+COUNTIF(PresençaemMaio[9],"E")</f>
        <v>0</v>
      </c>
      <c r="M12" s="120">
        <f>COUNTIF(PresençaemMaio[10],"U")+COUNTIF(PresençaemMaio[10],"E")</f>
        <v>0</v>
      </c>
      <c r="N12" s="120">
        <f>COUNTIF(PresençaemMaio[11],"U")+COUNTIF(PresençaemMaio[11],"E")</f>
        <v>0</v>
      </c>
      <c r="O12" s="120">
        <f>COUNTIF(PresençaemMaio[12],"U")+COUNTIF(PresençaemMaio[12],"E")</f>
        <v>0</v>
      </c>
      <c r="P12" s="120">
        <f>COUNTIF(PresençaemMaio[13],"U")+COUNTIF(PresençaemMaio[13],"E")</f>
        <v>0</v>
      </c>
      <c r="Q12" s="120">
        <f>COUNTIF(PresençaemMaio[14],"U")+COUNTIF(PresençaemMaio[14],"E")</f>
        <v>0</v>
      </c>
      <c r="R12" s="120">
        <f>COUNTIF(PresençaemMaio[15],"U")+COUNTIF(PresençaemMaio[15],"E")</f>
        <v>0</v>
      </c>
      <c r="S12" s="120">
        <f>COUNTIF(PresençaemMaio[16],"U")+COUNTIF(PresençaemMaio[16],"E")</f>
        <v>0</v>
      </c>
      <c r="T12" s="120">
        <f>COUNTIF(PresençaemMaio[17],"U")+COUNTIF(PresençaemMaio[17],"E")</f>
        <v>0</v>
      </c>
      <c r="U12" s="120">
        <f>COUNTIF(PresençaemMaio[18],"U")+COUNTIF(PresençaemMaio[18],"E")</f>
        <v>0</v>
      </c>
      <c r="V12" s="120">
        <f>COUNTIF(PresençaemMaio[19],"U")+COUNTIF(PresençaemMaio[19],"E")</f>
        <v>0</v>
      </c>
      <c r="W12" s="120">
        <f>COUNTIF(PresençaemMaio[20],"U")+COUNTIF(PresençaemMaio[20],"E")</f>
        <v>0</v>
      </c>
      <c r="X12" s="120">
        <f>COUNTIF(PresençaemMaio[21],"U")+COUNTIF(PresençaemMaio[21],"E")</f>
        <v>0</v>
      </c>
      <c r="Y12" s="120">
        <f>COUNTIF(PresençaemMaio[22],"U")+COUNTIF(PresençaemMaio[22],"E")</f>
        <v>0</v>
      </c>
      <c r="Z12" s="120">
        <f>COUNTIF(PresençaemMaio[23],"U")+COUNTIF(PresençaemMaio[23],"E")</f>
        <v>0</v>
      </c>
      <c r="AA12" s="120">
        <f>COUNTIF(PresençaemMaio[24],"U")+COUNTIF(PresençaemMaio[24],"E")</f>
        <v>0</v>
      </c>
      <c r="AB12" s="120">
        <f>COUNTIF(PresençaemMaio[25],"U")+COUNTIF(PresençaemMaio[25],"E")</f>
        <v>0</v>
      </c>
      <c r="AC12" s="120">
        <f>COUNTIF(PresençaemMaio[26],"U")+COUNTIF(PresençaemMaio[26],"E")</f>
        <v>0</v>
      </c>
      <c r="AD12" s="120">
        <f>COUNTIF(PresençaemMaio[27],"U")+COUNTIF(PresençaemMaio[27],"E")</f>
        <v>0</v>
      </c>
      <c r="AE12" s="120">
        <f>COUNTIF(PresençaemMaio[28],"U")+COUNTIF(PresençaemMaio[28],"E")</f>
        <v>0</v>
      </c>
      <c r="AF12" s="120">
        <f>COUNTIF(PresençaemMaio[29],"U")+COUNTIF(PresençaemMaio[29],"E")</f>
        <v>0</v>
      </c>
      <c r="AG12" s="120"/>
      <c r="AH12" s="120"/>
      <c r="AI12" s="120">
        <f>SUBTOTAL(109,PresençaemMaio[T])</f>
        <v>0</v>
      </c>
      <c r="AJ12" s="120">
        <f>SUBTOTAL(109,PresençaemMaio[E])</f>
        <v>0</v>
      </c>
      <c r="AK12" s="120">
        <f>SUBTOTAL(109,PresençaemMaio[U])</f>
        <v>0</v>
      </c>
      <c r="AL12" s="120">
        <f>SUBTOTAL(109,PresençaemMaio[P])</f>
        <v>0</v>
      </c>
      <c r="AM12" s="120">
        <f>SUBTOTAL(109,PresençaemMaio[Dias de Ausência])</f>
        <v>0</v>
      </c>
    </row>
    <row r="13" spans="1:39" ht="16.5" customHeight="1" x14ac:dyDescent="0.25"/>
    <row r="14" spans="1:39" ht="16.5" customHeight="1" x14ac:dyDescent="0.25"/>
    <row r="15" spans="1:39" ht="16.5" customHeight="1" x14ac:dyDescent="0.25"/>
    <row r="16" spans="1:39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6.5" customHeight="1" x14ac:dyDescent="0.25"/>
    <row r="25" ht="16.5" customHeight="1" x14ac:dyDescent="0.25"/>
    <row r="26" ht="16.5" customHeight="1" x14ac:dyDescent="0.25"/>
    <row r="27" ht="16.5" customHeight="1" x14ac:dyDescent="0.25"/>
    <row r="28" ht="16.5" customHeight="1" x14ac:dyDescent="0.25"/>
    <row r="29" ht="16.5" customHeight="1" x14ac:dyDescent="0.25"/>
    <row r="30" ht="16.5" customHeight="1" x14ac:dyDescent="0.25"/>
    <row r="31" ht="16.5" customHeight="1" x14ac:dyDescent="0.25"/>
    <row r="32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I5:AM5"/>
  </mergeCells>
  <conditionalFormatting sqref="AM7:AM11">
    <cfRule type="dataBar" priority="1">
      <dataBar>
        <cfvo type="min"/>
        <cfvo type="num" val="DATEDIF(DATE(AnoCalendário,2,1),DATE(AnoCalendário,3,1),&quot;d&quot;)"/>
        <color theme="4"/>
      </dataBar>
      <extLst>
        <ext xmlns:x14="http://schemas.microsoft.com/office/spreadsheetml/2009/9/main" uri="{B025F937-C7B1-47D3-B67F-A62EFF666E3E}">
          <x14:id>{075C44B9-B707-434A-A9F0-95252D34B3EF}</x14:id>
        </ext>
      </extLst>
    </cfRule>
  </conditionalFormatting>
  <conditionalFormatting sqref="D7:AF11">
    <cfRule type="expression" dxfId="254" priority="2" stopIfTrue="1">
      <formula>D7=Código2</formula>
    </cfRule>
  </conditionalFormatting>
  <conditionalFormatting sqref="D7:AF11">
    <cfRule type="expression" dxfId="253" priority="3" stopIfTrue="1">
      <formula>D7=Código5</formula>
    </cfRule>
    <cfRule type="expression" dxfId="252" priority="4" stopIfTrue="1">
      <formula>D7=Código4</formula>
    </cfRule>
    <cfRule type="expression" dxfId="251" priority="5" stopIfTrue="1">
      <formula>D7=Código3</formula>
    </cfRule>
    <cfRule type="expression" dxfId="250" priority="6" stopIfTrue="1">
      <formula>D7=Código1</formula>
    </cfRule>
  </conditionalFormatting>
  <dataValidations count="1">
    <dataValidation type="list" errorStyle="warning" allowBlank="1" showInputMessage="1" showErrorMessage="1" errorTitle="Ops!" error="A ID de Aluno que você inseriu não está na planilha Lista de Alunos. Você pode clicar em Sim para usar a ID de Aluno inserida, mas ela não estará disponível na planilha Relatório de Presença dos Alunos." sqref="B7:B11">
      <formula1>IDAluno</formula1>
    </dataValidation>
  </dataValidations>
  <printOptions horizontalCentered="1"/>
  <pageMargins left="0.5" right="0.5" top="0.75" bottom="0.75" header="0.3" footer="0.3"/>
  <pageSetup paperSize="9" scale="59" fitToHeight="0" orientation="landscape" verticalDpi="120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5C44B9-B707-434A-A9F0-95252D34B3EF}">
            <x14:dataBar minLength="0" maxLength="100" border="1" negativeBarBorderColorSameAsPositive="0">
              <x14:cfvo type="autoMin"/>
              <x14:cfvo type="num">
                <xm:f>DATEDIF(DATE(AnoCalendário,2,1),DATE(AnoCalendário,3,1),"d")</xm:f>
              </x14:cfvo>
              <x14:borderColor theme="4"/>
              <x14:negativeFillColor rgb="FFFF0000"/>
              <x14:negativeBorderColor rgb="FFFF0000"/>
              <x14:axisColor rgb="FF000000"/>
            </x14:dataBar>
          </x14:cfRule>
          <xm:sqref>AM7:AM11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M264"/>
  <sheetViews>
    <sheetView showGridLines="0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5" customHeight="1" x14ac:dyDescent="0.25"/>
  <cols>
    <col min="1" max="1" width="2.7109375" style="11" customWidth="1"/>
    <col min="2" max="2" width="11.85546875" style="11" bestFit="1" customWidth="1"/>
    <col min="3" max="3" width="28.85546875" style="12" customWidth="1"/>
    <col min="4" max="34" width="5" style="10" customWidth="1"/>
    <col min="35" max="35" width="4.7109375" style="9" customWidth="1"/>
    <col min="36" max="36" width="4.7109375" style="10" customWidth="1"/>
    <col min="37" max="38" width="4.7109375" style="11" customWidth="1"/>
    <col min="39" max="39" width="16.85546875" style="11" bestFit="1" customWidth="1"/>
    <col min="40" max="16384" width="9.140625" style="11"/>
  </cols>
  <sheetData>
    <row r="1" spans="1:39" s="1" customFormat="1" ht="42" customHeight="1" x14ac:dyDescent="0.25">
      <c r="A1" s="39" t="s">
        <v>89</v>
      </c>
      <c r="B1" s="40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0"/>
      <c r="AD1" s="40"/>
      <c r="AE1" s="40"/>
      <c r="AF1" s="40"/>
      <c r="AG1" s="42"/>
      <c r="AH1" s="40"/>
      <c r="AI1" s="40"/>
      <c r="AJ1" s="43"/>
      <c r="AK1" s="40"/>
      <c r="AL1" s="59" t="s">
        <v>72</v>
      </c>
      <c r="AM1" s="60">
        <f>AnoCalendário</f>
        <v>2012</v>
      </c>
    </row>
    <row r="2" spans="1:39" customFormat="1" ht="13.5" x14ac:dyDescent="0.25"/>
    <row r="3" spans="1:39" s="31" customFormat="1" ht="12.75" customHeight="1" x14ac:dyDescent="0.25">
      <c r="C3" s="46" t="str">
        <f>TextodaChavedeCor</f>
        <v xml:space="preserve">CHAVE COLORIDA </v>
      </c>
      <c r="D3" s="53" t="str">
        <f>Código1</f>
        <v>T</v>
      </c>
      <c r="E3" s="70" t="str">
        <f>TextodeCódigo1</f>
        <v>Atrasado</v>
      </c>
      <c r="F3" s="61"/>
      <c r="H3" s="54" t="str">
        <f>Código2</f>
        <v>E</v>
      </c>
      <c r="I3" s="58" t="str">
        <f>TextodeCódigo2</f>
        <v>Dispensado</v>
      </c>
      <c r="L3" s="55" t="str">
        <f>Código3</f>
        <v>U</v>
      </c>
      <c r="M3" s="58" t="str">
        <f>TextodeCódigo3</f>
        <v>Não Dispensado</v>
      </c>
      <c r="P3" s="56" t="str">
        <f>Código4</f>
        <v>P</v>
      </c>
      <c r="Q3" s="58" t="str">
        <f>TextodeCódigo4</f>
        <v>Presente</v>
      </c>
      <c r="T3" s="57" t="str">
        <f>Código5</f>
        <v>N</v>
      </c>
      <c r="U3" s="58" t="str">
        <f>TextodeCódigo5</f>
        <v>Sem Aula</v>
      </c>
      <c r="W3"/>
      <c r="X3"/>
      <c r="Y3"/>
      <c r="AD3" s="30"/>
      <c r="AE3" s="30"/>
      <c r="AH3" s="32"/>
      <c r="AI3" s="33"/>
      <c r="AK3" s="34"/>
    </row>
    <row r="4" spans="1:39" customFormat="1" ht="16.5" customHeight="1" x14ac:dyDescent="0.25"/>
    <row r="5" spans="1:39" s="2" customFormat="1" ht="18" customHeight="1" x14ac:dyDescent="0.3">
      <c r="B5" s="63">
        <f>DATE(AnoCalendário+1,6,1)</f>
        <v>41426</v>
      </c>
      <c r="C5" s="62"/>
      <c r="D5" s="44" t="str">
        <f>TEXT(WEEKDAY(DATE(AnoCalendário+1,6,1),1),"ddd")</f>
        <v>sáb</v>
      </c>
      <c r="E5" s="44" t="str">
        <f>TEXT(WEEKDAY(DATE(AnoCalendário+1,6,2),1),"ddd")</f>
        <v>dom</v>
      </c>
      <c r="F5" s="44" t="str">
        <f>TEXT(WEEKDAY(DATE(AnoCalendário+1,6,3),1),"ddd")</f>
        <v>seg</v>
      </c>
      <c r="G5" s="44" t="str">
        <f>TEXT(WEEKDAY(DATE(AnoCalendário+1,6,4),1),"ddd")</f>
        <v>ter</v>
      </c>
      <c r="H5" s="44" t="str">
        <f>TEXT(WEEKDAY(DATE(AnoCalendário+1,6,5),1),"ddd")</f>
        <v>qua</v>
      </c>
      <c r="I5" s="44" t="str">
        <f>TEXT(WEEKDAY(DATE(AnoCalendário+1,6,6),1),"ddd")</f>
        <v>qui</v>
      </c>
      <c r="J5" s="44" t="str">
        <f>TEXT(WEEKDAY(DATE(AnoCalendário+1,6,7),1),"ddd")</f>
        <v>sex</v>
      </c>
      <c r="K5" s="44" t="str">
        <f>TEXT(WEEKDAY(DATE(AnoCalendário+1,6,8),1),"ddd")</f>
        <v>sáb</v>
      </c>
      <c r="L5" s="44" t="str">
        <f>TEXT(WEEKDAY(DATE(AnoCalendário+1,6,9),1),"ddd")</f>
        <v>dom</v>
      </c>
      <c r="M5" s="44" t="str">
        <f>TEXT(WEEKDAY(DATE(AnoCalendário+1,6,10),1),"ddd")</f>
        <v>seg</v>
      </c>
      <c r="N5" s="44" t="str">
        <f>TEXT(WEEKDAY(DATE(AnoCalendário+1,6,11),1),"ddd")</f>
        <v>ter</v>
      </c>
      <c r="O5" s="44" t="str">
        <f>TEXT(WEEKDAY(DATE(AnoCalendário+1,6,12),1),"ddd")</f>
        <v>qua</v>
      </c>
      <c r="P5" s="44" t="str">
        <f>TEXT(WEEKDAY(DATE(AnoCalendário+1,6,13),1),"ddd")</f>
        <v>qui</v>
      </c>
      <c r="Q5" s="44" t="str">
        <f>TEXT(WEEKDAY(DATE(AnoCalendário+1,6,14),1),"ddd")</f>
        <v>sex</v>
      </c>
      <c r="R5" s="44" t="str">
        <f>TEXT(WEEKDAY(DATE(AnoCalendário+1,6,15),1),"ddd")</f>
        <v>sáb</v>
      </c>
      <c r="S5" s="44" t="str">
        <f>TEXT(WEEKDAY(DATE(AnoCalendário+1,6,16),1),"ddd")</f>
        <v>dom</v>
      </c>
      <c r="T5" s="44" t="str">
        <f>TEXT(WEEKDAY(DATE(AnoCalendário+1,6,17),1),"ddd")</f>
        <v>seg</v>
      </c>
      <c r="U5" s="44" t="str">
        <f>TEXT(WEEKDAY(DATE(AnoCalendário+1,6,18),1),"ddd")</f>
        <v>ter</v>
      </c>
      <c r="V5" s="44" t="str">
        <f>TEXT(WEEKDAY(DATE(AnoCalendário+1,6,19),1),"ddd")</f>
        <v>qua</v>
      </c>
      <c r="W5" s="44" t="str">
        <f>TEXT(WEEKDAY(DATE(AnoCalendário+1,6,20),1),"ddd")</f>
        <v>qui</v>
      </c>
      <c r="X5" s="44" t="str">
        <f>TEXT(WEEKDAY(DATE(AnoCalendário+1,6,21),1),"ddd")</f>
        <v>sex</v>
      </c>
      <c r="Y5" s="44" t="str">
        <f>TEXT(WEEKDAY(DATE(AnoCalendário+1,6,22),1),"ddd")</f>
        <v>sáb</v>
      </c>
      <c r="Z5" s="44" t="str">
        <f>TEXT(WEEKDAY(DATE(AnoCalendário+1,6,23),1),"ddd")</f>
        <v>dom</v>
      </c>
      <c r="AA5" s="44" t="str">
        <f>TEXT(WEEKDAY(DATE(AnoCalendário+1,6,24),1),"ddd")</f>
        <v>seg</v>
      </c>
      <c r="AB5" s="44" t="str">
        <f>TEXT(WEEKDAY(DATE(AnoCalendário+1,6,25),1),"ddd")</f>
        <v>ter</v>
      </c>
      <c r="AC5" s="44" t="str">
        <f>TEXT(WEEKDAY(DATE(AnoCalendário+1,6,26),1),"ddd")</f>
        <v>qua</v>
      </c>
      <c r="AD5" s="44" t="str">
        <f>TEXT(WEEKDAY(DATE(AnoCalendário+1,6,27),1),"ddd")</f>
        <v>qui</v>
      </c>
      <c r="AE5" s="44" t="str">
        <f>TEXT(WEEKDAY(DATE(AnoCalendário+1,6,28),1),"ddd")</f>
        <v>sex</v>
      </c>
      <c r="AF5" s="44" t="str">
        <f>TEXT(WEEKDAY(DATE(AnoCalendário+1,6,29),1),"ddd")</f>
        <v>sáb</v>
      </c>
      <c r="AG5" s="44" t="str">
        <f>TEXT(WEEKDAY(DATE(AnoCalendário+1,6,30),1),"ddd")</f>
        <v>dom</v>
      </c>
      <c r="AH5" s="44"/>
      <c r="AI5" s="128" t="s">
        <v>41</v>
      </c>
      <c r="AJ5" s="128"/>
      <c r="AK5" s="128"/>
      <c r="AL5" s="128"/>
      <c r="AM5" s="128"/>
    </row>
    <row r="6" spans="1:39" ht="14.25" customHeight="1" x14ac:dyDescent="0.25">
      <c r="B6" s="27" t="s">
        <v>34</v>
      </c>
      <c r="C6" s="28" t="s">
        <v>36</v>
      </c>
      <c r="D6" s="29" t="s">
        <v>0</v>
      </c>
      <c r="E6" s="29" t="s">
        <v>1</v>
      </c>
      <c r="F6" s="29" t="s">
        <v>2</v>
      </c>
      <c r="G6" s="29" t="s">
        <v>3</v>
      </c>
      <c r="H6" s="29" t="s">
        <v>4</v>
      </c>
      <c r="I6" s="29" t="s">
        <v>5</v>
      </c>
      <c r="J6" s="29" t="s">
        <v>6</v>
      </c>
      <c r="K6" s="29" t="s">
        <v>7</v>
      </c>
      <c r="L6" s="29" t="s">
        <v>8</v>
      </c>
      <c r="M6" s="29" t="s">
        <v>9</v>
      </c>
      <c r="N6" s="29" t="s">
        <v>10</v>
      </c>
      <c r="O6" s="29" t="s">
        <v>11</v>
      </c>
      <c r="P6" s="29" t="s">
        <v>12</v>
      </c>
      <c r="Q6" s="29" t="s">
        <v>13</v>
      </c>
      <c r="R6" s="29" t="s">
        <v>14</v>
      </c>
      <c r="S6" s="29" t="s">
        <v>15</v>
      </c>
      <c r="T6" s="29" t="s">
        <v>16</v>
      </c>
      <c r="U6" s="29" t="s">
        <v>17</v>
      </c>
      <c r="V6" s="29" t="s">
        <v>18</v>
      </c>
      <c r="W6" s="29" t="s">
        <v>19</v>
      </c>
      <c r="X6" s="29" t="s">
        <v>20</v>
      </c>
      <c r="Y6" s="29" t="s">
        <v>21</v>
      </c>
      <c r="Z6" s="29" t="s">
        <v>22</v>
      </c>
      <c r="AA6" s="29" t="s">
        <v>23</v>
      </c>
      <c r="AB6" s="29" t="s">
        <v>24</v>
      </c>
      <c r="AC6" s="29" t="s">
        <v>25</v>
      </c>
      <c r="AD6" s="29" t="s">
        <v>26</v>
      </c>
      <c r="AE6" s="29" t="s">
        <v>27</v>
      </c>
      <c r="AF6" s="29" t="s">
        <v>28</v>
      </c>
      <c r="AG6" s="29" t="s">
        <v>29</v>
      </c>
      <c r="AH6" s="29" t="s">
        <v>114</v>
      </c>
      <c r="AI6" s="74" t="s">
        <v>37</v>
      </c>
      <c r="AJ6" s="38" t="s">
        <v>39</v>
      </c>
      <c r="AK6" s="37" t="s">
        <v>38</v>
      </c>
      <c r="AL6" s="35" t="s">
        <v>31</v>
      </c>
      <c r="AM6" t="s">
        <v>40</v>
      </c>
    </row>
    <row r="7" spans="1:39" ht="16.5" customHeight="1" x14ac:dyDescent="0.25">
      <c r="B7" s="26"/>
      <c r="C7" s="21" t="str">
        <f>IFERROR(VLOOKUP(PresençaemJunho[[#This Row],[ID do Aluno]],ListadeAlunos[],18,FALSE),"")</f>
        <v/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5"/>
      <c r="AG7" s="3"/>
      <c r="AH7" s="3"/>
      <c r="AI7" s="36">
        <f>COUNTIF(PresençaemJunho[[#This Row],[1]:[ ]],Código1)</f>
        <v>0</v>
      </c>
      <c r="AJ7" s="36">
        <f>COUNTIF(PresençaemJunho[[#This Row],[1]:[ ]],Código2)</f>
        <v>0</v>
      </c>
      <c r="AK7" s="36">
        <f>COUNTIF(PresençaemJunho[[#This Row],[1]:[ ]],Código3)</f>
        <v>0</v>
      </c>
      <c r="AL7" s="36">
        <f>COUNTIF(PresençaemJunho[[#This Row],[1]:[ ]],Código4)</f>
        <v>0</v>
      </c>
      <c r="AM7" s="6">
        <f>SUM(PresençaemJunho[[#This Row],[E]:[U]])</f>
        <v>0</v>
      </c>
    </row>
    <row r="8" spans="1:39" ht="16.5" customHeight="1" x14ac:dyDescent="0.25">
      <c r="B8" s="26"/>
      <c r="C8" s="22" t="str">
        <f>IFERROR(VLOOKUP(PresençaemJunho[[#This Row],[ID do Aluno]],ListadeAlunos[],18,FALSE),"")</f>
        <v/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5"/>
      <c r="AG8" s="3"/>
      <c r="AH8" s="3"/>
      <c r="AI8" s="36">
        <f>COUNTIF(PresençaemJunho[[#This Row],[1]:[ ]],Código1)</f>
        <v>0</v>
      </c>
      <c r="AJ8" s="36">
        <f>COUNTIF(PresençaemJunho[[#This Row],[1]:[ ]],Código2)</f>
        <v>0</v>
      </c>
      <c r="AK8" s="36">
        <f>COUNTIF(PresençaemJunho[[#This Row],[1]:[ ]],Código3)</f>
        <v>0</v>
      </c>
      <c r="AL8" s="36">
        <f>COUNTIF(PresençaemJunho[[#This Row],[1]:[ ]],Código4)</f>
        <v>0</v>
      </c>
      <c r="AM8" s="6">
        <f>SUM(PresençaemJunho[[#This Row],[E]:[U]])</f>
        <v>0</v>
      </c>
    </row>
    <row r="9" spans="1:39" ht="16.5" customHeight="1" x14ac:dyDescent="0.25">
      <c r="B9" s="26"/>
      <c r="C9" s="22" t="str">
        <f>IFERROR(VLOOKUP(PresençaemJunho[[#This Row],[ID do Aluno]],ListadeAlunos[],18,FALSE),"")</f>
        <v/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5"/>
      <c r="AG9" s="3"/>
      <c r="AH9" s="3"/>
      <c r="AI9" s="36">
        <f>COUNTIF(PresençaemJunho[[#This Row],[1]:[ ]],Código1)</f>
        <v>0</v>
      </c>
      <c r="AJ9" s="36">
        <f>COUNTIF(PresençaemJunho[[#This Row],[1]:[ ]],Código2)</f>
        <v>0</v>
      </c>
      <c r="AK9" s="36">
        <f>COUNTIF(PresençaemJunho[[#This Row],[1]:[ ]],Código3)</f>
        <v>0</v>
      </c>
      <c r="AL9" s="36">
        <f>COUNTIF(PresençaemJunho[[#This Row],[1]:[ ]],Código4)</f>
        <v>0</v>
      </c>
      <c r="AM9" s="6">
        <f>SUM(PresençaemJunho[[#This Row],[E]:[U]])</f>
        <v>0</v>
      </c>
    </row>
    <row r="10" spans="1:39" ht="16.5" customHeight="1" x14ac:dyDescent="0.25">
      <c r="B10" s="26"/>
      <c r="C10" s="22" t="str">
        <f>IFERROR(VLOOKUP(PresençaemJunho[[#This Row],[ID do Aluno]],ListadeAlunos[],18,FALSE),"")</f>
        <v/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5"/>
      <c r="AG10" s="3"/>
      <c r="AH10" s="3"/>
      <c r="AI10" s="36">
        <f>COUNTIF(PresençaemJunho[[#This Row],[1]:[ ]],Código1)</f>
        <v>0</v>
      </c>
      <c r="AJ10" s="36">
        <f>COUNTIF(PresençaemJunho[[#This Row],[1]:[ ]],Código2)</f>
        <v>0</v>
      </c>
      <c r="AK10" s="36">
        <f>COUNTIF(PresençaemJunho[[#This Row],[1]:[ ]],Código3)</f>
        <v>0</v>
      </c>
      <c r="AL10" s="36">
        <f>COUNTIF(PresençaemJunho[[#This Row],[1]:[ ]],Código4)</f>
        <v>0</v>
      </c>
      <c r="AM10" s="6">
        <f>SUM(PresençaemJunho[[#This Row],[E]:[U]])</f>
        <v>0</v>
      </c>
    </row>
    <row r="11" spans="1:39" ht="16.5" customHeight="1" x14ac:dyDescent="0.25">
      <c r="B11" s="26"/>
      <c r="C11" s="22" t="str">
        <f>IFERROR(VLOOKUP(PresençaemJunho[[#This Row],[ID do Aluno]],ListadeAlunos[],18,FALSE),"")</f>
        <v/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5"/>
      <c r="AG11" s="3"/>
      <c r="AH11" s="3"/>
      <c r="AI11" s="36">
        <f>COUNTIF(PresençaemJunho[[#This Row],[1]:[ ]],Código1)</f>
        <v>0</v>
      </c>
      <c r="AJ11" s="36">
        <f>COUNTIF(PresençaemJunho[[#This Row],[1]:[ ]],Código2)</f>
        <v>0</v>
      </c>
      <c r="AK11" s="36">
        <f>COUNTIF(PresençaemJunho[[#This Row],[1]:[ ]],Código3)</f>
        <v>0</v>
      </c>
      <c r="AL11" s="36">
        <f>COUNTIF(PresençaemJunho[[#This Row],[1]:[ ]],Código4)</f>
        <v>0</v>
      </c>
      <c r="AM11" s="6">
        <f>SUM(PresençaemJunho[[#This Row],[E]:[U]])</f>
        <v>0</v>
      </c>
    </row>
    <row r="12" spans="1:39" ht="16.5" customHeight="1" x14ac:dyDescent="0.25">
      <c r="B12" s="118"/>
      <c r="C12" s="119" t="s">
        <v>115</v>
      </c>
      <c r="D12" s="120">
        <f>COUNTIF(PresençaemJunho[1],"U")+COUNTIF(PresençaemJunho[1],"E")</f>
        <v>0</v>
      </c>
      <c r="E12" s="120">
        <f>COUNTIF(PresençaemJunho[2],"U")+COUNTIF(PresençaemJunho[2],"E")</f>
        <v>0</v>
      </c>
      <c r="F12" s="120">
        <f>COUNTIF(PresençaemJunho[3],"U")+COUNTIF(PresençaemJunho[3],"E")</f>
        <v>0</v>
      </c>
      <c r="G12" s="120">
        <f>COUNTIF(PresençaemJunho[4],"U")+COUNTIF(PresençaemJunho[4],"E")</f>
        <v>0</v>
      </c>
      <c r="H12" s="120">
        <f>COUNTIF(PresençaemJunho[5],"U")+COUNTIF(PresençaemJunho[5],"E")</f>
        <v>0</v>
      </c>
      <c r="I12" s="120">
        <f>COUNTIF(PresençaemJunho[6],"U")+COUNTIF(PresençaemJunho[6],"E")</f>
        <v>0</v>
      </c>
      <c r="J12" s="120">
        <f>COUNTIF(PresençaemJunho[7],"U")+COUNTIF(PresençaemJunho[7],"E")</f>
        <v>0</v>
      </c>
      <c r="K12" s="120">
        <f>COUNTIF(PresençaemJunho[8],"U")+COUNTIF(PresençaemJunho[8],"E")</f>
        <v>0</v>
      </c>
      <c r="L12" s="120">
        <f>COUNTIF(PresençaemJunho[9],"U")+COUNTIF(PresençaemJunho[9],"E")</f>
        <v>0</v>
      </c>
      <c r="M12" s="120">
        <f>COUNTIF(PresençaemJunho[10],"U")+COUNTIF(PresençaemJunho[10],"E")</f>
        <v>0</v>
      </c>
      <c r="N12" s="120">
        <f>COUNTIF(PresençaemJunho[11],"U")+COUNTIF(PresençaemJunho[11],"E")</f>
        <v>0</v>
      </c>
      <c r="O12" s="120">
        <f>COUNTIF(PresençaemJunho[12],"U")+COUNTIF(PresençaemJunho[12],"E")</f>
        <v>0</v>
      </c>
      <c r="P12" s="120">
        <f>COUNTIF(PresençaemJunho[13],"U")+COUNTIF(PresençaemJunho[13],"E")</f>
        <v>0</v>
      </c>
      <c r="Q12" s="120">
        <f>COUNTIF(PresençaemJunho[14],"U")+COUNTIF(PresençaemJunho[14],"E")</f>
        <v>0</v>
      </c>
      <c r="R12" s="120">
        <f>COUNTIF(PresençaemJunho[15],"U")+COUNTIF(PresençaemJunho[15],"E")</f>
        <v>0</v>
      </c>
      <c r="S12" s="120">
        <f>COUNTIF(PresençaemJunho[16],"U")+COUNTIF(PresençaemJunho[16],"E")</f>
        <v>0</v>
      </c>
      <c r="T12" s="120">
        <f>COUNTIF(PresençaemJunho[17],"U")+COUNTIF(PresençaemJunho[17],"E")</f>
        <v>0</v>
      </c>
      <c r="U12" s="120">
        <f>COUNTIF(PresençaemJunho[18],"U")+COUNTIF(PresençaemJunho[18],"E")</f>
        <v>0</v>
      </c>
      <c r="V12" s="120">
        <f>COUNTIF(PresençaemJunho[19],"U")+COUNTIF(PresençaemJunho[19],"E")</f>
        <v>0</v>
      </c>
      <c r="W12" s="120">
        <f>COUNTIF(PresençaemJunho[20],"U")+COUNTIF(PresençaemJunho[20],"E")</f>
        <v>0</v>
      </c>
      <c r="X12" s="120">
        <f>COUNTIF(PresençaemJunho[21],"U")+COUNTIF(PresençaemJunho[21],"E")</f>
        <v>0</v>
      </c>
      <c r="Y12" s="120">
        <f>COUNTIF(PresençaemJunho[22],"U")+COUNTIF(PresençaemJunho[22],"E")</f>
        <v>0</v>
      </c>
      <c r="Z12" s="120">
        <f>COUNTIF(PresençaemJunho[23],"U")+COUNTIF(PresençaemJunho[23],"E")</f>
        <v>0</v>
      </c>
      <c r="AA12" s="120">
        <f>COUNTIF(PresençaemJunho[24],"U")+COUNTIF(PresençaemJunho[24],"E")</f>
        <v>0</v>
      </c>
      <c r="AB12" s="120">
        <f>COUNTIF(PresençaemJunho[25],"U")+COUNTIF(PresençaemJunho[25],"E")</f>
        <v>0</v>
      </c>
      <c r="AC12" s="120">
        <f>COUNTIF(PresençaemJunho[26],"U")+COUNTIF(PresençaemJunho[26],"E")</f>
        <v>0</v>
      </c>
      <c r="AD12" s="120">
        <f>COUNTIF(PresençaemJunho[27],"U")+COUNTIF(PresençaemJunho[27],"E")</f>
        <v>0</v>
      </c>
      <c r="AE12" s="120">
        <f>COUNTIF(PresençaemJunho[28],"U")+COUNTIF(PresençaemJunho[28],"E")</f>
        <v>0</v>
      </c>
      <c r="AF12" s="120">
        <f>COUNTIF(PresençaemJunho[29],"U")+COUNTIF(PresençaemJunho[29],"E")</f>
        <v>0</v>
      </c>
      <c r="AG12" s="120"/>
      <c r="AH12" s="120"/>
      <c r="AI12" s="120">
        <f>SUBTOTAL(109,PresençaemJunho[T])</f>
        <v>0</v>
      </c>
      <c r="AJ12" s="120">
        <f>SUBTOTAL(109,PresençaemJunho[E])</f>
        <v>0</v>
      </c>
      <c r="AK12" s="120">
        <f>SUBTOTAL(109,PresençaemJunho[U])</f>
        <v>0</v>
      </c>
      <c r="AL12" s="120">
        <f>SUBTOTAL(109,PresençaemJunho[P])</f>
        <v>0</v>
      </c>
      <c r="AM12" s="120">
        <f>SUBTOTAL(109,PresençaemJunho[Dias de Ausência])</f>
        <v>0</v>
      </c>
    </row>
    <row r="13" spans="1:39" ht="16.5" customHeight="1" x14ac:dyDescent="0.25"/>
    <row r="14" spans="1:39" ht="16.5" customHeight="1" x14ac:dyDescent="0.25"/>
    <row r="15" spans="1:39" ht="16.5" customHeight="1" x14ac:dyDescent="0.25"/>
    <row r="16" spans="1:39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6.5" customHeight="1" x14ac:dyDescent="0.25"/>
    <row r="25" ht="16.5" customHeight="1" x14ac:dyDescent="0.25"/>
    <row r="26" ht="16.5" customHeight="1" x14ac:dyDescent="0.25"/>
    <row r="27" ht="16.5" customHeight="1" x14ac:dyDescent="0.25"/>
    <row r="28" ht="16.5" customHeight="1" x14ac:dyDescent="0.25"/>
    <row r="29" ht="16.5" customHeight="1" x14ac:dyDescent="0.25"/>
    <row r="30" ht="16.5" customHeight="1" x14ac:dyDescent="0.25"/>
    <row r="31" ht="16.5" customHeight="1" x14ac:dyDescent="0.25"/>
    <row r="32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I5:AM5"/>
  </mergeCells>
  <conditionalFormatting sqref="AM7:AM11">
    <cfRule type="dataBar" priority="1">
      <dataBar>
        <cfvo type="min"/>
        <cfvo type="num" val="DATEDIF(DATE(AnoCalendário,2,1),DATE(AnoCalendário,3,1),&quot;d&quot;)"/>
        <color theme="4"/>
      </dataBar>
      <extLst>
        <ext xmlns:x14="http://schemas.microsoft.com/office/spreadsheetml/2009/9/main" uri="{B025F937-C7B1-47D3-B67F-A62EFF666E3E}">
          <x14:id>{22C67C28-76AD-46BA-A7A2-13A61F3247FE}</x14:id>
        </ext>
      </extLst>
    </cfRule>
  </conditionalFormatting>
  <conditionalFormatting sqref="D7:AF11">
    <cfRule type="expression" dxfId="171" priority="2" stopIfTrue="1">
      <formula>D7=Código2</formula>
    </cfRule>
  </conditionalFormatting>
  <conditionalFormatting sqref="D7:AF11">
    <cfRule type="expression" dxfId="170" priority="3" stopIfTrue="1">
      <formula>D7=Código5</formula>
    </cfRule>
    <cfRule type="expression" dxfId="169" priority="4" stopIfTrue="1">
      <formula>D7=Código4</formula>
    </cfRule>
    <cfRule type="expression" dxfId="168" priority="5" stopIfTrue="1">
      <formula>D7=Código3</formula>
    </cfRule>
    <cfRule type="expression" dxfId="167" priority="6" stopIfTrue="1">
      <formula>D7=Código1</formula>
    </cfRule>
  </conditionalFormatting>
  <dataValidations count="1">
    <dataValidation type="list" errorStyle="warning" allowBlank="1" showInputMessage="1" showErrorMessage="1" errorTitle="Ops!" error="A ID de Aluno que você inseriu não está na planilha Lista de Alunos. Você pode clicar em Sim para usar a ID de Aluno inserida, mas ela não estará disponível na planilha Relatório de Presença dos Alunos." sqref="B7:B11">
      <formula1>IDAluno</formula1>
    </dataValidation>
  </dataValidations>
  <printOptions horizontalCentered="1"/>
  <pageMargins left="0.5" right="0.5" top="0.75" bottom="0.75" header="0.3" footer="0.3"/>
  <pageSetup paperSize="9" scale="59" fitToHeight="0" orientation="landscape" verticalDpi="120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2C67C28-76AD-46BA-A7A2-13A61F3247FE}">
            <x14:dataBar minLength="0" maxLength="100" border="1" negativeBarBorderColorSameAsPositive="0">
              <x14:cfvo type="autoMin"/>
              <x14:cfvo type="num">
                <xm:f>DATEDIF(DATE(AnoCalendário,2,1),DATE(AnoCalendário,3,1),"d")</xm:f>
              </x14:cfvo>
              <x14:borderColor theme="4"/>
              <x14:negativeFillColor rgb="FFFF0000"/>
              <x14:negativeBorderColor rgb="FFFF0000"/>
              <x14:axisColor rgb="FF000000"/>
            </x14:dataBar>
          </x14:cfRule>
          <xm:sqref>AM7:AM11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M264"/>
  <sheetViews>
    <sheetView showGridLines="0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5" customHeight="1" x14ac:dyDescent="0.25"/>
  <cols>
    <col min="1" max="1" width="2.7109375" style="11" customWidth="1"/>
    <col min="2" max="2" width="11.85546875" style="11" bestFit="1" customWidth="1"/>
    <col min="3" max="3" width="28.85546875" style="12" customWidth="1"/>
    <col min="4" max="34" width="5" style="10" customWidth="1"/>
    <col min="35" max="35" width="4.7109375" style="9" customWidth="1"/>
    <col min="36" max="36" width="4.7109375" style="10" customWidth="1"/>
    <col min="37" max="38" width="4.7109375" style="11" customWidth="1"/>
    <col min="39" max="39" width="16.85546875" style="11" bestFit="1" customWidth="1"/>
    <col min="40" max="16384" width="9.140625" style="11"/>
  </cols>
  <sheetData>
    <row r="1" spans="1:39" s="1" customFormat="1" ht="42" customHeight="1" x14ac:dyDescent="0.25">
      <c r="A1" s="39" t="s">
        <v>89</v>
      </c>
      <c r="B1" s="40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0"/>
      <c r="AD1" s="40"/>
      <c r="AE1" s="40"/>
      <c r="AF1" s="40"/>
      <c r="AG1" s="42"/>
      <c r="AH1" s="40"/>
      <c r="AI1" s="40"/>
      <c r="AJ1" s="43"/>
      <c r="AK1" s="40"/>
      <c r="AL1" s="59" t="s">
        <v>72</v>
      </c>
      <c r="AM1" s="60">
        <f>AnoCalendário</f>
        <v>2012</v>
      </c>
    </row>
    <row r="2" spans="1:39" customFormat="1" ht="13.5" x14ac:dyDescent="0.25"/>
    <row r="3" spans="1:39" s="31" customFormat="1" ht="12.75" customHeight="1" x14ac:dyDescent="0.25">
      <c r="C3" s="46" t="str">
        <f>TextodaChavedeCor</f>
        <v xml:space="preserve">CHAVE COLORIDA </v>
      </c>
      <c r="D3" s="53" t="str">
        <f>Código1</f>
        <v>T</v>
      </c>
      <c r="E3" s="70" t="str">
        <f>TextodeCódigo1</f>
        <v>Atrasado</v>
      </c>
      <c r="F3" s="61"/>
      <c r="H3" s="54" t="str">
        <f>Código2</f>
        <v>E</v>
      </c>
      <c r="I3" s="58" t="str">
        <f>TextodeCódigo2</f>
        <v>Dispensado</v>
      </c>
      <c r="L3" s="55" t="str">
        <f>Código3</f>
        <v>U</v>
      </c>
      <c r="M3" s="58" t="str">
        <f>TextodeCódigo3</f>
        <v>Não Dispensado</v>
      </c>
      <c r="P3" s="56" t="str">
        <f>Código4</f>
        <v>P</v>
      </c>
      <c r="Q3" s="58" t="str">
        <f>TextodeCódigo4</f>
        <v>Presente</v>
      </c>
      <c r="T3" s="57" t="str">
        <f>Código5</f>
        <v>N</v>
      </c>
      <c r="U3" s="58" t="str">
        <f>TextodeCódigo5</f>
        <v>Sem Aula</v>
      </c>
      <c r="W3"/>
      <c r="X3"/>
      <c r="Y3"/>
      <c r="AD3" s="30"/>
      <c r="AE3" s="30"/>
      <c r="AH3" s="32"/>
      <c r="AI3" s="33"/>
      <c r="AK3" s="34"/>
    </row>
    <row r="4" spans="1:39" customFormat="1" ht="16.5" customHeight="1" x14ac:dyDescent="0.25"/>
    <row r="5" spans="1:39" s="2" customFormat="1" ht="18" customHeight="1" x14ac:dyDescent="0.3">
      <c r="B5" s="63">
        <f>DATE(AnoCalendário+1,7,1)</f>
        <v>41456</v>
      </c>
      <c r="C5" s="62"/>
      <c r="D5" s="44" t="str">
        <f>TEXT(WEEKDAY(DATE(AnoCalendário+1,7,1),1),"ddd")</f>
        <v>seg</v>
      </c>
      <c r="E5" s="44" t="str">
        <f>TEXT(WEEKDAY(DATE(AnoCalendário+1,7,2),1),"ddd")</f>
        <v>ter</v>
      </c>
      <c r="F5" s="44" t="str">
        <f>TEXT(WEEKDAY(DATE(AnoCalendário+1,7,3),1),"ddd")</f>
        <v>qua</v>
      </c>
      <c r="G5" s="44" t="str">
        <f>TEXT(WEEKDAY(DATE(AnoCalendário+1,7,4),1),"ddd")</f>
        <v>qui</v>
      </c>
      <c r="H5" s="44" t="str">
        <f>TEXT(WEEKDAY(DATE(AnoCalendário+1,7,5),1),"ddd")</f>
        <v>sex</v>
      </c>
      <c r="I5" s="44" t="str">
        <f>TEXT(WEEKDAY(DATE(AnoCalendário+1,7,6),1),"ddd")</f>
        <v>sáb</v>
      </c>
      <c r="J5" s="44" t="str">
        <f>TEXT(WEEKDAY(DATE(AnoCalendário+1,7,7),1),"ddd")</f>
        <v>dom</v>
      </c>
      <c r="K5" s="44" t="str">
        <f>TEXT(WEEKDAY(DATE(AnoCalendário+1,7,8),1),"ddd")</f>
        <v>seg</v>
      </c>
      <c r="L5" s="44" t="str">
        <f>TEXT(WEEKDAY(DATE(AnoCalendário+1,7,9),1),"ddd")</f>
        <v>ter</v>
      </c>
      <c r="M5" s="44" t="str">
        <f>TEXT(WEEKDAY(DATE(AnoCalendário+1,7,10),1),"ddd")</f>
        <v>qua</v>
      </c>
      <c r="N5" s="44" t="str">
        <f>TEXT(WEEKDAY(DATE(AnoCalendário+1,7,11),1),"ddd")</f>
        <v>qui</v>
      </c>
      <c r="O5" s="44" t="str">
        <f>TEXT(WEEKDAY(DATE(AnoCalendário+1,7,12),1),"ddd")</f>
        <v>sex</v>
      </c>
      <c r="P5" s="44" t="str">
        <f>TEXT(WEEKDAY(DATE(AnoCalendário+1,7,13),1),"ddd")</f>
        <v>sáb</v>
      </c>
      <c r="Q5" s="44" t="str">
        <f>TEXT(WEEKDAY(DATE(AnoCalendário+1,7,14),1),"ddd")</f>
        <v>dom</v>
      </c>
      <c r="R5" s="44" t="str">
        <f>TEXT(WEEKDAY(DATE(AnoCalendário+1,7,15),1),"ddd")</f>
        <v>seg</v>
      </c>
      <c r="S5" s="44" t="str">
        <f>TEXT(WEEKDAY(DATE(AnoCalendário+1,7,16),1),"ddd")</f>
        <v>ter</v>
      </c>
      <c r="T5" s="44" t="str">
        <f>TEXT(WEEKDAY(DATE(AnoCalendário+1,7,17),1),"ddd")</f>
        <v>qua</v>
      </c>
      <c r="U5" s="44" t="str">
        <f>TEXT(WEEKDAY(DATE(AnoCalendário+1,7,18),1),"ddd")</f>
        <v>qui</v>
      </c>
      <c r="V5" s="44" t="str">
        <f>TEXT(WEEKDAY(DATE(AnoCalendário+1,7,19),1),"ddd")</f>
        <v>sex</v>
      </c>
      <c r="W5" s="44" t="str">
        <f>TEXT(WEEKDAY(DATE(AnoCalendário+1,7,20),1),"ddd")</f>
        <v>sáb</v>
      </c>
      <c r="X5" s="44" t="str">
        <f>TEXT(WEEKDAY(DATE(AnoCalendário+1,7,21),1),"ddd")</f>
        <v>dom</v>
      </c>
      <c r="Y5" s="44" t="str">
        <f>TEXT(WEEKDAY(DATE(AnoCalendário+1,7,22),1),"ddd")</f>
        <v>seg</v>
      </c>
      <c r="Z5" s="44" t="str">
        <f>TEXT(WEEKDAY(DATE(AnoCalendário+1,7,23),1),"ddd")</f>
        <v>ter</v>
      </c>
      <c r="AA5" s="44" t="str">
        <f>TEXT(WEEKDAY(DATE(AnoCalendário+1,7,24),1),"ddd")</f>
        <v>qua</v>
      </c>
      <c r="AB5" s="44" t="str">
        <f>TEXT(WEEKDAY(DATE(AnoCalendário+1,7,25),1),"ddd")</f>
        <v>qui</v>
      </c>
      <c r="AC5" s="44" t="str">
        <f>TEXT(WEEKDAY(DATE(AnoCalendário+1,7,26),1),"ddd")</f>
        <v>sex</v>
      </c>
      <c r="AD5" s="44" t="str">
        <f>TEXT(WEEKDAY(DATE(AnoCalendário+1,7,27),1),"ddd")</f>
        <v>sáb</v>
      </c>
      <c r="AE5" s="44" t="str">
        <f>TEXT(WEEKDAY(DATE(AnoCalendário+1,7,28),1),"ddd")</f>
        <v>dom</v>
      </c>
      <c r="AF5" s="44" t="str">
        <f>TEXT(WEEKDAY(DATE(AnoCalendário+1,7,29),1),"ddd")</f>
        <v>seg</v>
      </c>
      <c r="AG5" s="44" t="str">
        <f>TEXT(WEEKDAY(DATE(AnoCalendário+1,7,30),1),"ddd")</f>
        <v>ter</v>
      </c>
      <c r="AH5" s="44" t="str">
        <f>TEXT(WEEKDAY(DATE(AnoCalendário+1,7,31),1),"ddd")</f>
        <v>qua</v>
      </c>
      <c r="AI5" s="128" t="s">
        <v>41</v>
      </c>
      <c r="AJ5" s="128"/>
      <c r="AK5" s="128"/>
      <c r="AL5" s="128"/>
      <c r="AM5" s="128"/>
    </row>
    <row r="6" spans="1:39" ht="14.25" customHeight="1" x14ac:dyDescent="0.25">
      <c r="B6" s="27" t="s">
        <v>34</v>
      </c>
      <c r="C6" s="28" t="s">
        <v>36</v>
      </c>
      <c r="D6" s="29" t="s">
        <v>0</v>
      </c>
      <c r="E6" s="29" t="s">
        <v>1</v>
      </c>
      <c r="F6" s="29" t="s">
        <v>2</v>
      </c>
      <c r="G6" s="29" t="s">
        <v>3</v>
      </c>
      <c r="H6" s="29" t="s">
        <v>4</v>
      </c>
      <c r="I6" s="29" t="s">
        <v>5</v>
      </c>
      <c r="J6" s="29" t="s">
        <v>6</v>
      </c>
      <c r="K6" s="29" t="s">
        <v>7</v>
      </c>
      <c r="L6" s="29" t="s">
        <v>8</v>
      </c>
      <c r="M6" s="29" t="s">
        <v>9</v>
      </c>
      <c r="N6" s="29" t="s">
        <v>10</v>
      </c>
      <c r="O6" s="29" t="s">
        <v>11</v>
      </c>
      <c r="P6" s="29" t="s">
        <v>12</v>
      </c>
      <c r="Q6" s="29" t="s">
        <v>13</v>
      </c>
      <c r="R6" s="29" t="s">
        <v>14</v>
      </c>
      <c r="S6" s="29" t="s">
        <v>15</v>
      </c>
      <c r="T6" s="29" t="s">
        <v>16</v>
      </c>
      <c r="U6" s="29" t="s">
        <v>17</v>
      </c>
      <c r="V6" s="29" t="s">
        <v>18</v>
      </c>
      <c r="W6" s="29" t="s">
        <v>19</v>
      </c>
      <c r="X6" s="29" t="s">
        <v>20</v>
      </c>
      <c r="Y6" s="29" t="s">
        <v>21</v>
      </c>
      <c r="Z6" s="29" t="s">
        <v>22</v>
      </c>
      <c r="AA6" s="29" t="s">
        <v>23</v>
      </c>
      <c r="AB6" s="29" t="s">
        <v>24</v>
      </c>
      <c r="AC6" s="29" t="s">
        <v>25</v>
      </c>
      <c r="AD6" s="29" t="s">
        <v>26</v>
      </c>
      <c r="AE6" s="29" t="s">
        <v>27</v>
      </c>
      <c r="AF6" s="29" t="s">
        <v>28</v>
      </c>
      <c r="AG6" s="29" t="s">
        <v>29</v>
      </c>
      <c r="AH6" s="29" t="s">
        <v>30</v>
      </c>
      <c r="AI6" s="74" t="s">
        <v>37</v>
      </c>
      <c r="AJ6" s="38" t="s">
        <v>39</v>
      </c>
      <c r="AK6" s="37" t="s">
        <v>38</v>
      </c>
      <c r="AL6" s="35" t="s">
        <v>31</v>
      </c>
      <c r="AM6" t="s">
        <v>40</v>
      </c>
    </row>
    <row r="7" spans="1:39" ht="16.5" customHeight="1" x14ac:dyDescent="0.25">
      <c r="B7" s="26"/>
      <c r="C7" s="21" t="str">
        <f>IFERROR(VLOOKUP(PresençaemJulho[[#This Row],[ID do Aluno]],ListadeAlunos[],18,FALSE),"")</f>
        <v/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5"/>
      <c r="AG7" s="3"/>
      <c r="AH7" s="3"/>
      <c r="AI7" s="36">
        <f>COUNTIF(PresençaemJulho[[#This Row],[1]:[31]],Código1)</f>
        <v>0</v>
      </c>
      <c r="AJ7" s="36">
        <f>COUNTIF(PresençaemJulho[[#This Row],[1]:[31]],Código2)</f>
        <v>0</v>
      </c>
      <c r="AK7" s="36">
        <f>COUNTIF(PresençaemJulho[[#This Row],[1]:[31]],Código3)</f>
        <v>0</v>
      </c>
      <c r="AL7" s="36">
        <f>COUNTIF(PresençaemJulho[[#This Row],[1]:[31]],Código4)</f>
        <v>0</v>
      </c>
      <c r="AM7" s="6">
        <f>SUM(PresençaemJulho[[#This Row],[E]:[U]])</f>
        <v>0</v>
      </c>
    </row>
    <row r="8" spans="1:39" ht="16.5" customHeight="1" x14ac:dyDescent="0.25">
      <c r="B8" s="26"/>
      <c r="C8" s="22" t="str">
        <f>IFERROR(VLOOKUP(PresençaemJulho[[#This Row],[ID do Aluno]],ListadeAlunos[],18,FALSE),"")</f>
        <v/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5"/>
      <c r="AG8" s="3"/>
      <c r="AH8" s="3"/>
      <c r="AI8" s="36">
        <f>COUNTIF(PresençaemJulho[[#This Row],[1]:[31]],Código1)</f>
        <v>0</v>
      </c>
      <c r="AJ8" s="36">
        <f>COUNTIF(PresençaemJulho[[#This Row],[1]:[31]],Código2)</f>
        <v>0</v>
      </c>
      <c r="AK8" s="36">
        <f>COUNTIF(PresençaemJulho[[#This Row],[1]:[31]],Código3)</f>
        <v>0</v>
      </c>
      <c r="AL8" s="36">
        <f>COUNTIF(PresençaemJulho[[#This Row],[1]:[31]],Código4)</f>
        <v>0</v>
      </c>
      <c r="AM8" s="6">
        <f>SUM(PresençaemJulho[[#This Row],[E]:[U]])</f>
        <v>0</v>
      </c>
    </row>
    <row r="9" spans="1:39" ht="16.5" customHeight="1" x14ac:dyDescent="0.25">
      <c r="B9" s="26"/>
      <c r="C9" s="22" t="str">
        <f>IFERROR(VLOOKUP(PresençaemJulho[[#This Row],[ID do Aluno]],ListadeAlunos[],18,FALSE),"")</f>
        <v/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5"/>
      <c r="AG9" s="3"/>
      <c r="AH9" s="3"/>
      <c r="AI9" s="36">
        <f>COUNTIF(PresençaemJulho[[#This Row],[1]:[31]],Código1)</f>
        <v>0</v>
      </c>
      <c r="AJ9" s="36">
        <f>COUNTIF(PresençaemJulho[[#This Row],[1]:[31]],Código2)</f>
        <v>0</v>
      </c>
      <c r="AK9" s="36">
        <f>COUNTIF(PresençaemJulho[[#This Row],[1]:[31]],Código3)</f>
        <v>0</v>
      </c>
      <c r="AL9" s="36">
        <f>COUNTIF(PresençaemJulho[[#This Row],[1]:[31]],Código4)</f>
        <v>0</v>
      </c>
      <c r="AM9" s="6">
        <f>SUM(PresençaemJulho[[#This Row],[E]:[U]])</f>
        <v>0</v>
      </c>
    </row>
    <row r="10" spans="1:39" ht="16.5" customHeight="1" x14ac:dyDescent="0.25">
      <c r="B10" s="26"/>
      <c r="C10" s="22" t="str">
        <f>IFERROR(VLOOKUP(PresençaemJulho[[#This Row],[ID do Aluno]],ListadeAlunos[],18,FALSE),"")</f>
        <v/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5"/>
      <c r="AG10" s="3"/>
      <c r="AH10" s="3"/>
      <c r="AI10" s="36">
        <f>COUNTIF(PresençaemJulho[[#This Row],[1]:[31]],Código1)</f>
        <v>0</v>
      </c>
      <c r="AJ10" s="36">
        <f>COUNTIF(PresençaemJulho[[#This Row],[1]:[31]],Código2)</f>
        <v>0</v>
      </c>
      <c r="AK10" s="36">
        <f>COUNTIF(PresençaemJulho[[#This Row],[1]:[31]],Código3)</f>
        <v>0</v>
      </c>
      <c r="AL10" s="36">
        <f>COUNTIF(PresençaemJulho[[#This Row],[1]:[31]],Código4)</f>
        <v>0</v>
      </c>
      <c r="AM10" s="6">
        <f>SUM(PresençaemJulho[[#This Row],[E]:[U]])</f>
        <v>0</v>
      </c>
    </row>
    <row r="11" spans="1:39" ht="16.5" customHeight="1" x14ac:dyDescent="0.25">
      <c r="B11" s="26"/>
      <c r="C11" s="22" t="str">
        <f>IFERROR(VLOOKUP(PresençaemJulho[[#This Row],[ID do Aluno]],ListadeAlunos[],18,FALSE),"")</f>
        <v/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5"/>
      <c r="AG11" s="3"/>
      <c r="AH11" s="3"/>
      <c r="AI11" s="36">
        <f>COUNTIF(PresençaemJulho[[#This Row],[1]:[31]],Código1)</f>
        <v>0</v>
      </c>
      <c r="AJ11" s="36">
        <f>COUNTIF(PresençaemJulho[[#This Row],[1]:[31]],Código2)</f>
        <v>0</v>
      </c>
      <c r="AK11" s="36">
        <f>COUNTIF(PresençaemJulho[[#This Row],[1]:[31]],Código3)</f>
        <v>0</v>
      </c>
      <c r="AL11" s="36">
        <f>COUNTIF(PresençaemJulho[[#This Row],[1]:[31]],Código4)</f>
        <v>0</v>
      </c>
      <c r="AM11" s="6">
        <f>SUM(PresençaemJulho[[#This Row],[E]:[U]])</f>
        <v>0</v>
      </c>
    </row>
    <row r="12" spans="1:39" ht="16.5" customHeight="1" x14ac:dyDescent="0.25">
      <c r="B12" s="118"/>
      <c r="C12" s="119" t="s">
        <v>115</v>
      </c>
      <c r="D12" s="120">
        <f>COUNTIF(PresençaemJulho[1],"U")+COUNTIF(PresençaemJulho[1],"E")</f>
        <v>0</v>
      </c>
      <c r="E12" s="120">
        <f>COUNTIF(PresençaemJulho[2],"U")+COUNTIF(PresençaemJulho[2],"E")</f>
        <v>0</v>
      </c>
      <c r="F12" s="120">
        <f>COUNTIF(PresençaemJulho[3],"U")+COUNTIF(PresençaemJulho[3],"E")</f>
        <v>0</v>
      </c>
      <c r="G12" s="120">
        <f>COUNTIF(PresençaemJulho[4],"U")+COUNTIF(PresençaemJulho[4],"E")</f>
        <v>0</v>
      </c>
      <c r="H12" s="120">
        <f>COUNTIF(PresençaemJulho[5],"U")+COUNTIF(PresençaemJulho[5],"E")</f>
        <v>0</v>
      </c>
      <c r="I12" s="120">
        <f>COUNTIF(PresençaemJulho[6],"U")+COUNTIF(PresençaemJulho[6],"E")</f>
        <v>0</v>
      </c>
      <c r="J12" s="120">
        <f>COUNTIF(PresençaemJulho[7],"U")+COUNTIF(PresençaemJulho[7],"E")</f>
        <v>0</v>
      </c>
      <c r="K12" s="120">
        <f>COUNTIF(PresençaemJulho[8],"U")+COUNTIF(PresençaemJulho[8],"E")</f>
        <v>0</v>
      </c>
      <c r="L12" s="120">
        <f>COUNTIF(PresençaemJulho[9],"U")+COUNTIF(PresençaemJulho[9],"E")</f>
        <v>0</v>
      </c>
      <c r="M12" s="120">
        <f>COUNTIF(PresençaemJulho[10],"U")+COUNTIF(PresençaemJulho[10],"E")</f>
        <v>0</v>
      </c>
      <c r="N12" s="120">
        <f>COUNTIF(PresençaemJulho[11],"U")+COUNTIF(PresençaemJulho[11],"E")</f>
        <v>0</v>
      </c>
      <c r="O12" s="120">
        <f>COUNTIF(PresençaemJulho[12],"U")+COUNTIF(PresençaemJulho[12],"E")</f>
        <v>0</v>
      </c>
      <c r="P12" s="120">
        <f>COUNTIF(PresençaemJulho[13],"U")+COUNTIF(PresençaemJulho[13],"E")</f>
        <v>0</v>
      </c>
      <c r="Q12" s="120">
        <f>COUNTIF(PresençaemJulho[14],"U")+COUNTIF(PresençaemJulho[14],"E")</f>
        <v>0</v>
      </c>
      <c r="R12" s="120">
        <f>COUNTIF(PresençaemJulho[15],"U")+COUNTIF(PresençaemJulho[15],"E")</f>
        <v>0</v>
      </c>
      <c r="S12" s="120">
        <f>COUNTIF(PresençaemJulho[16],"U")+COUNTIF(PresençaemJulho[16],"E")</f>
        <v>0</v>
      </c>
      <c r="T12" s="120">
        <f>COUNTIF(PresençaemJulho[17],"U")+COUNTIF(PresençaemJulho[17],"E")</f>
        <v>0</v>
      </c>
      <c r="U12" s="120">
        <f>COUNTIF(PresençaemJulho[18],"U")+COUNTIF(PresençaemJulho[18],"E")</f>
        <v>0</v>
      </c>
      <c r="V12" s="120">
        <f>COUNTIF(PresençaemJulho[19],"U")+COUNTIF(PresençaemJulho[19],"E")</f>
        <v>0</v>
      </c>
      <c r="W12" s="120">
        <f>COUNTIF(PresençaemJulho[20],"U")+COUNTIF(PresençaemJulho[20],"E")</f>
        <v>0</v>
      </c>
      <c r="X12" s="120">
        <f>COUNTIF(PresençaemJulho[21],"U")+COUNTIF(PresençaemJulho[21],"E")</f>
        <v>0</v>
      </c>
      <c r="Y12" s="120">
        <f>COUNTIF(PresençaemJulho[22],"U")+COUNTIF(PresençaemJulho[22],"E")</f>
        <v>0</v>
      </c>
      <c r="Z12" s="120">
        <f>COUNTIF(PresençaemJulho[23],"U")+COUNTIF(PresençaemJulho[23],"E")</f>
        <v>0</v>
      </c>
      <c r="AA12" s="120">
        <f>COUNTIF(PresençaemJulho[24],"U")+COUNTIF(PresençaemJulho[24],"E")</f>
        <v>0</v>
      </c>
      <c r="AB12" s="120">
        <f>COUNTIF(PresençaemJulho[25],"U")+COUNTIF(PresençaemJulho[25],"E")</f>
        <v>0</v>
      </c>
      <c r="AC12" s="120">
        <f>COUNTIF(PresençaemJulho[26],"U")+COUNTIF(PresençaemJulho[26],"E")</f>
        <v>0</v>
      </c>
      <c r="AD12" s="120">
        <f>COUNTIF(PresençaemJulho[27],"U")+COUNTIF(PresençaemJulho[27],"E")</f>
        <v>0</v>
      </c>
      <c r="AE12" s="120">
        <f>COUNTIF(PresençaemJulho[28],"U")+COUNTIF(PresençaemJulho[28],"E")</f>
        <v>0</v>
      </c>
      <c r="AF12" s="120">
        <f>COUNTIF(PresençaemJulho[29],"U")+COUNTIF(PresençaemJulho[29],"E")</f>
        <v>0</v>
      </c>
      <c r="AG12" s="120"/>
      <c r="AH12" s="120"/>
      <c r="AI12" s="120">
        <f>SUBTOTAL(109,PresençaemJulho[T])</f>
        <v>0</v>
      </c>
      <c r="AJ12" s="120">
        <f>SUBTOTAL(109,PresençaemJulho[E])</f>
        <v>0</v>
      </c>
      <c r="AK12" s="120">
        <f>SUBTOTAL(109,PresençaemJulho[U])</f>
        <v>0</v>
      </c>
      <c r="AL12" s="120">
        <f>SUBTOTAL(109,PresençaemJulho[P])</f>
        <v>0</v>
      </c>
      <c r="AM12" s="120">
        <f>SUBTOTAL(109,PresençaemJulho[Dias de Ausência])</f>
        <v>0</v>
      </c>
    </row>
    <row r="13" spans="1:39" ht="16.5" customHeight="1" x14ac:dyDescent="0.25"/>
    <row r="14" spans="1:39" ht="16.5" customHeight="1" x14ac:dyDescent="0.25"/>
    <row r="15" spans="1:39" ht="16.5" customHeight="1" x14ac:dyDescent="0.25"/>
    <row r="16" spans="1:39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6.5" customHeight="1" x14ac:dyDescent="0.25"/>
    <row r="25" ht="16.5" customHeight="1" x14ac:dyDescent="0.25"/>
    <row r="26" ht="16.5" customHeight="1" x14ac:dyDescent="0.25"/>
    <row r="27" ht="16.5" customHeight="1" x14ac:dyDescent="0.25"/>
    <row r="28" ht="16.5" customHeight="1" x14ac:dyDescent="0.25"/>
    <row r="29" ht="16.5" customHeight="1" x14ac:dyDescent="0.25"/>
    <row r="30" ht="16.5" customHeight="1" x14ac:dyDescent="0.25"/>
    <row r="31" ht="16.5" customHeight="1" x14ac:dyDescent="0.25"/>
    <row r="32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I5:AM5"/>
  </mergeCells>
  <conditionalFormatting sqref="AM7:AM11">
    <cfRule type="dataBar" priority="1">
      <dataBar>
        <cfvo type="min"/>
        <cfvo type="num" val="DATEDIF(DATE(AnoCalendário,2,1),DATE(AnoCalendário,3,1),&quot;d&quot;)"/>
        <color theme="4"/>
      </dataBar>
      <extLst>
        <ext xmlns:x14="http://schemas.microsoft.com/office/spreadsheetml/2009/9/main" uri="{B025F937-C7B1-47D3-B67F-A62EFF666E3E}">
          <x14:id>{9F36FAEC-C62D-409B-BB81-2770CD5BFB3E}</x14:id>
        </ext>
      </extLst>
    </cfRule>
  </conditionalFormatting>
  <conditionalFormatting sqref="D7:AF11">
    <cfRule type="expression" dxfId="88" priority="2" stopIfTrue="1">
      <formula>D7=Código2</formula>
    </cfRule>
  </conditionalFormatting>
  <conditionalFormatting sqref="D7:AF11">
    <cfRule type="expression" dxfId="87" priority="3" stopIfTrue="1">
      <formula>D7=Código5</formula>
    </cfRule>
    <cfRule type="expression" dxfId="86" priority="4" stopIfTrue="1">
      <formula>D7=Código4</formula>
    </cfRule>
    <cfRule type="expression" dxfId="85" priority="5" stopIfTrue="1">
      <formula>D7=Código3</formula>
    </cfRule>
    <cfRule type="expression" dxfId="84" priority="6" stopIfTrue="1">
      <formula>D7=Código1</formula>
    </cfRule>
  </conditionalFormatting>
  <dataValidations count="1">
    <dataValidation type="list" errorStyle="warning" allowBlank="1" showInputMessage="1" showErrorMessage="1" errorTitle="Ops!" error="A ID de Aluno que você inseriu não está na planilha Lista de Alunos. Você pode clicar em Sim para usar a ID de Aluno inserida, mas ela não estará disponível na planilha Relatório de Presença dos Alunos." sqref="B7:B11">
      <formula1>IDAluno</formula1>
    </dataValidation>
  </dataValidations>
  <printOptions horizontalCentered="1"/>
  <pageMargins left="0.5" right="0.5" top="0.75" bottom="0.75" header="0.3" footer="0.3"/>
  <pageSetup paperSize="9" scale="59" fitToHeight="0" orientation="landscape" verticalDpi="120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F36FAEC-C62D-409B-BB81-2770CD5BFB3E}">
            <x14:dataBar minLength="0" maxLength="100" border="1" negativeBarBorderColorSameAsPositive="0">
              <x14:cfvo type="autoMin"/>
              <x14:cfvo type="num">
                <xm:f>DATEDIF(DATE(AnoCalendário,2,1),DATE(AnoCalendário,3,1),"d")</xm:f>
              </x14:cfvo>
              <x14:borderColor theme="4"/>
              <x14:negativeFillColor rgb="FFFF0000"/>
              <x14:negativeBorderColor rgb="FFFF0000"/>
              <x14:axisColor rgb="FF000000"/>
            </x14:dataBar>
          </x14:cfRule>
          <xm:sqref>AM7:AM11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A1:AK40"/>
  <sheetViews>
    <sheetView showGridLines="0" topLeftCell="A13" zoomScaleNormal="100" workbookViewId="0">
      <selection activeCell="B4" sqref="B4:C4"/>
    </sheetView>
  </sheetViews>
  <sheetFormatPr defaultRowHeight="13.5" x14ac:dyDescent="0.25"/>
  <cols>
    <col min="1" max="1" width="3.42578125" style="18" customWidth="1"/>
    <col min="2" max="2" width="15.7109375" style="18" bestFit="1" customWidth="1"/>
    <col min="3" max="18" width="3.28515625" style="18" customWidth="1"/>
    <col min="19" max="22" width="4.7109375" style="18" customWidth="1"/>
    <col min="23" max="33" width="3.28515625" style="18" customWidth="1"/>
    <col min="34" max="37" width="6.140625" style="18" customWidth="1"/>
    <col min="38" max="16384" width="9.140625" style="18"/>
  </cols>
  <sheetData>
    <row r="1" spans="1:37" ht="33" customHeight="1" x14ac:dyDescent="0.25">
      <c r="A1" s="86" t="str">
        <f>"Registro de Presença para "</f>
        <v xml:space="preserve">Registro de Presença para </v>
      </c>
      <c r="B1" s="66"/>
      <c r="C1" s="67"/>
      <c r="D1" s="67"/>
      <c r="E1" s="67"/>
      <c r="F1" s="67"/>
      <c r="G1" s="67"/>
      <c r="H1" s="67"/>
      <c r="I1" s="85" t="str">
        <f>D4</f>
        <v>Manuel Oliveira</v>
      </c>
      <c r="J1" s="66"/>
      <c r="K1" s="66"/>
      <c r="L1" s="66"/>
      <c r="M1" s="67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5"/>
    </row>
    <row r="2" spans="1:37" customFormat="1" ht="15" customHeight="1" x14ac:dyDescent="0.25"/>
    <row r="3" spans="1:37" ht="17.25" customHeight="1" x14ac:dyDescent="0.25">
      <c r="B3" s="103" t="s">
        <v>34</v>
      </c>
      <c r="C3" s="104"/>
      <c r="D3" s="135" t="s">
        <v>36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29" t="s">
        <v>42</v>
      </c>
      <c r="Q3" s="129"/>
      <c r="R3" s="129"/>
      <c r="S3" s="129" t="s">
        <v>43</v>
      </c>
      <c r="T3" s="129"/>
      <c r="U3" s="129"/>
      <c r="V3" s="129"/>
      <c r="W3" s="129" t="s">
        <v>44</v>
      </c>
      <c r="X3" s="129"/>
      <c r="Y3" s="129"/>
      <c r="Z3" s="129"/>
      <c r="AA3" s="129"/>
      <c r="AB3" s="129"/>
      <c r="AC3" s="129"/>
      <c r="AD3" s="129"/>
      <c r="AE3" s="138" t="s">
        <v>45</v>
      </c>
      <c r="AF3" s="138"/>
      <c r="AG3" s="129" t="s">
        <v>46</v>
      </c>
      <c r="AH3" s="129"/>
      <c r="AI3" s="129"/>
      <c r="AJ3" s="129"/>
      <c r="AK3" s="112" t="s">
        <v>47</v>
      </c>
    </row>
    <row r="4" spans="1:37" ht="17.25" customHeight="1" x14ac:dyDescent="0.25">
      <c r="B4" s="134" t="s">
        <v>90</v>
      </c>
      <c r="C4" s="134"/>
      <c r="D4" s="130" t="str">
        <f>IFERROR(VLOOKUP(PesquisadeAlunos,ListadeAlunos[],18,FALSE),"")</f>
        <v>Manuel Oliveira</v>
      </c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2" t="str">
        <f>IFERROR(VLOOKUP(PesquisadeAlunos,ListadeAlunos[],4,FALSE),"")</f>
        <v>M</v>
      </c>
      <c r="Q4" s="132"/>
      <c r="R4" s="132"/>
      <c r="S4" s="133">
        <f>IFERROR(VLOOKUP(PesquisadeAlunos,ListadeAlunos[],5,FALSE),"")</f>
        <v>35517</v>
      </c>
      <c r="T4" s="133"/>
      <c r="U4" s="133"/>
      <c r="V4" s="133"/>
      <c r="W4" s="134" t="s">
        <v>96</v>
      </c>
      <c r="X4" s="134"/>
      <c r="Y4" s="134"/>
      <c r="Z4" s="134"/>
      <c r="AA4" s="134"/>
      <c r="AB4" s="134"/>
      <c r="AC4" s="134"/>
      <c r="AD4" s="134"/>
      <c r="AE4" s="139">
        <v>7</v>
      </c>
      <c r="AF4" s="139"/>
      <c r="AG4" s="134" t="s">
        <v>131</v>
      </c>
      <c r="AH4" s="134"/>
      <c r="AI4" s="134"/>
      <c r="AJ4" s="134"/>
      <c r="AK4" s="105">
        <v>123</v>
      </c>
    </row>
    <row r="5" spans="1:37" ht="17.25" customHeight="1" x14ac:dyDescent="0.25">
      <c r="B5" s="129" t="s">
        <v>81</v>
      </c>
      <c r="C5" s="129"/>
      <c r="D5" s="129"/>
      <c r="E5" s="129"/>
      <c r="F5" s="129"/>
      <c r="G5" s="129"/>
      <c r="H5" s="129"/>
      <c r="I5" s="129"/>
      <c r="J5" s="129"/>
      <c r="K5" s="129" t="s">
        <v>48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 t="s">
        <v>49</v>
      </c>
      <c r="X5" s="129"/>
      <c r="Y5" s="129"/>
      <c r="Z5" s="129"/>
      <c r="AA5" s="129"/>
      <c r="AB5" s="129"/>
      <c r="AC5" s="129"/>
      <c r="AD5" s="129"/>
      <c r="AE5" s="129" t="s">
        <v>50</v>
      </c>
      <c r="AF5" s="129"/>
      <c r="AG5" s="129"/>
      <c r="AH5" s="129"/>
      <c r="AI5" s="129"/>
      <c r="AJ5" s="129"/>
      <c r="AK5" s="129"/>
    </row>
    <row r="6" spans="1:37" ht="17.25" customHeight="1" x14ac:dyDescent="0.25">
      <c r="B6" s="130" t="str">
        <f>IFERROR(VLOOKUP(PesquisadeAlunos,ListadeAlunos[],6,FALSE),"")</f>
        <v>Susana</v>
      </c>
      <c r="C6" s="130"/>
      <c r="D6" s="130"/>
      <c r="E6" s="130"/>
      <c r="F6" s="130"/>
      <c r="G6" s="130"/>
      <c r="H6" s="130"/>
      <c r="I6" s="130"/>
      <c r="J6" s="130"/>
      <c r="K6" s="130" t="str">
        <f>IFERROR(VLOOKUP(PesquisadeAlunos,ListadeAlunos[],7,FALSE),"")</f>
        <v>Oliveira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1">
        <f>IFERROR(VLOOKUP(PesquisadeAlunos,ListadeAlunos[],8,FALSE),"")</f>
        <v>1235550134</v>
      </c>
      <c r="X6" s="131"/>
      <c r="Y6" s="131"/>
      <c r="Z6" s="131"/>
      <c r="AA6" s="131"/>
      <c r="AB6" s="131"/>
      <c r="AC6" s="131"/>
      <c r="AD6" s="131"/>
      <c r="AE6" s="131">
        <f>IFERROR(VLOOKUP(PesquisadeAlunos,ListadeAlunos[],9,FALSE),"")</f>
        <v>2345550134</v>
      </c>
      <c r="AF6" s="131"/>
      <c r="AG6" s="131"/>
      <c r="AH6" s="131"/>
      <c r="AI6" s="131"/>
      <c r="AJ6" s="131"/>
      <c r="AK6" s="131"/>
    </row>
    <row r="7" spans="1:37" ht="17.25" customHeight="1" x14ac:dyDescent="0.25">
      <c r="B7" s="129" t="s">
        <v>82</v>
      </c>
      <c r="C7" s="129"/>
      <c r="D7" s="129"/>
      <c r="E7" s="129"/>
      <c r="F7" s="129"/>
      <c r="G7" s="129"/>
      <c r="H7" s="129"/>
      <c r="I7" s="129"/>
      <c r="J7" s="129"/>
      <c r="K7" s="129" t="s">
        <v>48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 t="s">
        <v>49</v>
      </c>
      <c r="X7" s="129"/>
      <c r="Y7" s="129"/>
      <c r="Z7" s="129"/>
      <c r="AA7" s="129"/>
      <c r="AB7" s="129"/>
      <c r="AC7" s="129"/>
      <c r="AD7" s="129"/>
      <c r="AE7" s="129" t="s">
        <v>50</v>
      </c>
      <c r="AF7" s="129"/>
      <c r="AG7" s="129"/>
      <c r="AH7" s="129"/>
      <c r="AI7" s="129"/>
      <c r="AJ7" s="129"/>
      <c r="AK7" s="129"/>
    </row>
    <row r="8" spans="1:37" ht="17.25" customHeight="1" x14ac:dyDescent="0.25">
      <c r="B8" s="130" t="str">
        <f>IFERROR(VLOOKUP(PesquisadeAlunos,ListadeAlunos[],10,FALSE),"")</f>
        <v>Michael Alexander</v>
      </c>
      <c r="C8" s="130"/>
      <c r="D8" s="130"/>
      <c r="E8" s="130"/>
      <c r="F8" s="130"/>
      <c r="G8" s="130"/>
      <c r="H8" s="130"/>
      <c r="I8" s="130"/>
      <c r="J8" s="130"/>
      <c r="K8" s="130" t="str">
        <f>IFERROR(VLOOKUP(PesquisadeAlunos,ListadeAlunos[],11,FALSE),"")</f>
        <v>Pai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1" t="str">
        <f>IFERROR(VLOOKUP(PesquisadeAlunos,ListadeAlunos[],12,FALSE),"")</f>
        <v>(21) 123 45235</v>
      </c>
      <c r="X8" s="131"/>
      <c r="Y8" s="131"/>
      <c r="Z8" s="131"/>
      <c r="AA8" s="131"/>
      <c r="AB8" s="131"/>
      <c r="AC8" s="131"/>
      <c r="AD8" s="131"/>
      <c r="AE8" s="131">
        <f>IFERROR(VLOOKUP(PesquisadeAlunos,ListadeAlunos[],13,FALSE),"")</f>
        <v>2345550134</v>
      </c>
      <c r="AF8" s="131"/>
      <c r="AG8" s="131"/>
      <c r="AH8" s="131"/>
      <c r="AI8" s="131"/>
      <c r="AJ8" s="131"/>
      <c r="AK8" s="131"/>
    </row>
    <row r="9" spans="1:37" ht="17.25" customHeight="1" x14ac:dyDescent="0.25">
      <c r="B9" s="129" t="s">
        <v>51</v>
      </c>
      <c r="C9" s="129"/>
      <c r="D9" s="129"/>
      <c r="E9" s="129"/>
      <c r="F9" s="129"/>
      <c r="G9" s="129"/>
      <c r="H9" s="129"/>
      <c r="I9" s="129"/>
      <c r="J9" s="129"/>
      <c r="K9" s="129" t="s">
        <v>48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 t="s">
        <v>49</v>
      </c>
      <c r="X9" s="129"/>
      <c r="Y9" s="129"/>
      <c r="Z9" s="129"/>
      <c r="AA9" s="129"/>
      <c r="AB9" s="129"/>
      <c r="AC9" s="129"/>
      <c r="AD9" s="129"/>
      <c r="AE9" s="129" t="s">
        <v>50</v>
      </c>
      <c r="AF9" s="129"/>
      <c r="AG9" s="129"/>
      <c r="AH9" s="129"/>
      <c r="AI9" s="129"/>
      <c r="AJ9" s="129"/>
      <c r="AK9" s="129"/>
    </row>
    <row r="10" spans="1:37" ht="17.25" customHeight="1" x14ac:dyDescent="0.25">
      <c r="B10" s="130" t="str">
        <f>IFERROR(VLOOKUP(PesquisadeAlunos,ListadeAlunos[],14,FALSE),"")</f>
        <v>Jordão Moreno</v>
      </c>
      <c r="C10" s="130"/>
      <c r="D10" s="130"/>
      <c r="E10" s="130"/>
      <c r="F10" s="130"/>
      <c r="G10" s="130"/>
      <c r="H10" s="130"/>
      <c r="I10" s="130"/>
      <c r="J10" s="130"/>
      <c r="K10" s="130" t="str">
        <f>IFERROR(VLOOKUP(PesquisadeAlunos,ListadeAlunos[],15,FALSE),"")</f>
        <v>Avô</v>
      </c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1">
        <f>IFERROR(VLOOKUP(PesquisadeAlunos,ListadeAlunos[],16,FALSE),"")</f>
        <v>7895550189</v>
      </c>
      <c r="X10" s="131"/>
      <c r="Y10" s="131"/>
      <c r="Z10" s="131"/>
      <c r="AA10" s="131"/>
      <c r="AB10" s="131"/>
      <c r="AC10" s="131"/>
      <c r="AD10" s="131"/>
      <c r="AE10" s="131">
        <f>IFERROR(VLOOKUP(PesquisadeAlunos,ListadeAlunos[],17,FALSE),"")</f>
        <v>7895550134</v>
      </c>
      <c r="AF10" s="131"/>
      <c r="AG10" s="131"/>
      <c r="AH10" s="131"/>
      <c r="AI10" s="131"/>
      <c r="AJ10" s="131"/>
      <c r="AK10" s="131"/>
    </row>
    <row r="11" spans="1:37" ht="10.5" customHeight="1" x14ac:dyDescent="0.25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</row>
    <row r="12" spans="1:37" ht="15.75" customHeight="1" x14ac:dyDescent="0.3">
      <c r="B12" s="75" t="str">
        <f>Agosto!C3</f>
        <v xml:space="preserve">CHAVE COLORIDA </v>
      </c>
      <c r="C12" s="76" t="str">
        <f>Agosto!D3</f>
        <v>T</v>
      </c>
      <c r="D12" s="75" t="str">
        <f>Agosto!E3</f>
        <v>Atrasado</v>
      </c>
      <c r="E12" s="75"/>
      <c r="F12" s="75"/>
      <c r="G12" s="77" t="str">
        <f>Agosto!H3</f>
        <v>E</v>
      </c>
      <c r="H12" s="75" t="str">
        <f>Agosto!I3</f>
        <v>Dispensado</v>
      </c>
      <c r="I12" s="75"/>
      <c r="J12" s="75"/>
      <c r="K12" s="78" t="str">
        <f>Agosto!L3</f>
        <v>U</v>
      </c>
      <c r="L12" s="75" t="str">
        <f>Agosto!M3</f>
        <v>Não Dispensado</v>
      </c>
      <c r="M12" s="75"/>
      <c r="N12" s="75"/>
      <c r="O12" s="79"/>
      <c r="P12" s="80" t="str">
        <f>Agosto!P3</f>
        <v>P</v>
      </c>
      <c r="Q12" s="75" t="str">
        <f>Agosto!Q3</f>
        <v>Presente</v>
      </c>
      <c r="R12" s="75"/>
      <c r="S12" s="75"/>
      <c r="T12" s="81" t="str">
        <f>Agosto!T3</f>
        <v>N</v>
      </c>
      <c r="U12" s="82" t="str">
        <f>Agosto!U3</f>
        <v>Sem Aula</v>
      </c>
      <c r="V12" s="83"/>
      <c r="W12" s="84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</row>
    <row r="13" spans="1:37" ht="6" customHeight="1" x14ac:dyDescent="0.25"/>
    <row r="14" spans="1:37" ht="16.5" customHeight="1" x14ac:dyDescent="0.25">
      <c r="B14" s="136" t="s">
        <v>88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40" t="s">
        <v>58</v>
      </c>
      <c r="AI14" s="140"/>
      <c r="AJ14" s="140"/>
      <c r="AK14" s="140"/>
    </row>
    <row r="15" spans="1:37" ht="14.25" thickBot="1" x14ac:dyDescent="0.3"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13" t="s">
        <v>37</v>
      </c>
      <c r="AI15" s="114" t="s">
        <v>39</v>
      </c>
      <c r="AJ15" s="115" t="s">
        <v>38</v>
      </c>
      <c r="AK15" s="116" t="s">
        <v>31</v>
      </c>
    </row>
    <row r="16" spans="1:37" ht="14.25" x14ac:dyDescent="0.25">
      <c r="B16" s="141" t="s">
        <v>59</v>
      </c>
      <c r="C16" s="106">
        <v>1</v>
      </c>
      <c r="D16" s="106">
        <v>2</v>
      </c>
      <c r="E16" s="106">
        <v>3</v>
      </c>
      <c r="F16" s="106">
        <v>4</v>
      </c>
      <c r="G16" s="106">
        <v>5</v>
      </c>
      <c r="H16" s="106">
        <v>6</v>
      </c>
      <c r="I16" s="106">
        <v>7</v>
      </c>
      <c r="J16" s="106">
        <v>8</v>
      </c>
      <c r="K16" s="106">
        <v>9</v>
      </c>
      <c r="L16" s="106">
        <v>10</v>
      </c>
      <c r="M16" s="106">
        <v>11</v>
      </c>
      <c r="N16" s="106">
        <v>12</v>
      </c>
      <c r="O16" s="106">
        <v>13</v>
      </c>
      <c r="P16" s="106">
        <v>14</v>
      </c>
      <c r="Q16" s="106">
        <v>15</v>
      </c>
      <c r="R16" s="106">
        <v>16</v>
      </c>
      <c r="S16" s="106">
        <v>17</v>
      </c>
      <c r="T16" s="106">
        <v>18</v>
      </c>
      <c r="U16" s="106">
        <v>19</v>
      </c>
      <c r="V16" s="106">
        <v>20</v>
      </c>
      <c r="W16" s="106">
        <v>21</v>
      </c>
      <c r="X16" s="106">
        <v>22</v>
      </c>
      <c r="Y16" s="106">
        <v>23</v>
      </c>
      <c r="Z16" s="106">
        <v>24</v>
      </c>
      <c r="AA16" s="106">
        <v>25</v>
      </c>
      <c r="AB16" s="106">
        <v>26</v>
      </c>
      <c r="AC16" s="106">
        <v>27</v>
      </c>
      <c r="AD16" s="106">
        <v>28</v>
      </c>
      <c r="AE16" s="106">
        <v>29</v>
      </c>
      <c r="AF16" s="106">
        <v>30</v>
      </c>
      <c r="AG16" s="106">
        <v>31</v>
      </c>
      <c r="AH16" s="143">
        <f>COUNTIF($D17:$AH17,Código1)</f>
        <v>2</v>
      </c>
      <c r="AI16" s="143">
        <f>COUNTIF($D17:$AH17,Código2)</f>
        <v>1</v>
      </c>
      <c r="AJ16" s="143">
        <f>COUNTIF($D17:$AH17,Código3)</f>
        <v>0</v>
      </c>
      <c r="AK16" s="143">
        <f>COUNTIF($D17:$AH17,Código4)</f>
        <v>19</v>
      </c>
    </row>
    <row r="17" spans="2:37" ht="14.25" x14ac:dyDescent="0.25">
      <c r="B17" s="142"/>
      <c r="C17" s="107" t="str">
        <f>IFERROR(VLOOKUP(PesquisadeAlunos,PresençaemAgosto[],3,FALSE),"")</f>
        <v>P</v>
      </c>
      <c r="D17" s="107" t="str">
        <f>IFERROR(VLOOKUP(PesquisadeAlunos,PresençaemAgosto[],4,FALSE),"")</f>
        <v>P</v>
      </c>
      <c r="E17" s="107" t="str">
        <f>IFERROR(VLOOKUP(PesquisadeAlunos,PresençaemAgosto[],5,FALSE),"")</f>
        <v>T</v>
      </c>
      <c r="F17" s="107" t="str">
        <f>IFERROR(VLOOKUP(PesquisadeAlunos,PresençaemAgosto[],6,FALSE),"")</f>
        <v>T</v>
      </c>
      <c r="G17" s="107" t="str">
        <f>IFERROR(VLOOKUP(PesquisadeAlunos,PresençaemAgosto[],7,FALSE),"")</f>
        <v>P</v>
      </c>
      <c r="H17" s="107" t="str">
        <f>IFERROR(VLOOKUP(PesquisadeAlunos,PresençaemAgosto[],8,FALSE),"")</f>
        <v>N</v>
      </c>
      <c r="I17" s="107" t="str">
        <f>IFERROR(VLOOKUP(PesquisadeAlunos,PresençaemAgosto[],9,FALSE),"")</f>
        <v>N</v>
      </c>
      <c r="J17" s="107" t="str">
        <f>IFERROR(VLOOKUP(PesquisadeAlunos,PresençaemAgosto[],10,FALSE),"")</f>
        <v>P</v>
      </c>
      <c r="K17" s="107" t="str">
        <f>IFERROR(VLOOKUP(PesquisadeAlunos,PresençaemAgosto[],11,FALSE),"")</f>
        <v>P</v>
      </c>
      <c r="L17" s="107" t="str">
        <f>IFERROR(VLOOKUP(PesquisadeAlunos,PresençaemAgosto[],12,FALSE),"")</f>
        <v>E</v>
      </c>
      <c r="M17" s="107" t="str">
        <f>IFERROR(VLOOKUP(PesquisadeAlunos,PresençaemAgosto[],13,FALSE),"")</f>
        <v>P</v>
      </c>
      <c r="N17" s="107" t="str">
        <f>IFERROR(VLOOKUP(PesquisadeAlunos,PresençaemAgosto[],14,FALSE),"")</f>
        <v>P</v>
      </c>
      <c r="O17" s="107" t="str">
        <f>IFERROR(VLOOKUP(PesquisadeAlunos,PresençaemAgosto[],15,FALSE),"")</f>
        <v>N</v>
      </c>
      <c r="P17" s="107" t="str">
        <f>IFERROR(VLOOKUP(PesquisadeAlunos,PresençaemAgosto[],16,FALSE),"")</f>
        <v>N</v>
      </c>
      <c r="Q17" s="107" t="str">
        <f>IFERROR(VLOOKUP(PesquisadeAlunos,PresençaemAgosto[],17,FALSE),"")</f>
        <v>P</v>
      </c>
      <c r="R17" s="107" t="str">
        <f>IFERROR(VLOOKUP(PesquisadeAlunos,PresençaemAgosto[],18,FALSE),"")</f>
        <v>P</v>
      </c>
      <c r="S17" s="107" t="str">
        <f>IFERROR(VLOOKUP(PesquisadeAlunos,PresençaemAgosto[],19,FALSE),"")</f>
        <v>P</v>
      </c>
      <c r="T17" s="107" t="str">
        <f>IFERROR(VLOOKUP(PesquisadeAlunos,PresençaemAgosto[],20,FALSE),"")</f>
        <v>P</v>
      </c>
      <c r="U17" s="107" t="str">
        <f>IFERROR(VLOOKUP(PesquisadeAlunos,PresençaemAgosto[],21,FALSE),"")</f>
        <v>P</v>
      </c>
      <c r="V17" s="107" t="str">
        <f>IFERROR(VLOOKUP(PesquisadeAlunos,PresençaemAgosto[],22,FALSE),"")</f>
        <v>N</v>
      </c>
      <c r="W17" s="107" t="str">
        <f>IFERROR(VLOOKUP(PesquisadeAlunos,PresençaemAgosto[],23,FALSE),"")</f>
        <v>N</v>
      </c>
      <c r="X17" s="107" t="str">
        <f>IFERROR(VLOOKUP(PesquisadeAlunos,PresençaemAgosto[],24,FALSE),"")</f>
        <v>P</v>
      </c>
      <c r="Y17" s="107" t="str">
        <f>IFERROR(VLOOKUP(PesquisadeAlunos,PresençaemAgosto[],25,FALSE),"")</f>
        <v>P</v>
      </c>
      <c r="Z17" s="107" t="str">
        <f>IFERROR(VLOOKUP(PesquisadeAlunos,PresençaemAgosto[],26,FALSE),"")</f>
        <v>P</v>
      </c>
      <c r="AA17" s="107" t="str">
        <f>IFERROR(VLOOKUP(PesquisadeAlunos,PresençaemAgosto[],27,FALSE),"")</f>
        <v>P</v>
      </c>
      <c r="AB17" s="107" t="str">
        <f>IFERROR(VLOOKUP(PesquisadeAlunos,PresençaemAgosto[],28,FALSE),"")</f>
        <v>P</v>
      </c>
      <c r="AC17" s="107" t="str">
        <f>IFERROR(VLOOKUP(PesquisadeAlunos,PresençaemAgosto[],29,FALSE),"")</f>
        <v>N</v>
      </c>
      <c r="AD17" s="107" t="str">
        <f>IFERROR(VLOOKUP(PesquisadeAlunos,PresençaemAgosto[],30,FALSE),"")</f>
        <v>N</v>
      </c>
      <c r="AE17" s="107" t="str">
        <f>IFERROR(VLOOKUP(PesquisadeAlunos,PresençaemAgosto[],31,FALSE),"")</f>
        <v>P</v>
      </c>
      <c r="AF17" s="107" t="str">
        <f>IFERROR(VLOOKUP(PesquisadeAlunos,PresençaemAgosto[],32,FALSE),"")</f>
        <v>P</v>
      </c>
      <c r="AG17" s="107" t="str">
        <f>IFERROR(VLOOKUP(PesquisadeAlunos,PresençaemAgosto[],33,FALSE),"")</f>
        <v>P</v>
      </c>
      <c r="AH17" s="144"/>
      <c r="AI17" s="144"/>
      <c r="AJ17" s="144"/>
      <c r="AK17" s="144"/>
    </row>
    <row r="18" spans="2:37" ht="14.25" x14ac:dyDescent="0.25">
      <c r="B18" s="142" t="s">
        <v>60</v>
      </c>
      <c r="C18" s="108">
        <v>1</v>
      </c>
      <c r="D18" s="108">
        <v>2</v>
      </c>
      <c r="E18" s="108">
        <v>3</v>
      </c>
      <c r="F18" s="108">
        <v>4</v>
      </c>
      <c r="G18" s="108">
        <v>5</v>
      </c>
      <c r="H18" s="108">
        <v>6</v>
      </c>
      <c r="I18" s="108">
        <v>7</v>
      </c>
      <c r="J18" s="108">
        <v>8</v>
      </c>
      <c r="K18" s="108">
        <v>9</v>
      </c>
      <c r="L18" s="108">
        <v>10</v>
      </c>
      <c r="M18" s="108">
        <v>11</v>
      </c>
      <c r="N18" s="108">
        <v>12</v>
      </c>
      <c r="O18" s="108">
        <v>13</v>
      </c>
      <c r="P18" s="108">
        <v>14</v>
      </c>
      <c r="Q18" s="108">
        <v>15</v>
      </c>
      <c r="R18" s="108">
        <v>16</v>
      </c>
      <c r="S18" s="108">
        <v>17</v>
      </c>
      <c r="T18" s="108">
        <v>18</v>
      </c>
      <c r="U18" s="108">
        <v>19</v>
      </c>
      <c r="V18" s="108">
        <v>20</v>
      </c>
      <c r="W18" s="108">
        <v>21</v>
      </c>
      <c r="X18" s="108">
        <v>22</v>
      </c>
      <c r="Y18" s="108">
        <v>23</v>
      </c>
      <c r="Z18" s="108">
        <v>24</v>
      </c>
      <c r="AA18" s="108">
        <v>25</v>
      </c>
      <c r="AB18" s="108">
        <v>26</v>
      </c>
      <c r="AC18" s="108">
        <v>27</v>
      </c>
      <c r="AD18" s="108">
        <v>28</v>
      </c>
      <c r="AE18" s="108">
        <v>29</v>
      </c>
      <c r="AF18" s="108">
        <v>30</v>
      </c>
      <c r="AG18" s="108"/>
      <c r="AH18" s="144">
        <f>COUNTIF($D19:$AH19,Código1)</f>
        <v>0</v>
      </c>
      <c r="AI18" s="144">
        <f>COUNTIF($D19:$AH19,Código2)</f>
        <v>0</v>
      </c>
      <c r="AJ18" s="144">
        <f>COUNTIF($D19:$AH19,Código3)</f>
        <v>0</v>
      </c>
      <c r="AK18" s="144">
        <f>COUNTIF($D19:$AH19,Código4)</f>
        <v>0</v>
      </c>
    </row>
    <row r="19" spans="2:37" ht="14.25" x14ac:dyDescent="0.25">
      <c r="B19" s="142"/>
      <c r="C19" s="107" t="str">
        <f>IFERROR(VLOOKUP(PesquisadeAlunos,PresençaemSetembro[],3,FALSE),"")</f>
        <v/>
      </c>
      <c r="D19" s="107" t="str">
        <f>IFERROR(VLOOKUP(PesquisadeAlunos,PresençaemSetembro[],4,FALSE),"")</f>
        <v/>
      </c>
      <c r="E19" s="107" t="str">
        <f>IFERROR(VLOOKUP(PesquisadeAlunos,PresençaemSetembro[],5,FALSE),"")</f>
        <v/>
      </c>
      <c r="F19" s="107" t="str">
        <f>IFERROR(VLOOKUP(PesquisadeAlunos,PresençaemSetembro[],6,FALSE),"")</f>
        <v/>
      </c>
      <c r="G19" s="107" t="str">
        <f>IFERROR(VLOOKUP(PesquisadeAlunos,PresençaemSetembro[],7,FALSE),"")</f>
        <v/>
      </c>
      <c r="H19" s="107" t="str">
        <f>IFERROR(VLOOKUP(PesquisadeAlunos,PresençaemSetembro[],8,FALSE),"")</f>
        <v/>
      </c>
      <c r="I19" s="107" t="str">
        <f>IFERROR(VLOOKUP(PesquisadeAlunos,PresençaemSetembro[],9,FALSE),"")</f>
        <v/>
      </c>
      <c r="J19" s="107" t="str">
        <f>IFERROR(VLOOKUP(PesquisadeAlunos,PresençaemSetembro[],10,FALSE),"")</f>
        <v/>
      </c>
      <c r="K19" s="107" t="str">
        <f>IFERROR(VLOOKUP(PesquisadeAlunos,PresençaemSetembro[],11,FALSE),"")</f>
        <v/>
      </c>
      <c r="L19" s="107" t="str">
        <f>IFERROR(VLOOKUP(PesquisadeAlunos,PresençaemSetembro[],12,FALSE),"")</f>
        <v/>
      </c>
      <c r="M19" s="107" t="str">
        <f>IFERROR(VLOOKUP(PesquisadeAlunos,PresençaemSetembro[],13,FALSE),"")</f>
        <v/>
      </c>
      <c r="N19" s="107" t="str">
        <f>IFERROR(VLOOKUP(PesquisadeAlunos,PresençaemSetembro[],14,FALSE),"")</f>
        <v/>
      </c>
      <c r="O19" s="107" t="str">
        <f>IFERROR(VLOOKUP(PesquisadeAlunos,PresençaemSetembro[],15,FALSE),"")</f>
        <v/>
      </c>
      <c r="P19" s="107" t="str">
        <f>IFERROR(VLOOKUP(PesquisadeAlunos,PresençaemSetembro[],16,FALSE),"")</f>
        <v/>
      </c>
      <c r="Q19" s="107" t="str">
        <f>IFERROR(VLOOKUP(PesquisadeAlunos,PresençaemSetembro[],17,FALSE),"")</f>
        <v/>
      </c>
      <c r="R19" s="107" t="str">
        <f>IFERROR(VLOOKUP(PesquisadeAlunos,PresençaemSetembro[],18,FALSE),"")</f>
        <v/>
      </c>
      <c r="S19" s="107" t="str">
        <f>IFERROR(VLOOKUP(PesquisadeAlunos,PresençaemSetembro[],19,FALSE),"")</f>
        <v/>
      </c>
      <c r="T19" s="107" t="str">
        <f>IFERROR(VLOOKUP(PesquisadeAlunos,PresençaemSetembro[],20,FALSE),"")</f>
        <v/>
      </c>
      <c r="U19" s="107" t="str">
        <f>IFERROR(VLOOKUP(PesquisadeAlunos,PresençaemSetembro[],21,FALSE),"")</f>
        <v/>
      </c>
      <c r="V19" s="107" t="str">
        <f>IFERROR(VLOOKUP(PesquisadeAlunos,PresençaemSetembro[],22,FALSE),"")</f>
        <v/>
      </c>
      <c r="W19" s="107" t="str">
        <f>IFERROR(VLOOKUP(PesquisadeAlunos,PresençaemSetembro[],23,FALSE),"")</f>
        <v/>
      </c>
      <c r="X19" s="107" t="str">
        <f>IFERROR(VLOOKUP(PesquisadeAlunos,PresençaemSetembro[],24,FALSE),"")</f>
        <v/>
      </c>
      <c r="Y19" s="107" t="str">
        <f>IFERROR(VLOOKUP(PesquisadeAlunos,PresençaemSetembro[],25,FALSE),"")</f>
        <v/>
      </c>
      <c r="Z19" s="107" t="str">
        <f>IFERROR(VLOOKUP(PesquisadeAlunos,PresençaemSetembro[],26,FALSE),"")</f>
        <v/>
      </c>
      <c r="AA19" s="107" t="str">
        <f>IFERROR(VLOOKUP(PesquisadeAlunos,PresençaemSetembro[],27,FALSE),"")</f>
        <v/>
      </c>
      <c r="AB19" s="107" t="str">
        <f>IFERROR(VLOOKUP(PesquisadeAlunos,PresençaemSetembro[],28,FALSE),"")</f>
        <v/>
      </c>
      <c r="AC19" s="107" t="str">
        <f>IFERROR(VLOOKUP(PesquisadeAlunos,PresençaemSetembro[],29,FALSE),"")</f>
        <v/>
      </c>
      <c r="AD19" s="107" t="str">
        <f>IFERROR(VLOOKUP(PesquisadeAlunos,PresençaemSetembro[],30,FALSE),"")</f>
        <v/>
      </c>
      <c r="AE19" s="107" t="str">
        <f>IFERROR(VLOOKUP(PesquisadeAlunos,PresençaemSetembro[],31,FALSE),"")</f>
        <v/>
      </c>
      <c r="AF19" s="107" t="str">
        <f>IFERROR(VLOOKUP(PesquisadeAlunos,PresençaemSetembro[],32,FALSE),"")</f>
        <v/>
      </c>
      <c r="AG19" s="107"/>
      <c r="AH19" s="144"/>
      <c r="AI19" s="144"/>
      <c r="AJ19" s="144"/>
      <c r="AK19" s="144"/>
    </row>
    <row r="20" spans="2:37" ht="14.25" x14ac:dyDescent="0.25">
      <c r="B20" s="142" t="s">
        <v>61</v>
      </c>
      <c r="C20" s="108">
        <v>1</v>
      </c>
      <c r="D20" s="108">
        <v>2</v>
      </c>
      <c r="E20" s="108">
        <v>3</v>
      </c>
      <c r="F20" s="108">
        <v>4</v>
      </c>
      <c r="G20" s="108">
        <v>5</v>
      </c>
      <c r="H20" s="108">
        <v>6</v>
      </c>
      <c r="I20" s="108">
        <v>7</v>
      </c>
      <c r="J20" s="108">
        <v>8</v>
      </c>
      <c r="K20" s="108">
        <v>9</v>
      </c>
      <c r="L20" s="108">
        <v>10</v>
      </c>
      <c r="M20" s="108">
        <v>11</v>
      </c>
      <c r="N20" s="108">
        <v>12</v>
      </c>
      <c r="O20" s="108">
        <v>13</v>
      </c>
      <c r="P20" s="108">
        <v>14</v>
      </c>
      <c r="Q20" s="108">
        <v>15</v>
      </c>
      <c r="R20" s="108">
        <v>16</v>
      </c>
      <c r="S20" s="108">
        <v>17</v>
      </c>
      <c r="T20" s="108">
        <v>18</v>
      </c>
      <c r="U20" s="108">
        <v>19</v>
      </c>
      <c r="V20" s="108">
        <v>20</v>
      </c>
      <c r="W20" s="108">
        <v>21</v>
      </c>
      <c r="X20" s="108">
        <v>22</v>
      </c>
      <c r="Y20" s="108">
        <v>23</v>
      </c>
      <c r="Z20" s="108">
        <v>24</v>
      </c>
      <c r="AA20" s="108">
        <v>25</v>
      </c>
      <c r="AB20" s="108">
        <v>26</v>
      </c>
      <c r="AC20" s="108">
        <v>27</v>
      </c>
      <c r="AD20" s="108">
        <v>28</v>
      </c>
      <c r="AE20" s="108">
        <v>29</v>
      </c>
      <c r="AF20" s="108">
        <v>30</v>
      </c>
      <c r="AG20" s="108">
        <v>31</v>
      </c>
      <c r="AH20" s="144">
        <f>COUNTIF($D21:$AH21,Código1)</f>
        <v>0</v>
      </c>
      <c r="AI20" s="144">
        <f>COUNTIF($D21:$AH21,Código2)</f>
        <v>0</v>
      </c>
      <c r="AJ20" s="144">
        <f>COUNTIF($D21:$AH21,Código3)</f>
        <v>0</v>
      </c>
      <c r="AK20" s="144">
        <f>COUNTIF($D21:$AH21,Código4)</f>
        <v>0</v>
      </c>
    </row>
    <row r="21" spans="2:37" ht="14.25" x14ac:dyDescent="0.25">
      <c r="B21" s="142"/>
      <c r="C21" s="107" t="str">
        <f>IFERROR(VLOOKUP(PesquisadeAlunos,PresençaemOutubro[],3,FALSE),"")</f>
        <v/>
      </c>
      <c r="D21" s="107" t="str">
        <f>IFERROR(VLOOKUP(PesquisadeAlunos,PresençaemOutubro[],4,FALSE),"")</f>
        <v/>
      </c>
      <c r="E21" s="107" t="str">
        <f>IFERROR(VLOOKUP(PesquisadeAlunos,PresençaemOutubro[],5,FALSE),"")</f>
        <v/>
      </c>
      <c r="F21" s="107" t="str">
        <f>IFERROR(VLOOKUP(PesquisadeAlunos,PresençaemOutubro[],6,FALSE),"")</f>
        <v/>
      </c>
      <c r="G21" s="107" t="str">
        <f>IFERROR(VLOOKUP(PesquisadeAlunos,PresençaemOutubro[],7,FALSE),"")</f>
        <v/>
      </c>
      <c r="H21" s="107" t="str">
        <f>IFERROR(VLOOKUP(PesquisadeAlunos,PresençaemOutubro[],8,FALSE),"")</f>
        <v/>
      </c>
      <c r="I21" s="107" t="str">
        <f>IFERROR(VLOOKUP(PesquisadeAlunos,PresençaemOutubro[],9,FALSE),"")</f>
        <v/>
      </c>
      <c r="J21" s="107" t="str">
        <f>IFERROR(VLOOKUP(PesquisadeAlunos,PresençaemOutubro[],10,FALSE),"")</f>
        <v/>
      </c>
      <c r="K21" s="107" t="str">
        <f>IFERROR(VLOOKUP(PesquisadeAlunos,PresençaemOutubro[],11,FALSE),"")</f>
        <v/>
      </c>
      <c r="L21" s="107" t="str">
        <f>IFERROR(VLOOKUP(PesquisadeAlunos,PresençaemOutubro[],12,FALSE),"")</f>
        <v/>
      </c>
      <c r="M21" s="107" t="str">
        <f>IFERROR(VLOOKUP(PesquisadeAlunos,PresençaemOutubro[],13,FALSE),"")</f>
        <v/>
      </c>
      <c r="N21" s="107" t="str">
        <f>IFERROR(VLOOKUP(PesquisadeAlunos,PresençaemOutubro[],14,FALSE),"")</f>
        <v/>
      </c>
      <c r="O21" s="107" t="str">
        <f>IFERROR(VLOOKUP(PesquisadeAlunos,PresençaemOutubro[],15,FALSE),"")</f>
        <v/>
      </c>
      <c r="P21" s="107" t="str">
        <f>IFERROR(VLOOKUP(PesquisadeAlunos,PresençaemOutubro[],16,FALSE),"")</f>
        <v/>
      </c>
      <c r="Q21" s="107" t="str">
        <f>IFERROR(VLOOKUP(PesquisadeAlunos,PresençaemOutubro[],17,FALSE),"")</f>
        <v/>
      </c>
      <c r="R21" s="107" t="str">
        <f>IFERROR(VLOOKUP(PesquisadeAlunos,PresençaemOutubro[],18,FALSE),"")</f>
        <v/>
      </c>
      <c r="S21" s="107" t="str">
        <f>IFERROR(VLOOKUP(PesquisadeAlunos,PresençaemOutubro[],19,FALSE),"")</f>
        <v/>
      </c>
      <c r="T21" s="107" t="str">
        <f>IFERROR(VLOOKUP(PesquisadeAlunos,PresençaemOutubro[],20,FALSE),"")</f>
        <v/>
      </c>
      <c r="U21" s="107" t="str">
        <f>IFERROR(VLOOKUP(PesquisadeAlunos,PresençaemOutubro[],21,FALSE),"")</f>
        <v/>
      </c>
      <c r="V21" s="107" t="str">
        <f>IFERROR(VLOOKUP(PesquisadeAlunos,PresençaemOutubro[],22,FALSE),"")</f>
        <v/>
      </c>
      <c r="W21" s="107" t="str">
        <f>IFERROR(VLOOKUP(PesquisadeAlunos,PresençaemOutubro[],23,FALSE),"")</f>
        <v/>
      </c>
      <c r="X21" s="107" t="str">
        <f>IFERROR(VLOOKUP(PesquisadeAlunos,PresençaemOutubro[],24,FALSE),"")</f>
        <v/>
      </c>
      <c r="Y21" s="107" t="str">
        <f>IFERROR(VLOOKUP(PesquisadeAlunos,PresençaemOutubro[],25,FALSE),"")</f>
        <v/>
      </c>
      <c r="Z21" s="107" t="str">
        <f>IFERROR(VLOOKUP(PesquisadeAlunos,PresençaemOutubro[],26,FALSE),"")</f>
        <v/>
      </c>
      <c r="AA21" s="107" t="str">
        <f>IFERROR(VLOOKUP(PesquisadeAlunos,PresençaemOutubro[],27,FALSE),"")</f>
        <v/>
      </c>
      <c r="AB21" s="107" t="str">
        <f>IFERROR(VLOOKUP(PesquisadeAlunos,PresençaemOutubro[],28,FALSE),"")</f>
        <v/>
      </c>
      <c r="AC21" s="107" t="str">
        <f>IFERROR(VLOOKUP(PesquisadeAlunos,PresençaemOutubro[],29,FALSE),"")</f>
        <v/>
      </c>
      <c r="AD21" s="107" t="str">
        <f>IFERROR(VLOOKUP(PesquisadeAlunos,PresençaemOutubro[],30,FALSE),"")</f>
        <v/>
      </c>
      <c r="AE21" s="107" t="str">
        <f>IFERROR(VLOOKUP(PesquisadeAlunos,PresençaemOutubro[],31,FALSE),"")</f>
        <v/>
      </c>
      <c r="AF21" s="107" t="str">
        <f>IFERROR(VLOOKUP(PesquisadeAlunos,PresençaemOutubro[],32,FALSE),"")</f>
        <v/>
      </c>
      <c r="AG21" s="107" t="str">
        <f>IFERROR(VLOOKUP(PesquisadeAlunos,PresençaemOutubro[],33,FALSE),"")</f>
        <v/>
      </c>
      <c r="AH21" s="144"/>
      <c r="AI21" s="144"/>
      <c r="AJ21" s="144"/>
      <c r="AK21" s="144"/>
    </row>
    <row r="22" spans="2:37" ht="14.25" x14ac:dyDescent="0.25">
      <c r="B22" s="142" t="s">
        <v>62</v>
      </c>
      <c r="C22" s="108">
        <v>1</v>
      </c>
      <c r="D22" s="108">
        <v>2</v>
      </c>
      <c r="E22" s="108">
        <v>3</v>
      </c>
      <c r="F22" s="108">
        <v>4</v>
      </c>
      <c r="G22" s="108">
        <v>5</v>
      </c>
      <c r="H22" s="108">
        <v>6</v>
      </c>
      <c r="I22" s="108">
        <v>7</v>
      </c>
      <c r="J22" s="108">
        <v>8</v>
      </c>
      <c r="K22" s="108">
        <v>9</v>
      </c>
      <c r="L22" s="108">
        <v>10</v>
      </c>
      <c r="M22" s="108">
        <v>11</v>
      </c>
      <c r="N22" s="108">
        <v>12</v>
      </c>
      <c r="O22" s="108">
        <v>13</v>
      </c>
      <c r="P22" s="108">
        <v>14</v>
      </c>
      <c r="Q22" s="108">
        <v>15</v>
      </c>
      <c r="R22" s="108">
        <v>16</v>
      </c>
      <c r="S22" s="108">
        <v>17</v>
      </c>
      <c r="T22" s="108">
        <v>18</v>
      </c>
      <c r="U22" s="108">
        <v>19</v>
      </c>
      <c r="V22" s="108">
        <v>20</v>
      </c>
      <c r="W22" s="108">
        <v>21</v>
      </c>
      <c r="X22" s="108">
        <v>22</v>
      </c>
      <c r="Y22" s="108">
        <v>23</v>
      </c>
      <c r="Z22" s="108">
        <v>24</v>
      </c>
      <c r="AA22" s="108">
        <v>25</v>
      </c>
      <c r="AB22" s="108">
        <v>26</v>
      </c>
      <c r="AC22" s="108">
        <v>27</v>
      </c>
      <c r="AD22" s="108">
        <v>28</v>
      </c>
      <c r="AE22" s="108">
        <v>29</v>
      </c>
      <c r="AF22" s="108">
        <v>30</v>
      </c>
      <c r="AG22" s="108"/>
      <c r="AH22" s="144">
        <f>COUNTIF($D23:$AH23,Código1)</f>
        <v>0</v>
      </c>
      <c r="AI22" s="144">
        <f>COUNTIF($D23:$AH23,Código2)</f>
        <v>0</v>
      </c>
      <c r="AJ22" s="144">
        <f>COUNTIF($D23:$AH23,Código3)</f>
        <v>0</v>
      </c>
      <c r="AK22" s="144">
        <f>COUNTIF($D23:$AH23,Código4)</f>
        <v>0</v>
      </c>
    </row>
    <row r="23" spans="2:37" ht="14.25" x14ac:dyDescent="0.25">
      <c r="B23" s="142"/>
      <c r="C23" s="107" t="str">
        <f>IFERROR(VLOOKUP(PesquisadeAlunos,PresençaemNovembro[],3,FALSE),"")</f>
        <v/>
      </c>
      <c r="D23" s="107" t="str">
        <f>IFERROR(VLOOKUP(PesquisadeAlunos,PresençaemNovembro[],4,FALSE),"")</f>
        <v/>
      </c>
      <c r="E23" s="107" t="str">
        <f>IFERROR(VLOOKUP(PesquisadeAlunos,PresençaemNovembro[],5,FALSE),"")</f>
        <v/>
      </c>
      <c r="F23" s="107" t="str">
        <f>IFERROR(VLOOKUP(PesquisadeAlunos,PresençaemNovembro[],6,FALSE),"")</f>
        <v/>
      </c>
      <c r="G23" s="107" t="str">
        <f>IFERROR(VLOOKUP(PesquisadeAlunos,PresençaemNovembro[],7,FALSE),"")</f>
        <v/>
      </c>
      <c r="H23" s="107" t="str">
        <f>IFERROR(VLOOKUP(PesquisadeAlunos,PresençaemNovembro[],8,FALSE),"")</f>
        <v/>
      </c>
      <c r="I23" s="107" t="str">
        <f>IFERROR(VLOOKUP(PesquisadeAlunos,PresençaemNovembro[],9,FALSE),"")</f>
        <v/>
      </c>
      <c r="J23" s="107" t="str">
        <f>IFERROR(VLOOKUP(PesquisadeAlunos,PresençaemNovembro[],10,FALSE),"")</f>
        <v/>
      </c>
      <c r="K23" s="107" t="str">
        <f>IFERROR(VLOOKUP(PesquisadeAlunos,PresençaemNovembro[],11,FALSE),"")</f>
        <v/>
      </c>
      <c r="L23" s="107" t="str">
        <f>IFERROR(VLOOKUP(PesquisadeAlunos,PresençaemNovembro[],12,FALSE),"")</f>
        <v/>
      </c>
      <c r="M23" s="107" t="str">
        <f>IFERROR(VLOOKUP(PesquisadeAlunos,PresençaemNovembro[],13,FALSE),"")</f>
        <v/>
      </c>
      <c r="N23" s="107" t="str">
        <f>IFERROR(VLOOKUP(PesquisadeAlunos,PresençaemNovembro[],14,FALSE),"")</f>
        <v/>
      </c>
      <c r="O23" s="107" t="str">
        <f>IFERROR(VLOOKUP(PesquisadeAlunos,PresençaemNovembro[],15,FALSE),"")</f>
        <v/>
      </c>
      <c r="P23" s="107" t="str">
        <f>IFERROR(VLOOKUP(PesquisadeAlunos,PresençaemNovembro[],16,FALSE),"")</f>
        <v/>
      </c>
      <c r="Q23" s="107" t="str">
        <f>IFERROR(VLOOKUP(PesquisadeAlunos,PresençaemNovembro[],17,FALSE),"")</f>
        <v/>
      </c>
      <c r="R23" s="107" t="str">
        <f>IFERROR(VLOOKUP(PesquisadeAlunos,PresençaemNovembro[],18,FALSE),"")</f>
        <v/>
      </c>
      <c r="S23" s="107" t="str">
        <f>IFERROR(VLOOKUP(PesquisadeAlunos,PresençaemNovembro[],19,FALSE),"")</f>
        <v/>
      </c>
      <c r="T23" s="107" t="str">
        <f>IFERROR(VLOOKUP(PesquisadeAlunos,PresençaemNovembro[],20,FALSE),"")</f>
        <v/>
      </c>
      <c r="U23" s="107" t="str">
        <f>IFERROR(VLOOKUP(PesquisadeAlunos,PresençaemNovembro[],21,FALSE),"")</f>
        <v/>
      </c>
      <c r="V23" s="107" t="str">
        <f>IFERROR(VLOOKUP(PesquisadeAlunos,PresençaemNovembro[],22,FALSE),"")</f>
        <v/>
      </c>
      <c r="W23" s="107" t="str">
        <f>IFERROR(VLOOKUP(PesquisadeAlunos,PresençaemNovembro[],23,FALSE),"")</f>
        <v/>
      </c>
      <c r="X23" s="107" t="str">
        <f>IFERROR(VLOOKUP(PesquisadeAlunos,PresençaemNovembro[],24,FALSE),"")</f>
        <v/>
      </c>
      <c r="Y23" s="107" t="str">
        <f>IFERROR(VLOOKUP(PesquisadeAlunos,PresençaemNovembro[],25,FALSE),"")</f>
        <v/>
      </c>
      <c r="Z23" s="107" t="str">
        <f>IFERROR(VLOOKUP(PesquisadeAlunos,PresençaemNovembro[],26,FALSE),"")</f>
        <v/>
      </c>
      <c r="AA23" s="107" t="str">
        <f>IFERROR(VLOOKUP(PesquisadeAlunos,PresençaemNovembro[],27,FALSE),"")</f>
        <v/>
      </c>
      <c r="AB23" s="107" t="str">
        <f>IFERROR(VLOOKUP(PesquisadeAlunos,PresençaemNovembro[],28,FALSE),"")</f>
        <v/>
      </c>
      <c r="AC23" s="107" t="str">
        <f>IFERROR(VLOOKUP(PesquisadeAlunos,PresençaemNovembro[],29,FALSE),"")</f>
        <v/>
      </c>
      <c r="AD23" s="107" t="str">
        <f>IFERROR(VLOOKUP(PesquisadeAlunos,PresençaemNovembro[],30,FALSE),"")</f>
        <v/>
      </c>
      <c r="AE23" s="107" t="str">
        <f>IFERROR(VLOOKUP(PesquisadeAlunos,PresençaemNovembro[],31,FALSE),"")</f>
        <v/>
      </c>
      <c r="AF23" s="107" t="str">
        <f>IFERROR(VLOOKUP(PesquisadeAlunos,PresençaemNovembro[],32,FALSE),"")</f>
        <v/>
      </c>
      <c r="AG23" s="107"/>
      <c r="AH23" s="144"/>
      <c r="AI23" s="144"/>
      <c r="AJ23" s="144"/>
      <c r="AK23" s="144"/>
    </row>
    <row r="24" spans="2:37" ht="14.25" x14ac:dyDescent="0.25">
      <c r="B24" s="142" t="s">
        <v>63</v>
      </c>
      <c r="C24" s="108">
        <v>1</v>
      </c>
      <c r="D24" s="108">
        <v>2</v>
      </c>
      <c r="E24" s="108">
        <v>3</v>
      </c>
      <c r="F24" s="108">
        <v>4</v>
      </c>
      <c r="G24" s="108">
        <v>5</v>
      </c>
      <c r="H24" s="108">
        <v>6</v>
      </c>
      <c r="I24" s="108">
        <v>7</v>
      </c>
      <c r="J24" s="108">
        <v>8</v>
      </c>
      <c r="K24" s="108">
        <v>9</v>
      </c>
      <c r="L24" s="108">
        <v>10</v>
      </c>
      <c r="M24" s="108">
        <v>11</v>
      </c>
      <c r="N24" s="108">
        <v>12</v>
      </c>
      <c r="O24" s="108">
        <v>13</v>
      </c>
      <c r="P24" s="108">
        <v>14</v>
      </c>
      <c r="Q24" s="108">
        <v>15</v>
      </c>
      <c r="R24" s="108">
        <v>16</v>
      </c>
      <c r="S24" s="108">
        <v>17</v>
      </c>
      <c r="T24" s="108">
        <v>18</v>
      </c>
      <c r="U24" s="108">
        <v>19</v>
      </c>
      <c r="V24" s="108">
        <v>20</v>
      </c>
      <c r="W24" s="108">
        <v>21</v>
      </c>
      <c r="X24" s="108">
        <v>22</v>
      </c>
      <c r="Y24" s="108">
        <v>23</v>
      </c>
      <c r="Z24" s="108">
        <v>24</v>
      </c>
      <c r="AA24" s="108">
        <v>25</v>
      </c>
      <c r="AB24" s="108">
        <v>26</v>
      </c>
      <c r="AC24" s="108">
        <v>27</v>
      </c>
      <c r="AD24" s="108">
        <v>28</v>
      </c>
      <c r="AE24" s="108">
        <v>29</v>
      </c>
      <c r="AF24" s="108">
        <v>30</v>
      </c>
      <c r="AG24" s="108">
        <v>31</v>
      </c>
      <c r="AH24" s="144">
        <f>COUNTIF($D25:$AH25,Código1)</f>
        <v>0</v>
      </c>
      <c r="AI24" s="144">
        <f>COUNTIF($D25:$AH25,Código2)</f>
        <v>0</v>
      </c>
      <c r="AJ24" s="144">
        <f>COUNTIF($D25:$AH25,Código3)</f>
        <v>0</v>
      </c>
      <c r="AK24" s="144">
        <f>COUNTIF($D25:$AH25,Código4)</f>
        <v>0</v>
      </c>
    </row>
    <row r="25" spans="2:37" ht="14.25" x14ac:dyDescent="0.25">
      <c r="B25" s="142"/>
      <c r="C25" s="107" t="str">
        <f>IFERROR(VLOOKUP(PesquisadeAlunos,PresençaemDezembro[],3,FALSE),"")</f>
        <v/>
      </c>
      <c r="D25" s="107" t="str">
        <f>IFERROR(VLOOKUP(PesquisadeAlunos,PresençaemDezembro[],4,FALSE),"")</f>
        <v/>
      </c>
      <c r="E25" s="107" t="str">
        <f>IFERROR(VLOOKUP(PesquisadeAlunos,PresençaemDezembro[],5,FALSE),"")</f>
        <v/>
      </c>
      <c r="F25" s="107" t="str">
        <f>IFERROR(VLOOKUP(PesquisadeAlunos,PresençaemDezembro[],6,FALSE),"")</f>
        <v/>
      </c>
      <c r="G25" s="107" t="str">
        <f>IFERROR(VLOOKUP(PesquisadeAlunos,PresençaemDezembro[],7,FALSE),"")</f>
        <v/>
      </c>
      <c r="H25" s="107" t="str">
        <f>IFERROR(VLOOKUP(PesquisadeAlunos,PresençaemDezembro[],8,FALSE),"")</f>
        <v/>
      </c>
      <c r="I25" s="107" t="str">
        <f>IFERROR(VLOOKUP(PesquisadeAlunos,PresençaemDezembro[],9,FALSE),"")</f>
        <v/>
      </c>
      <c r="J25" s="107" t="str">
        <f>IFERROR(VLOOKUP(PesquisadeAlunos,PresençaemDezembro[],10,FALSE),"")</f>
        <v/>
      </c>
      <c r="K25" s="107" t="str">
        <f>IFERROR(VLOOKUP(PesquisadeAlunos,PresençaemDezembro[],11,FALSE),"")</f>
        <v/>
      </c>
      <c r="L25" s="107" t="str">
        <f>IFERROR(VLOOKUP(PesquisadeAlunos,PresençaemDezembro[],12,FALSE),"")</f>
        <v/>
      </c>
      <c r="M25" s="107" t="str">
        <f>IFERROR(VLOOKUP(PesquisadeAlunos,PresençaemDezembro[],13,FALSE),"")</f>
        <v/>
      </c>
      <c r="N25" s="107" t="str">
        <f>IFERROR(VLOOKUP(PesquisadeAlunos,PresençaemDezembro[],14,FALSE),"")</f>
        <v/>
      </c>
      <c r="O25" s="107" t="str">
        <f>IFERROR(VLOOKUP(PesquisadeAlunos,PresençaemDezembro[],15,FALSE),"")</f>
        <v/>
      </c>
      <c r="P25" s="107" t="str">
        <f>IFERROR(VLOOKUP(PesquisadeAlunos,PresençaemDezembro[],16,FALSE),"")</f>
        <v/>
      </c>
      <c r="Q25" s="107" t="str">
        <f>IFERROR(VLOOKUP(PesquisadeAlunos,PresençaemDezembro[],17,FALSE),"")</f>
        <v/>
      </c>
      <c r="R25" s="107" t="str">
        <f>IFERROR(VLOOKUP(PesquisadeAlunos,PresençaemDezembro[],18,FALSE),"")</f>
        <v/>
      </c>
      <c r="S25" s="107" t="str">
        <f>IFERROR(VLOOKUP(PesquisadeAlunos,PresençaemDezembro[],19,FALSE),"")</f>
        <v/>
      </c>
      <c r="T25" s="107" t="str">
        <f>IFERROR(VLOOKUP(PesquisadeAlunos,PresençaemDezembro[],20,FALSE),"")</f>
        <v/>
      </c>
      <c r="U25" s="107" t="str">
        <f>IFERROR(VLOOKUP(PesquisadeAlunos,PresençaemDezembro[],21,FALSE),"")</f>
        <v/>
      </c>
      <c r="V25" s="107" t="str">
        <f>IFERROR(VLOOKUP(PesquisadeAlunos,PresençaemDezembro[],22,FALSE),"")</f>
        <v/>
      </c>
      <c r="W25" s="107" t="str">
        <f>IFERROR(VLOOKUP(PesquisadeAlunos,PresençaemDezembro[],23,FALSE),"")</f>
        <v/>
      </c>
      <c r="X25" s="107" t="str">
        <f>IFERROR(VLOOKUP(PesquisadeAlunos,PresençaemDezembro[],24,FALSE),"")</f>
        <v/>
      </c>
      <c r="Y25" s="107" t="str">
        <f>IFERROR(VLOOKUP(PesquisadeAlunos,PresençaemDezembro[],25,FALSE),"")</f>
        <v/>
      </c>
      <c r="Z25" s="107" t="str">
        <f>IFERROR(VLOOKUP(PesquisadeAlunos,PresençaemDezembro[],26,FALSE),"")</f>
        <v/>
      </c>
      <c r="AA25" s="107" t="str">
        <f>IFERROR(VLOOKUP(PesquisadeAlunos,PresençaemDezembro[],27,FALSE),"")</f>
        <v/>
      </c>
      <c r="AB25" s="107" t="str">
        <f>IFERROR(VLOOKUP(PesquisadeAlunos,PresençaemDezembro[],28,FALSE),"")</f>
        <v/>
      </c>
      <c r="AC25" s="107" t="str">
        <f>IFERROR(VLOOKUP(PesquisadeAlunos,PresençaemDezembro[],29,FALSE),"")</f>
        <v/>
      </c>
      <c r="AD25" s="107" t="str">
        <f>IFERROR(VLOOKUP(PesquisadeAlunos,PresençaemDezembro[],30,FALSE),"")</f>
        <v/>
      </c>
      <c r="AE25" s="107" t="str">
        <f>IFERROR(VLOOKUP(PesquisadeAlunos,PresençaemDezembro[],31,FALSE),"")</f>
        <v/>
      </c>
      <c r="AF25" s="107" t="str">
        <f>IFERROR(VLOOKUP(PesquisadeAlunos,PresençaemDezembro[],32,FALSE),"")</f>
        <v/>
      </c>
      <c r="AG25" s="107" t="str">
        <f>IFERROR(VLOOKUP(PesquisadeAlunos,PresençaemDezembro[],33,FALSE),"")</f>
        <v/>
      </c>
      <c r="AH25" s="144"/>
      <c r="AI25" s="144"/>
      <c r="AJ25" s="144"/>
      <c r="AK25" s="144"/>
    </row>
    <row r="26" spans="2:37" ht="14.25" x14ac:dyDescent="0.25">
      <c r="B26" s="142" t="s">
        <v>64</v>
      </c>
      <c r="C26" s="108">
        <v>1</v>
      </c>
      <c r="D26" s="108">
        <v>2</v>
      </c>
      <c r="E26" s="108">
        <v>3</v>
      </c>
      <c r="F26" s="108">
        <v>4</v>
      </c>
      <c r="G26" s="108">
        <v>5</v>
      </c>
      <c r="H26" s="108">
        <v>6</v>
      </c>
      <c r="I26" s="108">
        <v>7</v>
      </c>
      <c r="J26" s="108">
        <v>8</v>
      </c>
      <c r="K26" s="108">
        <v>9</v>
      </c>
      <c r="L26" s="108">
        <v>10</v>
      </c>
      <c r="M26" s="108">
        <v>11</v>
      </c>
      <c r="N26" s="108">
        <v>12</v>
      </c>
      <c r="O26" s="108">
        <v>13</v>
      </c>
      <c r="P26" s="108">
        <v>14</v>
      </c>
      <c r="Q26" s="108">
        <v>15</v>
      </c>
      <c r="R26" s="108">
        <v>16</v>
      </c>
      <c r="S26" s="108">
        <v>17</v>
      </c>
      <c r="T26" s="108">
        <v>18</v>
      </c>
      <c r="U26" s="108">
        <v>19</v>
      </c>
      <c r="V26" s="108">
        <v>20</v>
      </c>
      <c r="W26" s="108">
        <v>21</v>
      </c>
      <c r="X26" s="108">
        <v>22</v>
      </c>
      <c r="Y26" s="108">
        <v>23</v>
      </c>
      <c r="Z26" s="108">
        <v>24</v>
      </c>
      <c r="AA26" s="108">
        <v>25</v>
      </c>
      <c r="AB26" s="108">
        <v>26</v>
      </c>
      <c r="AC26" s="108">
        <v>27</v>
      </c>
      <c r="AD26" s="108">
        <v>28</v>
      </c>
      <c r="AE26" s="108">
        <v>29</v>
      </c>
      <c r="AF26" s="108">
        <v>30</v>
      </c>
      <c r="AG26" s="108">
        <v>31</v>
      </c>
      <c r="AH26" s="144">
        <f>COUNTIF($D27:$AH27,Código1)</f>
        <v>0</v>
      </c>
      <c r="AI26" s="144">
        <f>COUNTIF($D27:$AH27,Código2)</f>
        <v>0</v>
      </c>
      <c r="AJ26" s="144">
        <f>COUNTIF($D27:$AH27,Código3)</f>
        <v>0</v>
      </c>
      <c r="AK26" s="144">
        <f>COUNTIF($D27:$AH27,Código4)</f>
        <v>0</v>
      </c>
    </row>
    <row r="27" spans="2:37" ht="14.25" x14ac:dyDescent="0.25">
      <c r="B27" s="142"/>
      <c r="C27" s="107" t="str">
        <f>IFERROR(VLOOKUP(PesquisadeAlunos,PresençaemJaneiro[],3,FALSE),"")</f>
        <v/>
      </c>
      <c r="D27" s="107" t="str">
        <f>IFERROR(VLOOKUP(PesquisadeAlunos,PresençaemJaneiro[],4,FALSE),"")</f>
        <v/>
      </c>
      <c r="E27" s="107" t="str">
        <f>IFERROR(VLOOKUP(PesquisadeAlunos,PresençaemJaneiro[],5,FALSE),"")</f>
        <v/>
      </c>
      <c r="F27" s="107" t="str">
        <f>IFERROR(VLOOKUP(PesquisadeAlunos,PresençaemJaneiro[],6,FALSE),"")</f>
        <v/>
      </c>
      <c r="G27" s="107" t="str">
        <f>IFERROR(VLOOKUP(PesquisadeAlunos,PresençaemJaneiro[],7,FALSE),"")</f>
        <v/>
      </c>
      <c r="H27" s="107" t="str">
        <f>IFERROR(VLOOKUP(PesquisadeAlunos,PresençaemJaneiro[],8,FALSE),"")</f>
        <v/>
      </c>
      <c r="I27" s="107" t="str">
        <f>IFERROR(VLOOKUP(PesquisadeAlunos,PresençaemJaneiro[],9,FALSE),"")</f>
        <v/>
      </c>
      <c r="J27" s="107" t="str">
        <f>IFERROR(VLOOKUP(PesquisadeAlunos,PresençaemJaneiro[],10,FALSE),"")</f>
        <v/>
      </c>
      <c r="K27" s="107" t="str">
        <f>IFERROR(VLOOKUP(PesquisadeAlunos,PresençaemJaneiro[],11,FALSE),"")</f>
        <v/>
      </c>
      <c r="L27" s="107" t="str">
        <f>IFERROR(VLOOKUP(PesquisadeAlunos,PresençaemJaneiro[],12,FALSE),"")</f>
        <v/>
      </c>
      <c r="M27" s="107" t="str">
        <f>IFERROR(VLOOKUP(PesquisadeAlunos,PresençaemJaneiro[],13,FALSE),"")</f>
        <v/>
      </c>
      <c r="N27" s="107" t="str">
        <f>IFERROR(VLOOKUP(PesquisadeAlunos,PresençaemJaneiro[],14,FALSE),"")</f>
        <v/>
      </c>
      <c r="O27" s="107" t="str">
        <f>IFERROR(VLOOKUP(PesquisadeAlunos,PresençaemJaneiro[],15,FALSE),"")</f>
        <v/>
      </c>
      <c r="P27" s="107" t="str">
        <f>IFERROR(VLOOKUP(PesquisadeAlunos,PresençaemJaneiro[],16,FALSE),"")</f>
        <v/>
      </c>
      <c r="Q27" s="107" t="str">
        <f>IFERROR(VLOOKUP(PesquisadeAlunos,PresençaemJaneiro[],17,FALSE),"")</f>
        <v/>
      </c>
      <c r="R27" s="107" t="str">
        <f>IFERROR(VLOOKUP(PesquisadeAlunos,PresençaemJaneiro[],18,FALSE),"")</f>
        <v/>
      </c>
      <c r="S27" s="107" t="str">
        <f>IFERROR(VLOOKUP(PesquisadeAlunos,PresençaemJaneiro[],19,FALSE),"")</f>
        <v/>
      </c>
      <c r="T27" s="107" t="str">
        <f>IFERROR(VLOOKUP(PesquisadeAlunos,PresençaemJaneiro[],20,FALSE),"")</f>
        <v/>
      </c>
      <c r="U27" s="107" t="str">
        <f>IFERROR(VLOOKUP(PesquisadeAlunos,PresençaemJaneiro[],21,FALSE),"")</f>
        <v/>
      </c>
      <c r="V27" s="107" t="str">
        <f>IFERROR(VLOOKUP(PesquisadeAlunos,PresençaemJaneiro[],22,FALSE),"")</f>
        <v/>
      </c>
      <c r="W27" s="107" t="str">
        <f>IFERROR(VLOOKUP(PesquisadeAlunos,PresençaemJaneiro[],23,FALSE),"")</f>
        <v/>
      </c>
      <c r="X27" s="107" t="str">
        <f>IFERROR(VLOOKUP(PesquisadeAlunos,PresençaemJaneiro[],24,FALSE),"")</f>
        <v/>
      </c>
      <c r="Y27" s="107" t="str">
        <f>IFERROR(VLOOKUP(PesquisadeAlunos,PresençaemJaneiro[],25,FALSE),"")</f>
        <v/>
      </c>
      <c r="Z27" s="107" t="str">
        <f>IFERROR(VLOOKUP(PesquisadeAlunos,PresençaemJaneiro[],26,FALSE),"")</f>
        <v/>
      </c>
      <c r="AA27" s="107" t="str">
        <f>IFERROR(VLOOKUP(PesquisadeAlunos,PresençaemJaneiro[],27,FALSE),"")</f>
        <v/>
      </c>
      <c r="AB27" s="107" t="str">
        <f>IFERROR(VLOOKUP(PesquisadeAlunos,PresençaemJaneiro[],28,FALSE),"")</f>
        <v/>
      </c>
      <c r="AC27" s="107" t="str">
        <f>IFERROR(VLOOKUP(PesquisadeAlunos,PresençaemJaneiro[],29,FALSE),"")</f>
        <v/>
      </c>
      <c r="AD27" s="107" t="str">
        <f>IFERROR(VLOOKUP(PesquisadeAlunos,PresençaemJaneiro[],30,FALSE),"")</f>
        <v/>
      </c>
      <c r="AE27" s="107" t="str">
        <f>IFERROR(VLOOKUP(PesquisadeAlunos,PresençaemJaneiro[],31,FALSE),"")</f>
        <v/>
      </c>
      <c r="AF27" s="107" t="str">
        <f>IFERROR(VLOOKUP(PesquisadeAlunos,PresençaemJaneiro[],32,FALSE),"")</f>
        <v/>
      </c>
      <c r="AG27" s="107" t="str">
        <f>IFERROR(VLOOKUP(PesquisadeAlunos,PresençaemJaneiro[],33,FALSE),"")</f>
        <v/>
      </c>
      <c r="AH27" s="144"/>
      <c r="AI27" s="144"/>
      <c r="AJ27" s="144"/>
      <c r="AK27" s="144"/>
    </row>
    <row r="28" spans="2:37" ht="14.25" x14ac:dyDescent="0.25">
      <c r="B28" s="142" t="s">
        <v>65</v>
      </c>
      <c r="C28" s="108">
        <v>1</v>
      </c>
      <c r="D28" s="108">
        <v>2</v>
      </c>
      <c r="E28" s="108">
        <v>3</v>
      </c>
      <c r="F28" s="108">
        <v>4</v>
      </c>
      <c r="G28" s="108">
        <v>5</v>
      </c>
      <c r="H28" s="108">
        <v>6</v>
      </c>
      <c r="I28" s="108">
        <v>7</v>
      </c>
      <c r="J28" s="108">
        <v>8</v>
      </c>
      <c r="K28" s="108">
        <v>9</v>
      </c>
      <c r="L28" s="108">
        <v>10</v>
      </c>
      <c r="M28" s="108">
        <v>11</v>
      </c>
      <c r="N28" s="108">
        <v>12</v>
      </c>
      <c r="O28" s="108">
        <v>13</v>
      </c>
      <c r="P28" s="108">
        <v>14</v>
      </c>
      <c r="Q28" s="108">
        <v>15</v>
      </c>
      <c r="R28" s="108">
        <v>16</v>
      </c>
      <c r="S28" s="108">
        <v>17</v>
      </c>
      <c r="T28" s="108">
        <v>18</v>
      </c>
      <c r="U28" s="108">
        <v>19</v>
      </c>
      <c r="V28" s="108">
        <v>20</v>
      </c>
      <c r="W28" s="108">
        <v>21</v>
      </c>
      <c r="X28" s="108">
        <v>22</v>
      </c>
      <c r="Y28" s="108">
        <v>23</v>
      </c>
      <c r="Z28" s="108">
        <v>24</v>
      </c>
      <c r="AA28" s="108">
        <v>25</v>
      </c>
      <c r="AB28" s="108">
        <v>26</v>
      </c>
      <c r="AC28" s="108">
        <v>27</v>
      </c>
      <c r="AD28" s="108">
        <v>28</v>
      </c>
      <c r="AE28" s="108">
        <v>29</v>
      </c>
      <c r="AF28" s="108"/>
      <c r="AG28" s="108"/>
      <c r="AH28" s="144">
        <f>COUNTIF($D29:$AH29,Código1)</f>
        <v>0</v>
      </c>
      <c r="AI28" s="144">
        <f>COUNTIF($D29:$AH29,Código2)</f>
        <v>0</v>
      </c>
      <c r="AJ28" s="144">
        <f>COUNTIF($D29:$AH29,Código3)</f>
        <v>0</v>
      </c>
      <c r="AK28" s="144">
        <f>COUNTIF($D29:$AH29,Código4)</f>
        <v>0</v>
      </c>
    </row>
    <row r="29" spans="2:37" ht="14.25" x14ac:dyDescent="0.25">
      <c r="B29" s="142"/>
      <c r="C29" s="107" t="str">
        <f>IFERROR(VLOOKUP(PesquisadeAlunos,PresençaemFevereiro[],3,FALSE),"")</f>
        <v/>
      </c>
      <c r="D29" s="107" t="str">
        <f>IFERROR(VLOOKUP(PesquisadeAlunos,PresençaemFevereiro[],4,FALSE),"")</f>
        <v/>
      </c>
      <c r="E29" s="107" t="str">
        <f>IFERROR(VLOOKUP(PesquisadeAlunos,PresençaemFevereiro[],5,FALSE),"")</f>
        <v/>
      </c>
      <c r="F29" s="107" t="str">
        <f>IFERROR(VLOOKUP(PesquisadeAlunos,PresençaemFevereiro[],6,FALSE),"")</f>
        <v/>
      </c>
      <c r="G29" s="107" t="str">
        <f>IFERROR(VLOOKUP(PesquisadeAlunos,PresençaemFevereiro[],7,FALSE),"")</f>
        <v/>
      </c>
      <c r="H29" s="107" t="str">
        <f>IFERROR(VLOOKUP(PesquisadeAlunos,PresençaemFevereiro[],8,FALSE),"")</f>
        <v/>
      </c>
      <c r="I29" s="107" t="str">
        <f>IFERROR(VLOOKUP(PesquisadeAlunos,PresençaemFevereiro[],9,FALSE),"")</f>
        <v/>
      </c>
      <c r="J29" s="107" t="str">
        <f>IFERROR(VLOOKUP(PesquisadeAlunos,PresençaemFevereiro[],10,FALSE),"")</f>
        <v/>
      </c>
      <c r="K29" s="107" t="str">
        <f>IFERROR(VLOOKUP(PesquisadeAlunos,PresençaemFevereiro[],11,FALSE),"")</f>
        <v/>
      </c>
      <c r="L29" s="107" t="str">
        <f>IFERROR(VLOOKUP(PesquisadeAlunos,PresençaemFevereiro[],12,FALSE),"")</f>
        <v/>
      </c>
      <c r="M29" s="107" t="str">
        <f>IFERROR(VLOOKUP(PesquisadeAlunos,PresençaemFevereiro[],13,FALSE),"")</f>
        <v/>
      </c>
      <c r="N29" s="107" t="str">
        <f>IFERROR(VLOOKUP(PesquisadeAlunos,PresençaemFevereiro[],14,FALSE),"")</f>
        <v/>
      </c>
      <c r="O29" s="107" t="str">
        <f>IFERROR(VLOOKUP(PesquisadeAlunos,PresençaemFevereiro[],15,FALSE),"")</f>
        <v/>
      </c>
      <c r="P29" s="107" t="str">
        <f>IFERROR(VLOOKUP(PesquisadeAlunos,PresençaemFevereiro[],16,FALSE),"")</f>
        <v/>
      </c>
      <c r="Q29" s="107" t="str">
        <f>IFERROR(VLOOKUP(PesquisadeAlunos,PresençaemFevereiro[],17,FALSE),"")</f>
        <v/>
      </c>
      <c r="R29" s="107" t="str">
        <f>IFERROR(VLOOKUP(PesquisadeAlunos,PresençaemFevereiro[],18,FALSE),"")</f>
        <v/>
      </c>
      <c r="S29" s="107" t="str">
        <f>IFERROR(VLOOKUP(PesquisadeAlunos,PresençaemFevereiro[],19,FALSE),"")</f>
        <v/>
      </c>
      <c r="T29" s="107" t="str">
        <f>IFERROR(VLOOKUP(PesquisadeAlunos,PresençaemFevereiro[],20,FALSE),"")</f>
        <v/>
      </c>
      <c r="U29" s="107" t="str">
        <f>IFERROR(VLOOKUP(PesquisadeAlunos,PresençaemFevereiro[],21,FALSE),"")</f>
        <v/>
      </c>
      <c r="V29" s="107" t="str">
        <f>IFERROR(VLOOKUP(PesquisadeAlunos,PresençaemFevereiro[],22,FALSE),"")</f>
        <v/>
      </c>
      <c r="W29" s="107" t="str">
        <f>IFERROR(VLOOKUP(PesquisadeAlunos,PresençaemFevereiro[],23,FALSE),"")</f>
        <v/>
      </c>
      <c r="X29" s="107" t="str">
        <f>IFERROR(VLOOKUP(PesquisadeAlunos,PresençaemFevereiro[],24,FALSE),"")</f>
        <v/>
      </c>
      <c r="Y29" s="107" t="str">
        <f>IFERROR(VLOOKUP(PesquisadeAlunos,PresençaemFevereiro[],25,FALSE),"")</f>
        <v/>
      </c>
      <c r="Z29" s="107" t="str">
        <f>IFERROR(VLOOKUP(PesquisadeAlunos,PresençaemFevereiro[],26,FALSE),"")</f>
        <v/>
      </c>
      <c r="AA29" s="107" t="str">
        <f>IFERROR(VLOOKUP(PesquisadeAlunos,PresençaemFevereiro[],27,FALSE),"")</f>
        <v/>
      </c>
      <c r="AB29" s="107" t="str">
        <f>IFERROR(VLOOKUP(PesquisadeAlunos,PresençaemFevereiro[],28,FALSE),"")</f>
        <v/>
      </c>
      <c r="AC29" s="107" t="str">
        <f>IFERROR(VLOOKUP(PesquisadeAlunos,PresençaemFevereiro[],29,FALSE),"")</f>
        <v/>
      </c>
      <c r="AD29" s="107" t="str">
        <f>IFERROR(VLOOKUP(PesquisadeAlunos,PresençaemFevereiro[],30,FALSE),"")</f>
        <v/>
      </c>
      <c r="AE29" s="107" t="str">
        <f>IFERROR(VLOOKUP(PesquisadeAlunos,PresençaemFevereiro[],31,FALSE),"")</f>
        <v/>
      </c>
      <c r="AF29" s="107"/>
      <c r="AG29" s="107"/>
      <c r="AH29" s="144"/>
      <c r="AI29" s="144"/>
      <c r="AJ29" s="144"/>
      <c r="AK29" s="144"/>
    </row>
    <row r="30" spans="2:37" ht="14.25" x14ac:dyDescent="0.25">
      <c r="B30" s="142" t="s">
        <v>66</v>
      </c>
      <c r="C30" s="108">
        <v>1</v>
      </c>
      <c r="D30" s="108">
        <v>2</v>
      </c>
      <c r="E30" s="108">
        <v>3</v>
      </c>
      <c r="F30" s="108">
        <v>4</v>
      </c>
      <c r="G30" s="108">
        <v>5</v>
      </c>
      <c r="H30" s="108">
        <v>6</v>
      </c>
      <c r="I30" s="108">
        <v>7</v>
      </c>
      <c r="J30" s="108">
        <v>8</v>
      </c>
      <c r="K30" s="108">
        <v>9</v>
      </c>
      <c r="L30" s="108">
        <v>10</v>
      </c>
      <c r="M30" s="108">
        <v>11</v>
      </c>
      <c r="N30" s="108">
        <v>12</v>
      </c>
      <c r="O30" s="108">
        <v>13</v>
      </c>
      <c r="P30" s="108">
        <v>14</v>
      </c>
      <c r="Q30" s="108">
        <v>15</v>
      </c>
      <c r="R30" s="108">
        <v>16</v>
      </c>
      <c r="S30" s="108">
        <v>17</v>
      </c>
      <c r="T30" s="108">
        <v>18</v>
      </c>
      <c r="U30" s="108">
        <v>19</v>
      </c>
      <c r="V30" s="108">
        <v>20</v>
      </c>
      <c r="W30" s="108">
        <v>21</v>
      </c>
      <c r="X30" s="108">
        <v>22</v>
      </c>
      <c r="Y30" s="108">
        <v>23</v>
      </c>
      <c r="Z30" s="108">
        <v>24</v>
      </c>
      <c r="AA30" s="108">
        <v>25</v>
      </c>
      <c r="AB30" s="108">
        <v>26</v>
      </c>
      <c r="AC30" s="108">
        <v>27</v>
      </c>
      <c r="AD30" s="108">
        <v>28</v>
      </c>
      <c r="AE30" s="108">
        <v>29</v>
      </c>
      <c r="AF30" s="108">
        <v>30</v>
      </c>
      <c r="AG30" s="108">
        <v>31</v>
      </c>
      <c r="AH30" s="144">
        <f>COUNTIF($D31:$AH31,Código1)</f>
        <v>0</v>
      </c>
      <c r="AI30" s="144">
        <f>COUNTIF($D31:$AH31,Código2)</f>
        <v>0</v>
      </c>
      <c r="AJ30" s="144">
        <f>COUNTIF($D31:$AH31,Código3)</f>
        <v>0</v>
      </c>
      <c r="AK30" s="144">
        <f>COUNTIF($D31:$AH31,Código4)</f>
        <v>0</v>
      </c>
    </row>
    <row r="31" spans="2:37" ht="14.25" x14ac:dyDescent="0.25">
      <c r="B31" s="142"/>
      <c r="C31" s="107" t="str">
        <f>IFERROR(VLOOKUP(PesquisadeAlunos,PresençaemMarço[],3,FALSE),"")</f>
        <v/>
      </c>
      <c r="D31" s="107" t="str">
        <f>IFERROR(VLOOKUP(PesquisadeAlunos,PresençaemMarço[],4,FALSE),"")</f>
        <v/>
      </c>
      <c r="E31" s="107" t="str">
        <f>IFERROR(VLOOKUP(PesquisadeAlunos,PresençaemMarço[],5,FALSE),"")</f>
        <v/>
      </c>
      <c r="F31" s="107" t="str">
        <f>IFERROR(VLOOKUP(PesquisadeAlunos,PresençaemMarço[],6,FALSE),"")</f>
        <v/>
      </c>
      <c r="G31" s="107" t="str">
        <f>IFERROR(VLOOKUP(PesquisadeAlunos,PresençaemMarço[],7,FALSE),"")</f>
        <v/>
      </c>
      <c r="H31" s="107" t="str">
        <f>IFERROR(VLOOKUP(PesquisadeAlunos,PresençaemMarço[],8,FALSE),"")</f>
        <v/>
      </c>
      <c r="I31" s="107" t="str">
        <f>IFERROR(VLOOKUP(PesquisadeAlunos,PresençaemMarço[],9,FALSE),"")</f>
        <v/>
      </c>
      <c r="J31" s="107" t="str">
        <f>IFERROR(VLOOKUP(PesquisadeAlunos,PresençaemMarço[],10,FALSE),"")</f>
        <v/>
      </c>
      <c r="K31" s="107" t="str">
        <f>IFERROR(VLOOKUP(PesquisadeAlunos,PresençaemMarço[],11,FALSE),"")</f>
        <v/>
      </c>
      <c r="L31" s="107" t="str">
        <f>IFERROR(VLOOKUP(PesquisadeAlunos,PresençaemMarço[],12,FALSE),"")</f>
        <v/>
      </c>
      <c r="M31" s="107" t="str">
        <f>IFERROR(VLOOKUP(PesquisadeAlunos,PresençaemMarço[],13,FALSE),"")</f>
        <v/>
      </c>
      <c r="N31" s="107" t="str">
        <f>IFERROR(VLOOKUP(PesquisadeAlunos,PresençaemMarço[],14,FALSE),"")</f>
        <v/>
      </c>
      <c r="O31" s="107" t="str">
        <f>IFERROR(VLOOKUP(PesquisadeAlunos,PresençaemMarço[],15,FALSE),"")</f>
        <v/>
      </c>
      <c r="P31" s="107" t="str">
        <f>IFERROR(VLOOKUP(PesquisadeAlunos,PresençaemMarço[],16,FALSE),"")</f>
        <v/>
      </c>
      <c r="Q31" s="107" t="str">
        <f>IFERROR(VLOOKUP(PesquisadeAlunos,PresençaemMarço[],17,FALSE),"")</f>
        <v/>
      </c>
      <c r="R31" s="107" t="str">
        <f>IFERROR(VLOOKUP(PesquisadeAlunos,PresençaemMarço[],18,FALSE),"")</f>
        <v/>
      </c>
      <c r="S31" s="107" t="str">
        <f>IFERROR(VLOOKUP(PesquisadeAlunos,PresençaemMarço[],19,FALSE),"")</f>
        <v/>
      </c>
      <c r="T31" s="107" t="str">
        <f>IFERROR(VLOOKUP(PesquisadeAlunos,PresençaemMarço[],20,FALSE),"")</f>
        <v/>
      </c>
      <c r="U31" s="107" t="str">
        <f>IFERROR(VLOOKUP(PesquisadeAlunos,PresençaemMarço[],21,FALSE),"")</f>
        <v/>
      </c>
      <c r="V31" s="107" t="str">
        <f>IFERROR(VLOOKUP(PesquisadeAlunos,PresençaemMarço[],22,FALSE),"")</f>
        <v/>
      </c>
      <c r="W31" s="107" t="str">
        <f>IFERROR(VLOOKUP(PesquisadeAlunos,PresençaemMarço[],23,FALSE),"")</f>
        <v/>
      </c>
      <c r="X31" s="107" t="str">
        <f>IFERROR(VLOOKUP(PesquisadeAlunos,PresençaemMarço[],24,FALSE),"")</f>
        <v/>
      </c>
      <c r="Y31" s="107" t="str">
        <f>IFERROR(VLOOKUP(PesquisadeAlunos,PresençaemMarço[],25,FALSE),"")</f>
        <v/>
      </c>
      <c r="Z31" s="107" t="str">
        <f>IFERROR(VLOOKUP(PesquisadeAlunos,PresençaemMarço[],26,FALSE),"")</f>
        <v/>
      </c>
      <c r="AA31" s="107" t="str">
        <f>IFERROR(VLOOKUP(PesquisadeAlunos,PresençaemMarço[],27,FALSE),"")</f>
        <v/>
      </c>
      <c r="AB31" s="107" t="str">
        <f>IFERROR(VLOOKUP(PesquisadeAlunos,PresençaemMarço[],28,FALSE),"")</f>
        <v/>
      </c>
      <c r="AC31" s="107" t="str">
        <f>IFERROR(VLOOKUP(PesquisadeAlunos,PresençaemMarço[],29,FALSE),"")</f>
        <v/>
      </c>
      <c r="AD31" s="107" t="str">
        <f>IFERROR(VLOOKUP(PesquisadeAlunos,PresençaemMarço[],30,FALSE),"")</f>
        <v/>
      </c>
      <c r="AE31" s="107" t="str">
        <f>IFERROR(VLOOKUP(PesquisadeAlunos,PresençaemMarço[],31,FALSE),"")</f>
        <v/>
      </c>
      <c r="AF31" s="107" t="str">
        <f>IFERROR(VLOOKUP(PesquisadeAlunos,PresençaemMarço[],32,FALSE),"")</f>
        <v/>
      </c>
      <c r="AG31" s="107" t="str">
        <f>IFERROR(VLOOKUP(PesquisadeAlunos,PresençaemMarço[],33,FALSE),"")</f>
        <v/>
      </c>
      <c r="AH31" s="144"/>
      <c r="AI31" s="144"/>
      <c r="AJ31" s="144"/>
      <c r="AK31" s="144"/>
    </row>
    <row r="32" spans="2:37" ht="14.25" x14ac:dyDescent="0.25">
      <c r="B32" s="142" t="s">
        <v>67</v>
      </c>
      <c r="C32" s="108">
        <v>1</v>
      </c>
      <c r="D32" s="108">
        <v>2</v>
      </c>
      <c r="E32" s="108">
        <v>3</v>
      </c>
      <c r="F32" s="108">
        <v>4</v>
      </c>
      <c r="G32" s="108">
        <v>5</v>
      </c>
      <c r="H32" s="108">
        <v>6</v>
      </c>
      <c r="I32" s="108">
        <v>7</v>
      </c>
      <c r="J32" s="108">
        <v>8</v>
      </c>
      <c r="K32" s="108">
        <v>9</v>
      </c>
      <c r="L32" s="108">
        <v>10</v>
      </c>
      <c r="M32" s="108">
        <v>11</v>
      </c>
      <c r="N32" s="108">
        <v>12</v>
      </c>
      <c r="O32" s="108">
        <v>13</v>
      </c>
      <c r="P32" s="108">
        <v>14</v>
      </c>
      <c r="Q32" s="108">
        <v>15</v>
      </c>
      <c r="R32" s="108">
        <v>16</v>
      </c>
      <c r="S32" s="108">
        <v>17</v>
      </c>
      <c r="T32" s="108">
        <v>18</v>
      </c>
      <c r="U32" s="108">
        <v>19</v>
      </c>
      <c r="V32" s="108">
        <v>20</v>
      </c>
      <c r="W32" s="108">
        <v>21</v>
      </c>
      <c r="X32" s="108">
        <v>22</v>
      </c>
      <c r="Y32" s="108">
        <v>23</v>
      </c>
      <c r="Z32" s="108">
        <v>24</v>
      </c>
      <c r="AA32" s="108">
        <v>25</v>
      </c>
      <c r="AB32" s="108">
        <v>26</v>
      </c>
      <c r="AC32" s="108">
        <v>27</v>
      </c>
      <c r="AD32" s="108">
        <v>28</v>
      </c>
      <c r="AE32" s="108">
        <v>29</v>
      </c>
      <c r="AF32" s="108">
        <v>30</v>
      </c>
      <c r="AG32" s="108"/>
      <c r="AH32" s="144">
        <f>COUNTIF($D33:$AH33,Código1)</f>
        <v>0</v>
      </c>
      <c r="AI32" s="144">
        <f>COUNTIF($D33:$AH33,Código2)</f>
        <v>0</v>
      </c>
      <c r="AJ32" s="144">
        <f>COUNTIF($D33:$AH33,Código3)</f>
        <v>0</v>
      </c>
      <c r="AK32" s="144">
        <f>COUNTIF($D33:$AH33,Código4)</f>
        <v>0</v>
      </c>
    </row>
    <row r="33" spans="2:37" ht="14.25" x14ac:dyDescent="0.25">
      <c r="B33" s="142"/>
      <c r="C33" s="107" t="str">
        <f>IFERROR(VLOOKUP(PesquisadeAlunos,PresençaemAbril[],3,FALSE),"")</f>
        <v/>
      </c>
      <c r="D33" s="107" t="str">
        <f>IFERROR(VLOOKUP(PesquisadeAlunos,PresençaemAbril[],4,FALSE),"")</f>
        <v/>
      </c>
      <c r="E33" s="107" t="str">
        <f>IFERROR(VLOOKUP(PesquisadeAlunos,PresençaemAbril[],5,FALSE),"")</f>
        <v/>
      </c>
      <c r="F33" s="107" t="str">
        <f>IFERROR(VLOOKUP(PesquisadeAlunos,PresençaemAbril[],6,FALSE),"")</f>
        <v/>
      </c>
      <c r="G33" s="107" t="str">
        <f>IFERROR(VLOOKUP(PesquisadeAlunos,PresençaemAbril[],7,FALSE),"")</f>
        <v/>
      </c>
      <c r="H33" s="107" t="str">
        <f>IFERROR(VLOOKUP(PesquisadeAlunos,PresençaemAbril[],8,FALSE),"")</f>
        <v/>
      </c>
      <c r="I33" s="107" t="str">
        <f>IFERROR(VLOOKUP(PesquisadeAlunos,PresençaemAbril[],9,FALSE),"")</f>
        <v/>
      </c>
      <c r="J33" s="107" t="str">
        <f>IFERROR(VLOOKUP(PesquisadeAlunos,PresençaemAbril[],10,FALSE),"")</f>
        <v/>
      </c>
      <c r="K33" s="107" t="str">
        <f>IFERROR(VLOOKUP(PesquisadeAlunos,PresençaemAbril[],11,FALSE),"")</f>
        <v/>
      </c>
      <c r="L33" s="107" t="str">
        <f>IFERROR(VLOOKUP(PesquisadeAlunos,PresençaemAbril[],12,FALSE),"")</f>
        <v/>
      </c>
      <c r="M33" s="107" t="str">
        <f>IFERROR(VLOOKUP(PesquisadeAlunos,PresençaemAbril[],13,FALSE),"")</f>
        <v/>
      </c>
      <c r="N33" s="107" t="str">
        <f>IFERROR(VLOOKUP(PesquisadeAlunos,PresençaemAbril[],14,FALSE),"")</f>
        <v/>
      </c>
      <c r="O33" s="107" t="str">
        <f>IFERROR(VLOOKUP(PesquisadeAlunos,PresençaemAbril[],15,FALSE),"")</f>
        <v/>
      </c>
      <c r="P33" s="107" t="str">
        <f>IFERROR(VLOOKUP(PesquisadeAlunos,PresençaemAbril[],16,FALSE),"")</f>
        <v/>
      </c>
      <c r="Q33" s="107" t="str">
        <f>IFERROR(VLOOKUP(PesquisadeAlunos,PresençaemAbril[],17,FALSE),"")</f>
        <v/>
      </c>
      <c r="R33" s="107" t="str">
        <f>IFERROR(VLOOKUP(PesquisadeAlunos,PresençaemAbril[],18,FALSE),"")</f>
        <v/>
      </c>
      <c r="S33" s="107" t="str">
        <f>IFERROR(VLOOKUP(PesquisadeAlunos,PresençaemAbril[],19,FALSE),"")</f>
        <v/>
      </c>
      <c r="T33" s="107" t="str">
        <f>IFERROR(VLOOKUP(PesquisadeAlunos,PresençaemAbril[],20,FALSE),"")</f>
        <v/>
      </c>
      <c r="U33" s="107" t="str">
        <f>IFERROR(VLOOKUP(PesquisadeAlunos,PresençaemAbril[],21,FALSE),"")</f>
        <v/>
      </c>
      <c r="V33" s="107" t="str">
        <f>IFERROR(VLOOKUP(PesquisadeAlunos,PresençaemAbril[],22,FALSE),"")</f>
        <v/>
      </c>
      <c r="W33" s="107" t="str">
        <f>IFERROR(VLOOKUP(PesquisadeAlunos,PresençaemAbril[],23,FALSE),"")</f>
        <v/>
      </c>
      <c r="X33" s="107" t="str">
        <f>IFERROR(VLOOKUP(PesquisadeAlunos,PresençaemAbril[],24,FALSE),"")</f>
        <v/>
      </c>
      <c r="Y33" s="107" t="str">
        <f>IFERROR(VLOOKUP(PesquisadeAlunos,PresençaemAbril[],25,FALSE),"")</f>
        <v/>
      </c>
      <c r="Z33" s="107" t="str">
        <f>IFERROR(VLOOKUP(PesquisadeAlunos,PresençaemAbril[],26,FALSE),"")</f>
        <v/>
      </c>
      <c r="AA33" s="107" t="str">
        <f>IFERROR(VLOOKUP(PesquisadeAlunos,PresençaemAbril[],27,FALSE),"")</f>
        <v/>
      </c>
      <c r="AB33" s="107" t="str">
        <f>IFERROR(VLOOKUP(PesquisadeAlunos,PresençaemAbril[],28,FALSE),"")</f>
        <v/>
      </c>
      <c r="AC33" s="107" t="str">
        <f>IFERROR(VLOOKUP(PesquisadeAlunos,PresençaemAbril[],29,FALSE),"")</f>
        <v/>
      </c>
      <c r="AD33" s="107" t="str">
        <f>IFERROR(VLOOKUP(PesquisadeAlunos,PresençaemAbril[],30,FALSE),"")</f>
        <v/>
      </c>
      <c r="AE33" s="107" t="str">
        <f>IFERROR(VLOOKUP(PesquisadeAlunos,PresençaemAbril[],31,FALSE),"")</f>
        <v/>
      </c>
      <c r="AF33" s="107" t="str">
        <f>IFERROR(VLOOKUP(PesquisadeAlunos,PresençaemAbril[],32,FALSE),"")</f>
        <v/>
      </c>
      <c r="AG33" s="107"/>
      <c r="AH33" s="144"/>
      <c r="AI33" s="144"/>
      <c r="AJ33" s="144"/>
      <c r="AK33" s="144"/>
    </row>
    <row r="34" spans="2:37" ht="14.25" x14ac:dyDescent="0.25">
      <c r="B34" s="142" t="s">
        <v>68</v>
      </c>
      <c r="C34" s="108">
        <v>1</v>
      </c>
      <c r="D34" s="108">
        <v>2</v>
      </c>
      <c r="E34" s="108">
        <v>3</v>
      </c>
      <c r="F34" s="108">
        <v>4</v>
      </c>
      <c r="G34" s="108">
        <v>5</v>
      </c>
      <c r="H34" s="108">
        <v>6</v>
      </c>
      <c r="I34" s="108">
        <v>7</v>
      </c>
      <c r="J34" s="108">
        <v>8</v>
      </c>
      <c r="K34" s="108">
        <v>9</v>
      </c>
      <c r="L34" s="108">
        <v>10</v>
      </c>
      <c r="M34" s="108">
        <v>11</v>
      </c>
      <c r="N34" s="108">
        <v>12</v>
      </c>
      <c r="O34" s="108">
        <v>13</v>
      </c>
      <c r="P34" s="108">
        <v>14</v>
      </c>
      <c r="Q34" s="108">
        <v>15</v>
      </c>
      <c r="R34" s="108">
        <v>16</v>
      </c>
      <c r="S34" s="108">
        <v>17</v>
      </c>
      <c r="T34" s="108">
        <v>18</v>
      </c>
      <c r="U34" s="108">
        <v>19</v>
      </c>
      <c r="V34" s="108">
        <v>20</v>
      </c>
      <c r="W34" s="108">
        <v>21</v>
      </c>
      <c r="X34" s="108">
        <v>22</v>
      </c>
      <c r="Y34" s="108">
        <v>23</v>
      </c>
      <c r="Z34" s="108">
        <v>24</v>
      </c>
      <c r="AA34" s="108">
        <v>25</v>
      </c>
      <c r="AB34" s="108">
        <v>26</v>
      </c>
      <c r="AC34" s="108">
        <v>27</v>
      </c>
      <c r="AD34" s="108">
        <v>28</v>
      </c>
      <c r="AE34" s="108">
        <v>29</v>
      </c>
      <c r="AF34" s="108">
        <v>30</v>
      </c>
      <c r="AG34" s="108">
        <v>31</v>
      </c>
      <c r="AH34" s="144">
        <f>COUNTIF($D35:$AH35,Código1)</f>
        <v>0</v>
      </c>
      <c r="AI34" s="144">
        <f>COUNTIF($D35:$AH35,Código2)</f>
        <v>0</v>
      </c>
      <c r="AJ34" s="144">
        <f>COUNTIF($D35:$AH35,Código3)</f>
        <v>0</v>
      </c>
      <c r="AK34" s="144">
        <f>COUNTIF($D35:$AH35,Código4)</f>
        <v>0</v>
      </c>
    </row>
    <row r="35" spans="2:37" ht="14.25" x14ac:dyDescent="0.25">
      <c r="B35" s="142"/>
      <c r="C35" s="107" t="str">
        <f>IFERROR(VLOOKUP(PesquisadeAlunos,PresençaemMaio[],3,FALSE),"")</f>
        <v/>
      </c>
      <c r="D35" s="107" t="str">
        <f>IFERROR(VLOOKUP(PesquisadeAlunos,PresençaemMaio[],4,FALSE),"")</f>
        <v/>
      </c>
      <c r="E35" s="107" t="str">
        <f>IFERROR(VLOOKUP(PesquisadeAlunos,PresençaemMaio[],5,FALSE),"")</f>
        <v/>
      </c>
      <c r="F35" s="107" t="str">
        <f>IFERROR(VLOOKUP(PesquisadeAlunos,PresençaemMaio[],6,FALSE),"")</f>
        <v/>
      </c>
      <c r="G35" s="107" t="str">
        <f>IFERROR(VLOOKUP(PesquisadeAlunos,PresençaemMaio[],7,FALSE),"")</f>
        <v/>
      </c>
      <c r="H35" s="107" t="str">
        <f>IFERROR(VLOOKUP(PesquisadeAlunos,PresençaemMaio[],8,FALSE),"")</f>
        <v/>
      </c>
      <c r="I35" s="107" t="str">
        <f>IFERROR(VLOOKUP(PesquisadeAlunos,PresençaemMaio[],9,FALSE),"")</f>
        <v/>
      </c>
      <c r="J35" s="107" t="str">
        <f>IFERROR(VLOOKUP(PesquisadeAlunos,PresençaemMaio[],10,FALSE),"")</f>
        <v/>
      </c>
      <c r="K35" s="107" t="str">
        <f>IFERROR(VLOOKUP(PesquisadeAlunos,PresençaemMaio[],11,FALSE),"")</f>
        <v/>
      </c>
      <c r="L35" s="107" t="str">
        <f>IFERROR(VLOOKUP(PesquisadeAlunos,PresençaemMaio[],12,FALSE),"")</f>
        <v/>
      </c>
      <c r="M35" s="107" t="str">
        <f>IFERROR(VLOOKUP(PesquisadeAlunos,PresençaemMaio[],13,FALSE),"")</f>
        <v/>
      </c>
      <c r="N35" s="107" t="str">
        <f>IFERROR(VLOOKUP(PesquisadeAlunos,PresençaemMaio[],14,FALSE),"")</f>
        <v/>
      </c>
      <c r="O35" s="107" t="str">
        <f>IFERROR(VLOOKUP(PesquisadeAlunos,PresençaemMaio[],15,FALSE),"")</f>
        <v/>
      </c>
      <c r="P35" s="107" t="str">
        <f>IFERROR(VLOOKUP(PesquisadeAlunos,PresençaemMaio[],16,FALSE),"")</f>
        <v/>
      </c>
      <c r="Q35" s="107" t="str">
        <f>IFERROR(VLOOKUP(PesquisadeAlunos,PresençaemMaio[],17,FALSE),"")</f>
        <v/>
      </c>
      <c r="R35" s="107" t="str">
        <f>IFERROR(VLOOKUP(PesquisadeAlunos,PresençaemMaio[],18,FALSE),"")</f>
        <v/>
      </c>
      <c r="S35" s="107" t="str">
        <f>IFERROR(VLOOKUP(PesquisadeAlunos,PresençaemMaio[],19,FALSE),"")</f>
        <v/>
      </c>
      <c r="T35" s="107" t="str">
        <f>IFERROR(VLOOKUP(PesquisadeAlunos,PresençaemMaio[],20,FALSE),"")</f>
        <v/>
      </c>
      <c r="U35" s="107" t="str">
        <f>IFERROR(VLOOKUP(PesquisadeAlunos,PresençaemMaio[],21,FALSE),"")</f>
        <v/>
      </c>
      <c r="V35" s="107" t="str">
        <f>IFERROR(VLOOKUP(PesquisadeAlunos,PresençaemMaio[],22,FALSE),"")</f>
        <v/>
      </c>
      <c r="W35" s="107" t="str">
        <f>IFERROR(VLOOKUP(PesquisadeAlunos,PresençaemMaio[],23,FALSE),"")</f>
        <v/>
      </c>
      <c r="X35" s="107" t="str">
        <f>IFERROR(VLOOKUP(PesquisadeAlunos,PresençaemMaio[],24,FALSE),"")</f>
        <v/>
      </c>
      <c r="Y35" s="107" t="str">
        <f>IFERROR(VLOOKUP(PesquisadeAlunos,PresençaemMaio[],25,FALSE),"")</f>
        <v/>
      </c>
      <c r="Z35" s="107" t="str">
        <f>IFERROR(VLOOKUP(PesquisadeAlunos,PresençaemMaio[],26,FALSE),"")</f>
        <v/>
      </c>
      <c r="AA35" s="107" t="str">
        <f>IFERROR(VLOOKUP(PesquisadeAlunos,PresençaemMaio[],27,FALSE),"")</f>
        <v/>
      </c>
      <c r="AB35" s="107" t="str">
        <f>IFERROR(VLOOKUP(PesquisadeAlunos,PresençaemMaio[],28,FALSE),"")</f>
        <v/>
      </c>
      <c r="AC35" s="107" t="str">
        <f>IFERROR(VLOOKUP(PesquisadeAlunos,PresençaemMaio[],29,FALSE),"")</f>
        <v/>
      </c>
      <c r="AD35" s="107" t="str">
        <f>IFERROR(VLOOKUP(PesquisadeAlunos,PresençaemMaio[],30,FALSE),"")</f>
        <v/>
      </c>
      <c r="AE35" s="107" t="str">
        <f>IFERROR(VLOOKUP(PesquisadeAlunos,PresençaemMaio[],31,FALSE),"")</f>
        <v/>
      </c>
      <c r="AF35" s="107" t="str">
        <f>IFERROR(VLOOKUP(PesquisadeAlunos,PresençaemMaio[],32,FALSE),"")</f>
        <v/>
      </c>
      <c r="AG35" s="107" t="str">
        <f>IFERROR(VLOOKUP(PesquisadeAlunos,PresençaemMaio[],33,FALSE),"")</f>
        <v/>
      </c>
      <c r="AH35" s="144"/>
      <c r="AI35" s="144"/>
      <c r="AJ35" s="144"/>
      <c r="AK35" s="144"/>
    </row>
    <row r="36" spans="2:37" ht="14.25" x14ac:dyDescent="0.25">
      <c r="B36" s="147" t="s">
        <v>69</v>
      </c>
      <c r="C36" s="108">
        <v>1</v>
      </c>
      <c r="D36" s="108">
        <v>2</v>
      </c>
      <c r="E36" s="108">
        <v>3</v>
      </c>
      <c r="F36" s="108">
        <v>4</v>
      </c>
      <c r="G36" s="108">
        <v>5</v>
      </c>
      <c r="H36" s="108">
        <v>6</v>
      </c>
      <c r="I36" s="108">
        <v>7</v>
      </c>
      <c r="J36" s="108">
        <v>8</v>
      </c>
      <c r="K36" s="108">
        <v>9</v>
      </c>
      <c r="L36" s="108">
        <v>10</v>
      </c>
      <c r="M36" s="108">
        <v>11</v>
      </c>
      <c r="N36" s="108">
        <v>12</v>
      </c>
      <c r="O36" s="108">
        <v>13</v>
      </c>
      <c r="P36" s="108">
        <v>14</v>
      </c>
      <c r="Q36" s="108">
        <v>15</v>
      </c>
      <c r="R36" s="108">
        <v>16</v>
      </c>
      <c r="S36" s="108">
        <v>17</v>
      </c>
      <c r="T36" s="108">
        <v>18</v>
      </c>
      <c r="U36" s="108">
        <v>19</v>
      </c>
      <c r="V36" s="108">
        <v>20</v>
      </c>
      <c r="W36" s="108">
        <v>21</v>
      </c>
      <c r="X36" s="108">
        <v>22</v>
      </c>
      <c r="Y36" s="108">
        <v>23</v>
      </c>
      <c r="Z36" s="108">
        <v>24</v>
      </c>
      <c r="AA36" s="108">
        <v>25</v>
      </c>
      <c r="AB36" s="108">
        <v>26</v>
      </c>
      <c r="AC36" s="108">
        <v>27</v>
      </c>
      <c r="AD36" s="108">
        <v>28</v>
      </c>
      <c r="AE36" s="108">
        <v>29</v>
      </c>
      <c r="AF36" s="108">
        <v>30</v>
      </c>
      <c r="AG36" s="108"/>
      <c r="AH36" s="145">
        <f>COUNTIF($D37:$AH37,Código1)</f>
        <v>0</v>
      </c>
      <c r="AI36" s="145">
        <f>COUNTIF($D37:$AH37,Código2)</f>
        <v>0</v>
      </c>
      <c r="AJ36" s="145">
        <f>COUNTIF($D37:$AH37,Código3)</f>
        <v>0</v>
      </c>
      <c r="AK36" s="145">
        <f>COUNTIF($D37:$AH37,Código4)</f>
        <v>0</v>
      </c>
    </row>
    <row r="37" spans="2:37" ht="14.25" x14ac:dyDescent="0.25">
      <c r="B37" s="141"/>
      <c r="C37" s="107" t="str">
        <f>IFERROR(VLOOKUP(PesquisadeAlunos,PresençaemJunho[],3,FALSE),"")</f>
        <v/>
      </c>
      <c r="D37" s="107" t="str">
        <f>IFERROR(VLOOKUP(PesquisadeAlunos,PresençaemJunho[],4,FALSE),"")</f>
        <v/>
      </c>
      <c r="E37" s="107" t="str">
        <f>IFERROR(VLOOKUP(PesquisadeAlunos,PresençaemJunho[],5,FALSE),"")</f>
        <v/>
      </c>
      <c r="F37" s="107" t="str">
        <f>IFERROR(VLOOKUP(PesquisadeAlunos,PresençaemJunho[],6,FALSE),"")</f>
        <v/>
      </c>
      <c r="G37" s="107" t="str">
        <f>IFERROR(VLOOKUP(PesquisadeAlunos,PresençaemJunho[],7,FALSE),"")</f>
        <v/>
      </c>
      <c r="H37" s="107" t="str">
        <f>IFERROR(VLOOKUP(PesquisadeAlunos,PresençaemJunho[],8,FALSE),"")</f>
        <v/>
      </c>
      <c r="I37" s="107" t="str">
        <f>IFERROR(VLOOKUP(PesquisadeAlunos,PresençaemJunho[],9,FALSE),"")</f>
        <v/>
      </c>
      <c r="J37" s="107" t="str">
        <f>IFERROR(VLOOKUP(PesquisadeAlunos,PresençaemJunho[],10,FALSE),"")</f>
        <v/>
      </c>
      <c r="K37" s="107" t="str">
        <f>IFERROR(VLOOKUP(PesquisadeAlunos,PresençaemJunho[],11,FALSE),"")</f>
        <v/>
      </c>
      <c r="L37" s="107" t="str">
        <f>IFERROR(VLOOKUP(PesquisadeAlunos,PresençaemJunho[],12,FALSE),"")</f>
        <v/>
      </c>
      <c r="M37" s="107" t="str">
        <f>IFERROR(VLOOKUP(PesquisadeAlunos,PresençaemJunho[],13,FALSE),"")</f>
        <v/>
      </c>
      <c r="N37" s="107" t="str">
        <f>IFERROR(VLOOKUP(PesquisadeAlunos,PresençaemJunho[],14,FALSE),"")</f>
        <v/>
      </c>
      <c r="O37" s="107" t="str">
        <f>IFERROR(VLOOKUP(PesquisadeAlunos,PresençaemJunho[],15,FALSE),"")</f>
        <v/>
      </c>
      <c r="P37" s="107" t="str">
        <f>IFERROR(VLOOKUP(PesquisadeAlunos,PresençaemJunho[],16,FALSE),"")</f>
        <v/>
      </c>
      <c r="Q37" s="107" t="str">
        <f>IFERROR(VLOOKUP(PesquisadeAlunos,PresençaemJunho[],17,FALSE),"")</f>
        <v/>
      </c>
      <c r="R37" s="107" t="str">
        <f>IFERROR(VLOOKUP(PesquisadeAlunos,PresençaemJunho[],18,FALSE),"")</f>
        <v/>
      </c>
      <c r="S37" s="107" t="str">
        <f>IFERROR(VLOOKUP(PesquisadeAlunos,PresençaemJunho[],19,FALSE),"")</f>
        <v/>
      </c>
      <c r="T37" s="107" t="str">
        <f>IFERROR(VLOOKUP(PesquisadeAlunos,PresençaemJunho[],20,FALSE),"")</f>
        <v/>
      </c>
      <c r="U37" s="107" t="str">
        <f>IFERROR(VLOOKUP(PesquisadeAlunos,PresençaemJunho[],21,FALSE),"")</f>
        <v/>
      </c>
      <c r="V37" s="107" t="str">
        <f>IFERROR(VLOOKUP(PesquisadeAlunos,PresençaemJunho[],22,FALSE),"")</f>
        <v/>
      </c>
      <c r="W37" s="107" t="str">
        <f>IFERROR(VLOOKUP(PesquisadeAlunos,PresençaemJunho[],23,FALSE),"")</f>
        <v/>
      </c>
      <c r="X37" s="107" t="str">
        <f>IFERROR(VLOOKUP(PesquisadeAlunos,PresençaemJunho[],24,FALSE),"")</f>
        <v/>
      </c>
      <c r="Y37" s="107" t="str">
        <f>IFERROR(VLOOKUP(PesquisadeAlunos,PresençaemJunho[],25,FALSE),"")</f>
        <v/>
      </c>
      <c r="Z37" s="107" t="str">
        <f>IFERROR(VLOOKUP(PesquisadeAlunos,PresençaemJunho[],26,FALSE),"")</f>
        <v/>
      </c>
      <c r="AA37" s="107" t="str">
        <f>IFERROR(VLOOKUP(PesquisadeAlunos,PresençaemJunho[],27,FALSE),"")</f>
        <v/>
      </c>
      <c r="AB37" s="107" t="str">
        <f>IFERROR(VLOOKUP(PesquisadeAlunos,PresençaemJunho[],28,FALSE),"")</f>
        <v/>
      </c>
      <c r="AC37" s="107" t="str">
        <f>IFERROR(VLOOKUP(PesquisadeAlunos,PresençaemJunho[],29,FALSE),"")</f>
        <v/>
      </c>
      <c r="AD37" s="107" t="str">
        <f>IFERROR(VLOOKUP(PesquisadeAlunos,PresençaemJunho[],30,FALSE),"")</f>
        <v/>
      </c>
      <c r="AE37" s="107" t="str">
        <f>IFERROR(VLOOKUP(PesquisadeAlunos,PresençaemJunho[],31,FALSE),"")</f>
        <v/>
      </c>
      <c r="AF37" s="107" t="str">
        <f>IFERROR(VLOOKUP(PesquisadeAlunos,PresençaemJunho[],32,FALSE),"")</f>
        <v/>
      </c>
      <c r="AG37" s="107"/>
      <c r="AH37" s="143"/>
      <c r="AI37" s="143"/>
      <c r="AJ37" s="143"/>
      <c r="AK37" s="143"/>
    </row>
    <row r="38" spans="2:37" ht="14.25" x14ac:dyDescent="0.25">
      <c r="B38" s="147" t="s">
        <v>70</v>
      </c>
      <c r="C38" s="108">
        <v>1</v>
      </c>
      <c r="D38" s="108">
        <v>2</v>
      </c>
      <c r="E38" s="108">
        <v>3</v>
      </c>
      <c r="F38" s="108">
        <v>4</v>
      </c>
      <c r="G38" s="108">
        <v>5</v>
      </c>
      <c r="H38" s="108">
        <v>6</v>
      </c>
      <c r="I38" s="108">
        <v>7</v>
      </c>
      <c r="J38" s="108">
        <v>8</v>
      </c>
      <c r="K38" s="108">
        <v>9</v>
      </c>
      <c r="L38" s="108">
        <v>10</v>
      </c>
      <c r="M38" s="108">
        <v>11</v>
      </c>
      <c r="N38" s="108">
        <v>12</v>
      </c>
      <c r="O38" s="108">
        <v>13</v>
      </c>
      <c r="P38" s="108">
        <v>14</v>
      </c>
      <c r="Q38" s="108">
        <v>15</v>
      </c>
      <c r="R38" s="108">
        <v>16</v>
      </c>
      <c r="S38" s="108">
        <v>17</v>
      </c>
      <c r="T38" s="108">
        <v>18</v>
      </c>
      <c r="U38" s="108">
        <v>19</v>
      </c>
      <c r="V38" s="108">
        <v>20</v>
      </c>
      <c r="W38" s="108">
        <v>21</v>
      </c>
      <c r="X38" s="108">
        <v>22</v>
      </c>
      <c r="Y38" s="108">
        <v>23</v>
      </c>
      <c r="Z38" s="108">
        <v>24</v>
      </c>
      <c r="AA38" s="108">
        <v>25</v>
      </c>
      <c r="AB38" s="108">
        <v>26</v>
      </c>
      <c r="AC38" s="108">
        <v>27</v>
      </c>
      <c r="AD38" s="108">
        <v>28</v>
      </c>
      <c r="AE38" s="108">
        <v>29</v>
      </c>
      <c r="AF38" s="108">
        <v>30</v>
      </c>
      <c r="AG38" s="108">
        <v>31</v>
      </c>
      <c r="AH38" s="145">
        <f>COUNTIF($D39:$AH39,Código1)</f>
        <v>0</v>
      </c>
      <c r="AI38" s="145">
        <f>COUNTIF($D39:$AH39,Código2)</f>
        <v>0</v>
      </c>
      <c r="AJ38" s="145">
        <f>COUNTIF($D39:$AH39,Código3)</f>
        <v>0</v>
      </c>
      <c r="AK38" s="145">
        <f>COUNTIF($D39:$AH39,Código4)</f>
        <v>0</v>
      </c>
    </row>
    <row r="39" spans="2:37" ht="14.25" x14ac:dyDescent="0.25">
      <c r="B39" s="141"/>
      <c r="C39" s="107" t="str">
        <f>IFERROR(VLOOKUP(PesquisadeAlunos,PresençaemJulho[],3,FALSE),"")</f>
        <v/>
      </c>
      <c r="D39" s="107" t="str">
        <f>IFERROR(VLOOKUP(PesquisadeAlunos,PresençaemJulho[],4,FALSE),"")</f>
        <v/>
      </c>
      <c r="E39" s="107" t="str">
        <f>IFERROR(VLOOKUP(PesquisadeAlunos,PresençaemJulho[],5,FALSE),"")</f>
        <v/>
      </c>
      <c r="F39" s="107" t="str">
        <f>IFERROR(VLOOKUP(PesquisadeAlunos,PresençaemJulho[],6,FALSE),"")</f>
        <v/>
      </c>
      <c r="G39" s="107" t="str">
        <f>IFERROR(VLOOKUP(PesquisadeAlunos,PresençaemJulho[],7,FALSE),"")</f>
        <v/>
      </c>
      <c r="H39" s="107" t="str">
        <f>IFERROR(VLOOKUP(PesquisadeAlunos,PresençaemJulho[],8,FALSE),"")</f>
        <v/>
      </c>
      <c r="I39" s="107" t="str">
        <f>IFERROR(VLOOKUP(PesquisadeAlunos,PresençaemJulho[],9,FALSE),"")</f>
        <v/>
      </c>
      <c r="J39" s="107" t="str">
        <f>IFERROR(VLOOKUP(PesquisadeAlunos,PresençaemJulho[],10,FALSE),"")</f>
        <v/>
      </c>
      <c r="K39" s="107" t="str">
        <f>IFERROR(VLOOKUP(PesquisadeAlunos,PresençaemJulho[],11,FALSE),"")</f>
        <v/>
      </c>
      <c r="L39" s="107" t="str">
        <f>IFERROR(VLOOKUP(PesquisadeAlunos,PresençaemJulho[],12,FALSE),"")</f>
        <v/>
      </c>
      <c r="M39" s="107" t="str">
        <f>IFERROR(VLOOKUP(PesquisadeAlunos,PresençaemJulho[],13,FALSE),"")</f>
        <v/>
      </c>
      <c r="N39" s="107" t="str">
        <f>IFERROR(VLOOKUP(PesquisadeAlunos,PresençaemJulho[],14,FALSE),"")</f>
        <v/>
      </c>
      <c r="O39" s="107" t="str">
        <f>IFERROR(VLOOKUP(PesquisadeAlunos,PresençaemJulho[],15,FALSE),"")</f>
        <v/>
      </c>
      <c r="P39" s="107" t="str">
        <f>IFERROR(VLOOKUP(PesquisadeAlunos,PresençaemJulho[],16,FALSE),"")</f>
        <v/>
      </c>
      <c r="Q39" s="107" t="str">
        <f>IFERROR(VLOOKUP(PesquisadeAlunos,PresençaemJulho[],17,FALSE),"")</f>
        <v/>
      </c>
      <c r="R39" s="107" t="str">
        <f>IFERROR(VLOOKUP(PesquisadeAlunos,PresençaemJulho[],18,FALSE),"")</f>
        <v/>
      </c>
      <c r="S39" s="107" t="str">
        <f>IFERROR(VLOOKUP(PesquisadeAlunos,PresençaemJulho[],19,FALSE),"")</f>
        <v/>
      </c>
      <c r="T39" s="107" t="str">
        <f>IFERROR(VLOOKUP(PesquisadeAlunos,PresençaemJulho[],20,FALSE),"")</f>
        <v/>
      </c>
      <c r="U39" s="107" t="str">
        <f>IFERROR(VLOOKUP(PesquisadeAlunos,PresençaemJulho[],21,FALSE),"")</f>
        <v/>
      </c>
      <c r="V39" s="107" t="str">
        <f>IFERROR(VLOOKUP(PesquisadeAlunos,PresençaemJulho[],22,FALSE),"")</f>
        <v/>
      </c>
      <c r="W39" s="107" t="str">
        <f>IFERROR(VLOOKUP(PesquisadeAlunos,PresençaemJulho[],23,FALSE),"")</f>
        <v/>
      </c>
      <c r="X39" s="107" t="str">
        <f>IFERROR(VLOOKUP(PesquisadeAlunos,PresençaemJulho[],24,FALSE),"")</f>
        <v/>
      </c>
      <c r="Y39" s="107" t="str">
        <f>IFERROR(VLOOKUP(PesquisadeAlunos,PresençaemJulho[],25,FALSE),"")</f>
        <v/>
      </c>
      <c r="Z39" s="107" t="str">
        <f>IFERROR(VLOOKUP(PesquisadeAlunos,PresençaemJulho[],26,FALSE),"")</f>
        <v/>
      </c>
      <c r="AA39" s="107" t="str">
        <f>IFERROR(VLOOKUP(PesquisadeAlunos,PresençaemJulho[],27,FALSE),"")</f>
        <v/>
      </c>
      <c r="AB39" s="107" t="str">
        <f>IFERROR(VLOOKUP(PesquisadeAlunos,PresençaemJulho[],28,FALSE),"")</f>
        <v/>
      </c>
      <c r="AC39" s="107" t="str">
        <f>IFERROR(VLOOKUP(PesquisadeAlunos,PresençaemJulho[],29,FALSE),"")</f>
        <v/>
      </c>
      <c r="AD39" s="107" t="str">
        <f>IFERROR(VLOOKUP(PesquisadeAlunos,PresençaemJulho[],30,FALSE),"")</f>
        <v/>
      </c>
      <c r="AE39" s="107" t="str">
        <f>IFERROR(VLOOKUP(PesquisadeAlunos,PresençaemJulho[],31,FALSE),"")</f>
        <v/>
      </c>
      <c r="AF39" s="107" t="str">
        <f>IFERROR(VLOOKUP(PesquisadeAlunos,PresençaemJulho[],32,FALSE),"")</f>
        <v/>
      </c>
      <c r="AG39" s="107" t="str">
        <f>IFERROR(VLOOKUP(PesquisadeAlunos,PresençaemJulho[],33,FALSE),"")</f>
        <v/>
      </c>
      <c r="AH39" s="143"/>
      <c r="AI39" s="143"/>
      <c r="AJ39" s="143"/>
      <c r="AK39" s="143"/>
    </row>
    <row r="40" spans="2:37" ht="14.25" x14ac:dyDescent="0.3"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46" t="s">
        <v>41</v>
      </c>
      <c r="AF40" s="146"/>
      <c r="AG40" s="146"/>
      <c r="AH40" s="111">
        <f>SUM(AH16:AH39)</f>
        <v>2</v>
      </c>
      <c r="AI40" s="111">
        <f>SUM(AI16:AI39)</f>
        <v>1</v>
      </c>
      <c r="AJ40" s="111">
        <f>SUM(AJ16:AJ39)</f>
        <v>0</v>
      </c>
      <c r="AK40" s="111">
        <f>SUM(AK16:AK39)</f>
        <v>19</v>
      </c>
    </row>
  </sheetData>
  <sheetProtection sheet="1" objects="1" scenarios="1" formatColumns="0" formatRows="0" selectLockedCells="1"/>
  <mergeCells count="100">
    <mergeCell ref="AK38:AK39"/>
    <mergeCell ref="AE40:AG40"/>
    <mergeCell ref="B34:B35"/>
    <mergeCell ref="AH34:AH35"/>
    <mergeCell ref="AI34:AI35"/>
    <mergeCell ref="AJ34:AJ35"/>
    <mergeCell ref="B38:B39"/>
    <mergeCell ref="AH38:AH39"/>
    <mergeCell ref="AI38:AI39"/>
    <mergeCell ref="AJ38:AJ39"/>
    <mergeCell ref="AK34:AK35"/>
    <mergeCell ref="B36:B37"/>
    <mergeCell ref="AH36:AH37"/>
    <mergeCell ref="AI36:AI37"/>
    <mergeCell ref="AJ36:AJ37"/>
    <mergeCell ref="AK36:AK37"/>
    <mergeCell ref="B30:B31"/>
    <mergeCell ref="AH30:AH31"/>
    <mergeCell ref="AI30:AI31"/>
    <mergeCell ref="AJ30:AJ31"/>
    <mergeCell ref="AK30:AK31"/>
    <mergeCell ref="B32:B33"/>
    <mergeCell ref="AH32:AH33"/>
    <mergeCell ref="AI32:AI33"/>
    <mergeCell ref="AJ32:AJ33"/>
    <mergeCell ref="AK32:AK33"/>
    <mergeCell ref="B26:B27"/>
    <mergeCell ref="AH26:AH27"/>
    <mergeCell ref="AI26:AI27"/>
    <mergeCell ref="AJ26:AJ27"/>
    <mergeCell ref="AK26:AK27"/>
    <mergeCell ref="B28:B29"/>
    <mergeCell ref="AH28:AH29"/>
    <mergeCell ref="AI28:AI29"/>
    <mergeCell ref="AJ28:AJ29"/>
    <mergeCell ref="AK28:AK29"/>
    <mergeCell ref="B22:B23"/>
    <mergeCell ref="AH22:AH23"/>
    <mergeCell ref="AI22:AI23"/>
    <mergeCell ref="AJ22:AJ23"/>
    <mergeCell ref="AK22:AK23"/>
    <mergeCell ref="B24:B25"/>
    <mergeCell ref="AH24:AH25"/>
    <mergeCell ref="AI24:AI25"/>
    <mergeCell ref="AJ24:AJ25"/>
    <mergeCell ref="AK24:AK25"/>
    <mergeCell ref="B18:B19"/>
    <mergeCell ref="AH18:AH19"/>
    <mergeCell ref="AI18:AI19"/>
    <mergeCell ref="AJ18:AJ19"/>
    <mergeCell ref="AK18:AK19"/>
    <mergeCell ref="B20:B21"/>
    <mergeCell ref="AH20:AH21"/>
    <mergeCell ref="AI20:AI21"/>
    <mergeCell ref="AJ20:AJ21"/>
    <mergeCell ref="AK20:AK21"/>
    <mergeCell ref="AH14:AK14"/>
    <mergeCell ref="B16:B17"/>
    <mergeCell ref="AH16:AH17"/>
    <mergeCell ref="AI16:AI17"/>
    <mergeCell ref="AJ16:AJ17"/>
    <mergeCell ref="AK16:AK17"/>
    <mergeCell ref="B4:C4"/>
    <mergeCell ref="D4:O4"/>
    <mergeCell ref="D3:O3"/>
    <mergeCell ref="B14:AG15"/>
    <mergeCell ref="AE3:AF3"/>
    <mergeCell ref="AE4:AF4"/>
    <mergeCell ref="AG3:AJ3"/>
    <mergeCell ref="AG4:AJ4"/>
    <mergeCell ref="B9:J9"/>
    <mergeCell ref="K9:V9"/>
    <mergeCell ref="W9:AD9"/>
    <mergeCell ref="AE9:AK9"/>
    <mergeCell ref="B10:J10"/>
    <mergeCell ref="K10:V10"/>
    <mergeCell ref="W10:AD10"/>
    <mergeCell ref="AE10:AK10"/>
    <mergeCell ref="P3:R3"/>
    <mergeCell ref="S3:V3"/>
    <mergeCell ref="W3:AD3"/>
    <mergeCell ref="W5:AD5"/>
    <mergeCell ref="P4:R4"/>
    <mergeCell ref="S4:V4"/>
    <mergeCell ref="W4:AD4"/>
    <mergeCell ref="B7:J7"/>
    <mergeCell ref="K7:V7"/>
    <mergeCell ref="W7:AD7"/>
    <mergeCell ref="AE7:AK7"/>
    <mergeCell ref="B8:J8"/>
    <mergeCell ref="K8:V8"/>
    <mergeCell ref="W8:AD8"/>
    <mergeCell ref="AE8:AK8"/>
    <mergeCell ref="AE5:AK5"/>
    <mergeCell ref="B6:J6"/>
    <mergeCell ref="K6:V6"/>
    <mergeCell ref="W6:AD6"/>
    <mergeCell ref="AE6:AK6"/>
    <mergeCell ref="B5:J5"/>
    <mergeCell ref="K5:V5"/>
  </mergeCells>
  <conditionalFormatting sqref="C17:AG17 C21:AG21 C23:AF23 C25:AG25 C27:AG27 C31:AG31 C33:AF33 C35:AG35 C37:AG37 C39:AG39 C29:AG29 C19:AG19">
    <cfRule type="expression" dxfId="5" priority="150">
      <formula>C17=Código1</formula>
    </cfRule>
  </conditionalFormatting>
  <conditionalFormatting sqref="C17:AG17 C21:AG21 C23:AF23 C25:AG25 C27:AG27 C31:AG31 C33:AF33 C35:AG35 C37:AG37 C39:AG39 C29:AG29 C19:AG19">
    <cfRule type="expression" dxfId="4" priority="162">
      <formula>C17=Código2</formula>
    </cfRule>
  </conditionalFormatting>
  <conditionalFormatting sqref="C17:AG17 C21:AG21 C23:AF23 C25:AG25 C27:AG27 C31:AG31 C33:AF33 C35:AG35 C37:AG37 C39:AG39 C29:AG29 C19:AG19">
    <cfRule type="expression" dxfId="3" priority="174">
      <formula>C17=Código3</formula>
    </cfRule>
  </conditionalFormatting>
  <conditionalFormatting sqref="C17:AG17 C21:AG21 C23:AF23 C25:AG25 C27:AG27 C31:AG31 C33:AF33 C35:AG35 C37:AG37 C39:AG39 C29:AG29 C19:AG19">
    <cfRule type="expression" dxfId="2" priority="186">
      <formula>C17=Código4</formula>
    </cfRule>
  </conditionalFormatting>
  <conditionalFormatting sqref="C17:AG17 C21:AG21 C23:AF23 C25:AG25 C27:AG27 C31:AG31 C33:AF33 C35:AG35 C37:AG37 C39:AG39 C29:AG29 C19:AG19">
    <cfRule type="expression" dxfId="1" priority="199">
      <formula>C17=Código5</formula>
    </cfRule>
  </conditionalFormatting>
  <conditionalFormatting sqref="AE28">
    <cfRule type="expression" dxfId="0" priority="200">
      <formula>DATE(AnoCalendário+1,2,AE28)&gt;EOMONTH(DATE(AnoCalendário+1,1,1),1)</formula>
    </cfRule>
  </conditionalFormatting>
  <dataValidations count="2">
    <dataValidation type="list" errorStyle="warning" allowBlank="1" showInputMessage="1" showErrorMessage="1" errorTitle="Ops!" error="Para ver detalhes de presença de um aluno específico, você precisa selecionar uma ID de Aluno na lista suspensa. Você pode clicar em Sim para usar a sua entrada, mas a maior parte dos detalhes e da presença ficará em branco. " sqref="B4:C4">
      <formula1>IDAluno</formula1>
    </dataValidation>
    <dataValidation allowBlank="1" showInputMessage="1" showErrorMessage="1" errorTitle="Nome de Aluno Desconhecido" error="Selecione um aluno na lista. Você pode adicionar ou remover nomes desta lista na planilha Lista de Alunos." sqref="D4"/>
  </dataValidations>
  <printOptions horizontalCentered="1"/>
  <pageMargins left="0.25" right="0.25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/>
  </sheetPr>
  <dimension ref="A1:S245"/>
  <sheetViews>
    <sheetView showGridLines="0" zoomScaleNormal="100" workbookViewId="0">
      <pane xSplit="2" ySplit="3" topLeftCell="L4" activePane="bottomRight" state="frozen"/>
      <selection pane="topRight" activeCell="C1" sqref="C1"/>
      <selection pane="bottomLeft" activeCell="A4" sqref="A4"/>
      <selection pane="bottomRight" activeCell="N15" sqref="N15"/>
    </sheetView>
  </sheetViews>
  <sheetFormatPr defaultRowHeight="13.5" x14ac:dyDescent="0.25"/>
  <cols>
    <col min="1" max="1" width="2.7109375" customWidth="1"/>
    <col min="2" max="2" width="14.42578125" customWidth="1"/>
    <col min="3" max="3" width="22.42578125" customWidth="1"/>
    <col min="4" max="4" width="18" customWidth="1"/>
    <col min="5" max="5" width="12.7109375" customWidth="1"/>
    <col min="6" max="6" width="22.7109375" customWidth="1"/>
    <col min="7" max="7" width="20.28515625" customWidth="1"/>
    <col min="8" max="13" width="20.5703125" customWidth="1"/>
    <col min="14" max="14" width="22.42578125" customWidth="1"/>
    <col min="15" max="17" width="20.5703125" customWidth="1"/>
    <col min="18" max="19" width="22.140625" customWidth="1"/>
  </cols>
  <sheetData>
    <row r="1" spans="1:19" ht="42" customHeight="1" x14ac:dyDescent="0.3">
      <c r="A1" s="101" t="s">
        <v>116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45"/>
    </row>
    <row r="3" spans="1:19" s="14" customFormat="1" ht="36" customHeight="1" x14ac:dyDescent="0.25">
      <c r="B3" s="88" t="s">
        <v>34</v>
      </c>
      <c r="C3" s="89" t="s">
        <v>32</v>
      </c>
      <c r="D3" s="89" t="s">
        <v>33</v>
      </c>
      <c r="E3" s="88" t="s">
        <v>42</v>
      </c>
      <c r="F3" s="88" t="s">
        <v>43</v>
      </c>
      <c r="G3" s="89" t="s">
        <v>74</v>
      </c>
      <c r="H3" s="88" t="s">
        <v>75</v>
      </c>
      <c r="I3" s="88" t="s">
        <v>113</v>
      </c>
      <c r="J3" s="88" t="s">
        <v>76</v>
      </c>
      <c r="K3" s="88" t="s">
        <v>80</v>
      </c>
      <c r="L3" s="88" t="s">
        <v>77</v>
      </c>
      <c r="M3" s="88" t="s">
        <v>78</v>
      </c>
      <c r="N3" s="88" t="s">
        <v>79</v>
      </c>
      <c r="O3" s="89" t="s">
        <v>51</v>
      </c>
      <c r="P3" s="88" t="s">
        <v>53</v>
      </c>
      <c r="Q3" s="88" t="s">
        <v>54</v>
      </c>
      <c r="R3" s="88" t="s">
        <v>55</v>
      </c>
      <c r="S3" s="89" t="s">
        <v>56</v>
      </c>
    </row>
    <row r="4" spans="1:19" ht="15.75" customHeight="1" x14ac:dyDescent="0.25">
      <c r="B4" s="13" t="s">
        <v>90</v>
      </c>
      <c r="C4" t="s">
        <v>127</v>
      </c>
      <c r="D4" s="13" t="s">
        <v>128</v>
      </c>
      <c r="E4" s="15" t="s">
        <v>52</v>
      </c>
      <c r="F4" s="16">
        <v>35517</v>
      </c>
      <c r="G4" s="13" t="s">
        <v>129</v>
      </c>
      <c r="H4" s="13" t="s">
        <v>128</v>
      </c>
      <c r="I4" s="19">
        <v>1235550134</v>
      </c>
      <c r="J4" s="19">
        <v>2345550134</v>
      </c>
      <c r="K4" s="17" t="s">
        <v>91</v>
      </c>
      <c r="L4" s="17" t="s">
        <v>73</v>
      </c>
      <c r="M4" s="19" t="s">
        <v>132</v>
      </c>
      <c r="N4" s="19">
        <v>2345550134</v>
      </c>
      <c r="O4" s="13" t="s">
        <v>130</v>
      </c>
      <c r="P4" s="13" t="s">
        <v>57</v>
      </c>
      <c r="Q4" s="19">
        <v>7895550189</v>
      </c>
      <c r="R4" s="19">
        <v>7895550134</v>
      </c>
      <c r="S4" t="str">
        <f>ListadeAlunos[[#This Row],[Nome do Aluno]]&amp;" " &amp;ListadeAlunos[[#This Row],[Sobrenome do Aluno]]</f>
        <v>Manuel Oliveira</v>
      </c>
    </row>
    <row r="5" spans="1:19" ht="15.75" customHeight="1" x14ac:dyDescent="0.25">
      <c r="B5" s="13" t="s">
        <v>92</v>
      </c>
      <c r="C5" t="s">
        <v>35</v>
      </c>
      <c r="D5" s="13">
        <v>2</v>
      </c>
      <c r="E5" s="15"/>
      <c r="F5" s="16"/>
      <c r="G5" s="13"/>
      <c r="H5" s="13"/>
      <c r="I5" s="19"/>
      <c r="J5" s="19"/>
      <c r="K5" s="17"/>
      <c r="L5" s="17"/>
      <c r="M5" s="19"/>
      <c r="N5" s="19"/>
      <c r="O5" s="13"/>
      <c r="P5" s="13"/>
      <c r="Q5" s="19"/>
      <c r="R5" s="19"/>
      <c r="S5" t="str">
        <f>ListadeAlunos[[#This Row],[Nome do Aluno]]&amp;" " &amp;ListadeAlunos[[#This Row],[Sobrenome do Aluno]]</f>
        <v>Aluno 2</v>
      </c>
    </row>
    <row r="6" spans="1:19" ht="15.75" customHeight="1" x14ac:dyDescent="0.25">
      <c r="B6" s="13" t="s">
        <v>93</v>
      </c>
      <c r="C6" t="s">
        <v>35</v>
      </c>
      <c r="D6" s="13">
        <v>3</v>
      </c>
      <c r="E6" s="15"/>
      <c r="F6" s="16"/>
      <c r="G6" s="13"/>
      <c r="H6" s="13"/>
      <c r="I6" s="19"/>
      <c r="J6" s="19"/>
      <c r="K6" s="17"/>
      <c r="L6" s="17"/>
      <c r="M6" s="19"/>
      <c r="N6" s="19"/>
      <c r="O6" s="13"/>
      <c r="P6" s="13"/>
      <c r="Q6" s="19"/>
      <c r="R6" s="19"/>
      <c r="S6" t="str">
        <f>ListadeAlunos[[#This Row],[Nome do Aluno]]&amp;" " &amp;ListadeAlunos[[#This Row],[Sobrenome do Aluno]]</f>
        <v>Aluno 3</v>
      </c>
    </row>
    <row r="7" spans="1:19" ht="15.75" customHeight="1" x14ac:dyDescent="0.25">
      <c r="B7" s="13" t="s">
        <v>94</v>
      </c>
      <c r="C7" t="s">
        <v>35</v>
      </c>
      <c r="D7" s="13">
        <v>4</v>
      </c>
      <c r="E7" s="15"/>
      <c r="F7" s="16"/>
      <c r="G7" s="13"/>
      <c r="H7" s="13"/>
      <c r="I7" s="19"/>
      <c r="J7" s="19"/>
      <c r="K7" s="17"/>
      <c r="L7" s="17"/>
      <c r="M7" s="19"/>
      <c r="N7" s="19"/>
      <c r="O7" s="13"/>
      <c r="P7" s="13"/>
      <c r="Q7" s="19"/>
      <c r="R7" s="19"/>
      <c r="S7" t="str">
        <f>ListadeAlunos[[#This Row],[Nome do Aluno]]&amp;" " &amp;ListadeAlunos[[#This Row],[Sobrenome do Aluno]]</f>
        <v>Aluno 4</v>
      </c>
    </row>
    <row r="8" spans="1:19" ht="15.75" customHeight="1" x14ac:dyDescent="0.25">
      <c r="B8" s="13" t="s">
        <v>95</v>
      </c>
      <c r="C8" t="s">
        <v>35</v>
      </c>
      <c r="D8" s="13">
        <v>5</v>
      </c>
      <c r="E8" s="15"/>
      <c r="F8" s="16"/>
      <c r="G8" s="13"/>
      <c r="H8" s="13"/>
      <c r="I8" s="19"/>
      <c r="J8" s="19"/>
      <c r="K8" s="17"/>
      <c r="L8" s="17"/>
      <c r="M8" s="19"/>
      <c r="N8" s="19"/>
      <c r="O8" s="13"/>
      <c r="P8" s="13"/>
      <c r="Q8" s="19"/>
      <c r="R8" s="19"/>
      <c r="S8" t="str">
        <f>ListadeAlunos[[#This Row],[Nome do Aluno]]&amp;" " &amp;ListadeAlunos[[#This Row],[Sobrenome do Aluno]]</f>
        <v>Aluno 5</v>
      </c>
    </row>
    <row r="9" spans="1:19" ht="15.75" customHeight="1" x14ac:dyDescent="0.25"/>
    <row r="10" spans="1:19" ht="15.75" customHeight="1" x14ac:dyDescent="0.25"/>
    <row r="11" spans="1:19" ht="15.75" customHeight="1" x14ac:dyDescent="0.25"/>
    <row r="12" spans="1:19" ht="15.75" customHeight="1" x14ac:dyDescent="0.25"/>
    <row r="13" spans="1:19" ht="15.75" customHeight="1" x14ac:dyDescent="0.25"/>
    <row r="14" spans="1:19" ht="15.75" customHeight="1" x14ac:dyDescent="0.25"/>
    <row r="15" spans="1:19" ht="15.75" customHeight="1" x14ac:dyDescent="0.25"/>
    <row r="16" spans="1:19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</sheetData>
  <pageMargins left="0.25" right="0.25" top="0.75" bottom="0.75" header="0.3" footer="0.3"/>
  <pageSetup paperSize="9" scale="85" fitToWidth="0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 tint="-0.499984740745262"/>
    <pageSetUpPr fitToPage="1"/>
  </sheetPr>
  <dimension ref="A1:AN346"/>
  <sheetViews>
    <sheetView showGridLines="0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5" customHeight="1" x14ac:dyDescent="0.25"/>
  <cols>
    <col min="1" max="1" width="2.7109375" style="11" customWidth="1"/>
    <col min="2" max="2" width="11.85546875" style="11" bestFit="1" customWidth="1"/>
    <col min="3" max="3" width="28.85546875" style="12" customWidth="1"/>
    <col min="4" max="34" width="5" style="10" customWidth="1"/>
    <col min="35" max="35" width="4.7109375" style="9" customWidth="1"/>
    <col min="36" max="36" width="4.7109375" style="10" customWidth="1"/>
    <col min="37" max="38" width="4.7109375" style="11" customWidth="1"/>
    <col min="39" max="39" width="16.85546875" style="11" bestFit="1" customWidth="1"/>
    <col min="40" max="16384" width="9.140625" style="11"/>
  </cols>
  <sheetData>
    <row r="1" spans="1:40" s="1" customFormat="1" ht="42" customHeight="1" x14ac:dyDescent="0.25">
      <c r="A1" s="117" t="s">
        <v>89</v>
      </c>
      <c r="B1" s="40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0"/>
      <c r="AD1" s="40"/>
      <c r="AE1" s="40"/>
      <c r="AF1" s="40"/>
      <c r="AG1" s="42"/>
      <c r="AH1" s="40"/>
      <c r="AI1" s="40"/>
      <c r="AJ1" s="43"/>
      <c r="AK1" s="40"/>
      <c r="AL1" s="59" t="s">
        <v>72</v>
      </c>
      <c r="AM1" s="60">
        <v>2012</v>
      </c>
    </row>
    <row r="2" spans="1:40" customFormat="1" ht="13.5" x14ac:dyDescent="0.25"/>
    <row r="3" spans="1:40" s="31" customFormat="1" ht="12.75" customHeight="1" x14ac:dyDescent="0.25">
      <c r="C3" s="46" t="s">
        <v>107</v>
      </c>
      <c r="D3" s="53" t="s">
        <v>37</v>
      </c>
      <c r="E3" s="70" t="s">
        <v>83</v>
      </c>
      <c r="F3" s="61"/>
      <c r="H3" s="54" t="s">
        <v>39</v>
      </c>
      <c r="I3" s="58" t="s">
        <v>84</v>
      </c>
      <c r="L3" s="55" t="s">
        <v>38</v>
      </c>
      <c r="M3" s="58" t="s">
        <v>85</v>
      </c>
      <c r="P3" s="56" t="s">
        <v>31</v>
      </c>
      <c r="Q3" s="58" t="s">
        <v>86</v>
      </c>
      <c r="T3" s="57" t="s">
        <v>71</v>
      </c>
      <c r="U3" s="58" t="s">
        <v>87</v>
      </c>
      <c r="W3"/>
      <c r="X3"/>
      <c r="Y3"/>
      <c r="AD3" s="30"/>
      <c r="AE3" s="30"/>
      <c r="AH3" s="32"/>
      <c r="AI3" s="33"/>
      <c r="AK3" s="34"/>
    </row>
    <row r="4" spans="1:40" customFormat="1" ht="16.5" customHeight="1" x14ac:dyDescent="0.25"/>
    <row r="5" spans="1:40" s="2" customFormat="1" ht="18" customHeight="1" x14ac:dyDescent="0.3">
      <c r="B5" s="63">
        <f>DATE(AnoCalendário,8,1)</f>
        <v>41122</v>
      </c>
      <c r="C5" s="62"/>
      <c r="D5" s="44" t="str">
        <f>TEXT(WEEKDAY(DATE(AnoCalendário,8,1),1),"ddd")</f>
        <v>qua</v>
      </c>
      <c r="E5" s="44" t="str">
        <f>TEXT(WEEKDAY(DATE(AnoCalendário,8,2),1),"ddd")</f>
        <v>qui</v>
      </c>
      <c r="F5" s="44" t="str">
        <f>TEXT(WEEKDAY(DATE(AnoCalendário,8,3),1),"ddd")</f>
        <v>sex</v>
      </c>
      <c r="G5" s="44" t="str">
        <f>TEXT(WEEKDAY(DATE(AnoCalendário,8,4),1),"ddd")</f>
        <v>sáb</v>
      </c>
      <c r="H5" s="44" t="str">
        <f>TEXT(WEEKDAY(DATE(AnoCalendário,8,5),1),"ddd")</f>
        <v>dom</v>
      </c>
      <c r="I5" s="44" t="str">
        <f>TEXT(WEEKDAY(DATE(AnoCalendário,8,6),1),"ddd")</f>
        <v>seg</v>
      </c>
      <c r="J5" s="44" t="str">
        <f>TEXT(WEEKDAY(DATE(AnoCalendário,8,7),1),"ddd")</f>
        <v>ter</v>
      </c>
      <c r="K5" s="44" t="str">
        <f>TEXT(WEEKDAY(DATE(AnoCalendário,8,8),1),"ddd")</f>
        <v>qua</v>
      </c>
      <c r="L5" s="44" t="str">
        <f>TEXT(WEEKDAY(DATE(AnoCalendário,8,9),1),"ddd")</f>
        <v>qui</v>
      </c>
      <c r="M5" s="44" t="str">
        <f>TEXT(WEEKDAY(DATE(AnoCalendário,8,10),1),"ddd")</f>
        <v>sex</v>
      </c>
      <c r="N5" s="44" t="str">
        <f>TEXT(WEEKDAY(DATE(AnoCalendário,8,11),1),"ddd")</f>
        <v>sáb</v>
      </c>
      <c r="O5" s="44" t="str">
        <f>TEXT(WEEKDAY(DATE(AnoCalendário,8,12),1),"ddd")</f>
        <v>dom</v>
      </c>
      <c r="P5" s="44" t="str">
        <f>TEXT(WEEKDAY(DATE(AnoCalendário,8,13),1),"ddd")</f>
        <v>seg</v>
      </c>
      <c r="Q5" s="44" t="str">
        <f>TEXT(WEEKDAY(DATE(AnoCalendário,8,14),1),"ddd")</f>
        <v>ter</v>
      </c>
      <c r="R5" s="44" t="str">
        <f>TEXT(WEEKDAY(DATE(AnoCalendário,8,15),1),"ddd")</f>
        <v>qua</v>
      </c>
      <c r="S5" s="44" t="str">
        <f>TEXT(WEEKDAY(DATE(AnoCalendário,8,16),1),"ddd")</f>
        <v>qui</v>
      </c>
      <c r="T5" s="44" t="str">
        <f>TEXT(WEEKDAY(DATE(AnoCalendário,8,17),1),"ddd")</f>
        <v>sex</v>
      </c>
      <c r="U5" s="44" t="str">
        <f>TEXT(WEEKDAY(DATE(AnoCalendário,8,18),1),"ddd")</f>
        <v>sáb</v>
      </c>
      <c r="V5" s="44" t="str">
        <f>TEXT(WEEKDAY(DATE(AnoCalendário,8,19),1),"ddd")</f>
        <v>dom</v>
      </c>
      <c r="W5" s="44" t="str">
        <f>TEXT(WEEKDAY(DATE(AnoCalendário,8,20),1),"ddd")</f>
        <v>seg</v>
      </c>
      <c r="X5" s="44" t="str">
        <f>TEXT(WEEKDAY(DATE(AnoCalendário,8,21),1),"ddd")</f>
        <v>ter</v>
      </c>
      <c r="Y5" s="44" t="str">
        <f>TEXT(WEEKDAY(DATE(AnoCalendário,8,22),1),"ddd")</f>
        <v>qua</v>
      </c>
      <c r="Z5" s="44" t="str">
        <f>TEXT(WEEKDAY(DATE(AnoCalendário,8,23),1),"ddd")</f>
        <v>qui</v>
      </c>
      <c r="AA5" s="44" t="str">
        <f>TEXT(WEEKDAY(DATE(AnoCalendário,8,24),1),"ddd")</f>
        <v>sex</v>
      </c>
      <c r="AB5" s="44" t="str">
        <f>TEXT(WEEKDAY(DATE(AnoCalendário,8,25),1),"ddd")</f>
        <v>sáb</v>
      </c>
      <c r="AC5" s="44" t="str">
        <f>TEXT(WEEKDAY(DATE(AnoCalendário,8,26),1),"ddd")</f>
        <v>dom</v>
      </c>
      <c r="AD5" s="44" t="str">
        <f>TEXT(WEEKDAY(DATE(AnoCalendário,8,27),1),"ddd")</f>
        <v>seg</v>
      </c>
      <c r="AE5" s="44" t="str">
        <f>TEXT(WEEKDAY(DATE(AnoCalendário,8,28),1),"ddd")</f>
        <v>ter</v>
      </c>
      <c r="AF5" s="44" t="str">
        <f>TEXT(WEEKDAY(DATE(AnoCalendário,8,29),1),"ddd")</f>
        <v>qua</v>
      </c>
      <c r="AG5" s="44" t="str">
        <f>TEXT(WEEKDAY(DATE(AnoCalendário,8,30),1),"ddd")</f>
        <v>qui</v>
      </c>
      <c r="AH5" s="44" t="str">
        <f>TEXT(WEEKDAY(DATE(AnoCalendário,8,31),1),"ddd")</f>
        <v>sex</v>
      </c>
      <c r="AI5" s="125" t="s">
        <v>41</v>
      </c>
      <c r="AJ5" s="126"/>
      <c r="AK5" s="126"/>
      <c r="AL5" s="126"/>
      <c r="AM5" s="127"/>
    </row>
    <row r="6" spans="1:40" s="5" customFormat="1" ht="14.25" customHeight="1" x14ac:dyDescent="0.25">
      <c r="B6" s="47" t="s">
        <v>34</v>
      </c>
      <c r="C6" s="48" t="s">
        <v>36</v>
      </c>
      <c r="D6" s="3" t="s">
        <v>0</v>
      </c>
      <c r="E6" s="3" t="s">
        <v>1</v>
      </c>
      <c r="F6" s="3" t="s">
        <v>2</v>
      </c>
      <c r="G6" s="3" t="s">
        <v>3</v>
      </c>
      <c r="H6" s="3" t="s">
        <v>4</v>
      </c>
      <c r="I6" s="3" t="s">
        <v>5</v>
      </c>
      <c r="J6" s="3" t="s">
        <v>6</v>
      </c>
      <c r="K6" s="3" t="s">
        <v>7</v>
      </c>
      <c r="L6" s="3" t="s">
        <v>8</v>
      </c>
      <c r="M6" s="3" t="s">
        <v>9</v>
      </c>
      <c r="N6" s="3" t="s">
        <v>10</v>
      </c>
      <c r="O6" s="3" t="s">
        <v>11</v>
      </c>
      <c r="P6" s="3" t="s">
        <v>12</v>
      </c>
      <c r="Q6" s="3" t="s">
        <v>13</v>
      </c>
      <c r="R6" s="3" t="s">
        <v>14</v>
      </c>
      <c r="S6" s="3" t="s">
        <v>15</v>
      </c>
      <c r="T6" s="3" t="s">
        <v>16</v>
      </c>
      <c r="U6" s="3" t="s">
        <v>17</v>
      </c>
      <c r="V6" s="3" t="s">
        <v>18</v>
      </c>
      <c r="W6" s="3" t="s">
        <v>19</v>
      </c>
      <c r="X6" s="3" t="s">
        <v>20</v>
      </c>
      <c r="Y6" s="3" t="s">
        <v>21</v>
      </c>
      <c r="Z6" s="3" t="s">
        <v>22</v>
      </c>
      <c r="AA6" s="3" t="s">
        <v>23</v>
      </c>
      <c r="AB6" s="3" t="s">
        <v>24</v>
      </c>
      <c r="AC6" s="3" t="s">
        <v>25</v>
      </c>
      <c r="AD6" s="3" t="s">
        <v>26</v>
      </c>
      <c r="AE6" s="3" t="s">
        <v>27</v>
      </c>
      <c r="AF6" s="3" t="s">
        <v>28</v>
      </c>
      <c r="AG6" s="3" t="s">
        <v>29</v>
      </c>
      <c r="AH6" s="3" t="s">
        <v>30</v>
      </c>
      <c r="AI6" s="96" t="s">
        <v>37</v>
      </c>
      <c r="AJ6" s="71" t="s">
        <v>39</v>
      </c>
      <c r="AK6" s="72" t="s">
        <v>38</v>
      </c>
      <c r="AL6" s="73" t="s">
        <v>31</v>
      </c>
      <c r="AM6" s="52" t="s">
        <v>40</v>
      </c>
      <c r="AN6" s="4"/>
    </row>
    <row r="7" spans="1:40" s="5" customFormat="1" ht="16.5" customHeight="1" x14ac:dyDescent="0.25">
      <c r="B7" s="49" t="s">
        <v>90</v>
      </c>
      <c r="C7" t="str">
        <f>IFERROR(VLOOKUP(PresençaemAgosto[[#This Row],[ID do Aluno]],ListadeAlunos[],18,FALSE),"")</f>
        <v>Manuel Oliveira</v>
      </c>
      <c r="D7" s="23" t="s">
        <v>31</v>
      </c>
      <c r="E7" s="23" t="s">
        <v>31</v>
      </c>
      <c r="F7" s="23" t="s">
        <v>37</v>
      </c>
      <c r="G7" s="23" t="s">
        <v>37</v>
      </c>
      <c r="H7" s="23" t="s">
        <v>31</v>
      </c>
      <c r="I7" s="23" t="s">
        <v>71</v>
      </c>
      <c r="J7" s="23" t="s">
        <v>71</v>
      </c>
      <c r="K7" s="23" t="s">
        <v>31</v>
      </c>
      <c r="L7" s="23" t="s">
        <v>31</v>
      </c>
      <c r="M7" s="23" t="s">
        <v>39</v>
      </c>
      <c r="N7" s="23" t="s">
        <v>31</v>
      </c>
      <c r="O7" s="23" t="s">
        <v>31</v>
      </c>
      <c r="P7" s="23" t="s">
        <v>71</v>
      </c>
      <c r="Q7" s="23" t="s">
        <v>71</v>
      </c>
      <c r="R7" s="23" t="s">
        <v>31</v>
      </c>
      <c r="S7" s="23" t="s">
        <v>31</v>
      </c>
      <c r="T7" s="23" t="s">
        <v>31</v>
      </c>
      <c r="U7" s="23" t="s">
        <v>31</v>
      </c>
      <c r="V7" s="23" t="s">
        <v>31</v>
      </c>
      <c r="W7" s="23" t="s">
        <v>71</v>
      </c>
      <c r="X7" s="23" t="s">
        <v>71</v>
      </c>
      <c r="Y7" s="23" t="s">
        <v>31</v>
      </c>
      <c r="Z7" s="23" t="s">
        <v>31</v>
      </c>
      <c r="AA7" s="23" t="s">
        <v>31</v>
      </c>
      <c r="AB7" s="23" t="s">
        <v>31</v>
      </c>
      <c r="AC7" s="23" t="s">
        <v>31</v>
      </c>
      <c r="AD7" s="23" t="s">
        <v>71</v>
      </c>
      <c r="AE7" s="23" t="s">
        <v>71</v>
      </c>
      <c r="AF7" s="23" t="s">
        <v>31</v>
      </c>
      <c r="AG7" s="23" t="s">
        <v>31</v>
      </c>
      <c r="AH7" s="23" t="s">
        <v>31</v>
      </c>
      <c r="AI7" s="6">
        <f>COUNTIF(PresençaemAgosto[[#This Row],[1]:[31]],Código1)</f>
        <v>2</v>
      </c>
      <c r="AJ7" s="51">
        <f>COUNTIF(PresençaemAgosto[[#This Row],[1]:[31]],Código2)</f>
        <v>1</v>
      </c>
      <c r="AK7" s="51">
        <f>COUNTIF(PresençaemAgosto[[#This Row],[1]:[31]],Código3)</f>
        <v>0</v>
      </c>
      <c r="AL7" s="51">
        <f>COUNTIF(PresençaemAgosto[[#This Row],[1]:[31]],Código4)</f>
        <v>20</v>
      </c>
      <c r="AM7" s="6">
        <f>SUM(PresençaemAgosto[[#This Row],[E]:[U]])</f>
        <v>1</v>
      </c>
      <c r="AN7" s="4"/>
    </row>
    <row r="8" spans="1:40" s="5" customFormat="1" ht="16.5" customHeight="1" x14ac:dyDescent="0.25">
      <c r="B8" s="49" t="s">
        <v>92</v>
      </c>
      <c r="C8" t="str">
        <f>IFERROR(VLOOKUP(PresençaemAgosto[[#This Row],[ID do Aluno]],ListadeAlunos[],18,FALSE),"")</f>
        <v>Aluno 2</v>
      </c>
      <c r="D8" s="23" t="s">
        <v>31</v>
      </c>
      <c r="E8" s="23" t="s">
        <v>38</v>
      </c>
      <c r="F8" s="23" t="s">
        <v>31</v>
      </c>
      <c r="G8" s="23" t="s">
        <v>31</v>
      </c>
      <c r="H8" s="23" t="s">
        <v>31</v>
      </c>
      <c r="I8" s="23" t="s">
        <v>71</v>
      </c>
      <c r="J8" s="23" t="s">
        <v>71</v>
      </c>
      <c r="K8" s="23" t="s">
        <v>31</v>
      </c>
      <c r="L8" s="23" t="s">
        <v>39</v>
      </c>
      <c r="M8" s="23" t="s">
        <v>39</v>
      </c>
      <c r="N8" s="23" t="s">
        <v>39</v>
      </c>
      <c r="O8" s="23" t="s">
        <v>39</v>
      </c>
      <c r="P8" s="23" t="s">
        <v>71</v>
      </c>
      <c r="Q8" s="23" t="s">
        <v>71</v>
      </c>
      <c r="R8" s="23" t="s">
        <v>31</v>
      </c>
      <c r="S8" s="23" t="s">
        <v>31</v>
      </c>
      <c r="T8" s="23" t="s">
        <v>31</v>
      </c>
      <c r="U8" s="23" t="s">
        <v>31</v>
      </c>
      <c r="V8" s="23" t="s">
        <v>31</v>
      </c>
      <c r="W8" s="23" t="s">
        <v>71</v>
      </c>
      <c r="X8" s="23" t="s">
        <v>71</v>
      </c>
      <c r="Y8" s="23" t="s">
        <v>31</v>
      </c>
      <c r="Z8" s="23" t="s">
        <v>31</v>
      </c>
      <c r="AA8" s="23" t="s">
        <v>31</v>
      </c>
      <c r="AB8" s="23" t="s">
        <v>37</v>
      </c>
      <c r="AC8" s="23" t="s">
        <v>37</v>
      </c>
      <c r="AD8" s="23" t="s">
        <v>71</v>
      </c>
      <c r="AE8" s="23" t="s">
        <v>71</v>
      </c>
      <c r="AF8" s="23" t="s">
        <v>31</v>
      </c>
      <c r="AG8" s="23" t="s">
        <v>31</v>
      </c>
      <c r="AH8" s="23" t="s">
        <v>31</v>
      </c>
      <c r="AI8" s="6">
        <f>COUNTIF(PresençaemAgosto[[#This Row],[1]:[31]],Código1)</f>
        <v>2</v>
      </c>
      <c r="AJ8" s="51">
        <f>COUNTIF(PresençaemAgosto[[#This Row],[1]:[31]],Código2)</f>
        <v>4</v>
      </c>
      <c r="AK8" s="51">
        <f>COUNTIF(PresençaemAgosto[[#This Row],[1]:[31]],Código3)</f>
        <v>1</v>
      </c>
      <c r="AL8" s="51">
        <f>COUNTIF(PresençaemAgosto[[#This Row],[1]:[31]],Código4)</f>
        <v>16</v>
      </c>
      <c r="AM8" s="6">
        <f>SUM(PresençaemAgosto[[#This Row],[E]:[U]])</f>
        <v>5</v>
      </c>
      <c r="AN8" s="4"/>
    </row>
    <row r="9" spans="1:40" s="8" customFormat="1" ht="16.5" customHeight="1" x14ac:dyDescent="0.25">
      <c r="B9" s="49" t="s">
        <v>93</v>
      </c>
      <c r="C9" t="str">
        <f>IFERROR(VLOOKUP(PresençaemAgosto[[#This Row],[ID do Aluno]],ListadeAlunos[],18,FALSE),"")</f>
        <v>Aluno 3</v>
      </c>
      <c r="D9" s="23" t="s">
        <v>31</v>
      </c>
      <c r="E9" s="23" t="s">
        <v>39</v>
      </c>
      <c r="F9" s="23" t="s">
        <v>31</v>
      </c>
      <c r="G9" s="23" t="s">
        <v>31</v>
      </c>
      <c r="H9" s="23" t="s">
        <v>31</v>
      </c>
      <c r="I9" s="23" t="s">
        <v>71</v>
      </c>
      <c r="J9" s="23" t="s">
        <v>71</v>
      </c>
      <c r="K9" s="23" t="s">
        <v>31</v>
      </c>
      <c r="L9" s="23" t="s">
        <v>31</v>
      </c>
      <c r="M9" s="23" t="s">
        <v>38</v>
      </c>
      <c r="N9" s="23" t="s">
        <v>31</v>
      </c>
      <c r="O9" s="23" t="s">
        <v>31</v>
      </c>
      <c r="P9" s="23" t="s">
        <v>71</v>
      </c>
      <c r="Q9" s="23" t="s">
        <v>71</v>
      </c>
      <c r="R9" s="23" t="s">
        <v>31</v>
      </c>
      <c r="S9" s="23" t="s">
        <v>31</v>
      </c>
      <c r="T9" s="23" t="s">
        <v>31</v>
      </c>
      <c r="U9" s="23" t="s">
        <v>31</v>
      </c>
      <c r="V9" s="23" t="s">
        <v>31</v>
      </c>
      <c r="W9" s="23" t="s">
        <v>71</v>
      </c>
      <c r="X9" s="23" t="s">
        <v>71</v>
      </c>
      <c r="Y9" s="23" t="s">
        <v>31</v>
      </c>
      <c r="Z9" s="23" t="s">
        <v>31</v>
      </c>
      <c r="AA9" s="23" t="s">
        <v>39</v>
      </c>
      <c r="AB9" s="23" t="s">
        <v>39</v>
      </c>
      <c r="AC9" s="23" t="s">
        <v>31</v>
      </c>
      <c r="AD9" s="23" t="s">
        <v>71</v>
      </c>
      <c r="AE9" s="23" t="s">
        <v>71</v>
      </c>
      <c r="AF9" s="23" t="s">
        <v>31</v>
      </c>
      <c r="AG9" s="23" t="s">
        <v>31</v>
      </c>
      <c r="AH9" s="23" t="s">
        <v>31</v>
      </c>
      <c r="AI9" s="6">
        <f>COUNTIF(PresençaemAgosto[[#This Row],[1]:[31]],Código1)</f>
        <v>0</v>
      </c>
      <c r="AJ9" s="51">
        <f>COUNTIF(PresençaemAgosto[[#This Row],[1]:[31]],Código2)</f>
        <v>3</v>
      </c>
      <c r="AK9" s="51">
        <f>COUNTIF(PresençaemAgosto[[#This Row],[1]:[31]],Código3)</f>
        <v>1</v>
      </c>
      <c r="AL9" s="51">
        <f>COUNTIF(PresençaemAgosto[[#This Row],[1]:[31]],Código4)</f>
        <v>19</v>
      </c>
      <c r="AM9" s="6">
        <f>SUM(PresençaemAgosto[[#This Row],[E]:[U]])</f>
        <v>4</v>
      </c>
      <c r="AN9" s="7"/>
    </row>
    <row r="10" spans="1:40" ht="16.5" customHeight="1" x14ac:dyDescent="0.25">
      <c r="B10" s="49" t="s">
        <v>94</v>
      </c>
      <c r="C10" t="str">
        <f>IFERROR(VLOOKUP(PresençaemAgosto[[#This Row],[ID do Aluno]],ListadeAlunos[],18,FALSE),"")</f>
        <v>Aluno 4</v>
      </c>
      <c r="D10" s="23" t="s">
        <v>31</v>
      </c>
      <c r="E10" s="23" t="s">
        <v>31</v>
      </c>
      <c r="F10" s="23" t="s">
        <v>31</v>
      </c>
      <c r="G10" s="23" t="s">
        <v>31</v>
      </c>
      <c r="H10" s="23" t="s">
        <v>31</v>
      </c>
      <c r="I10" s="23" t="s">
        <v>71</v>
      </c>
      <c r="J10" s="23" t="s">
        <v>71</v>
      </c>
      <c r="K10" s="23" t="s">
        <v>31</v>
      </c>
      <c r="L10" s="23" t="s">
        <v>31</v>
      </c>
      <c r="M10" s="23" t="s">
        <v>31</v>
      </c>
      <c r="N10" s="23" t="s">
        <v>31</v>
      </c>
      <c r="O10" s="23" t="s">
        <v>31</v>
      </c>
      <c r="P10" s="23" t="s">
        <v>71</v>
      </c>
      <c r="Q10" s="23" t="s">
        <v>71</v>
      </c>
      <c r="R10" s="23" t="s">
        <v>31</v>
      </c>
      <c r="S10" s="23" t="s">
        <v>31</v>
      </c>
      <c r="T10" s="23" t="s">
        <v>31</v>
      </c>
      <c r="U10" s="23" t="s">
        <v>31</v>
      </c>
      <c r="V10" s="23" t="s">
        <v>31</v>
      </c>
      <c r="W10" s="23" t="s">
        <v>71</v>
      </c>
      <c r="X10" s="23" t="s">
        <v>71</v>
      </c>
      <c r="Y10" s="23" t="s">
        <v>31</v>
      </c>
      <c r="Z10" s="23" t="s">
        <v>38</v>
      </c>
      <c r="AA10" s="23" t="s">
        <v>31</v>
      </c>
      <c r="AB10" s="23" t="s">
        <v>31</v>
      </c>
      <c r="AC10" s="23" t="s">
        <v>39</v>
      </c>
      <c r="AD10" s="23" t="s">
        <v>71</v>
      </c>
      <c r="AE10" s="23" t="s">
        <v>71</v>
      </c>
      <c r="AF10" s="23" t="s">
        <v>31</v>
      </c>
      <c r="AG10" s="23" t="s">
        <v>39</v>
      </c>
      <c r="AH10" s="23" t="s">
        <v>31</v>
      </c>
      <c r="AI10" s="6">
        <f>COUNTIF(PresençaemAgosto[[#This Row],[1]:[31]],Código1)</f>
        <v>0</v>
      </c>
      <c r="AJ10" s="51">
        <f>COUNTIF(PresençaemAgosto[[#This Row],[1]:[31]],Código2)</f>
        <v>2</v>
      </c>
      <c r="AK10" s="51">
        <f>COUNTIF(PresençaemAgosto[[#This Row],[1]:[31]],Código3)</f>
        <v>1</v>
      </c>
      <c r="AL10" s="51">
        <f>COUNTIF(PresençaemAgosto[[#This Row],[1]:[31]],Código4)</f>
        <v>20</v>
      </c>
      <c r="AM10" s="6">
        <f>SUM(PresençaemAgosto[[#This Row],[E]:[U]])</f>
        <v>3</v>
      </c>
      <c r="AN10" s="10"/>
    </row>
    <row r="11" spans="1:40" ht="16.5" customHeight="1" x14ac:dyDescent="0.25">
      <c r="B11" s="49" t="s">
        <v>95</v>
      </c>
      <c r="C11" t="str">
        <f>IFERROR(VLOOKUP(PresençaemAgosto[[#This Row],[ID do Aluno]],ListadeAlunos[],18,FALSE),"")</f>
        <v>Aluno 5</v>
      </c>
      <c r="D11" s="23" t="s">
        <v>31</v>
      </c>
      <c r="E11" s="23" t="s">
        <v>31</v>
      </c>
      <c r="F11" s="23" t="s">
        <v>31</v>
      </c>
      <c r="G11" s="23" t="s">
        <v>31</v>
      </c>
      <c r="H11" s="23" t="s">
        <v>31</v>
      </c>
      <c r="I11" s="23" t="s">
        <v>71</v>
      </c>
      <c r="J11" s="23" t="s">
        <v>71</v>
      </c>
      <c r="K11" s="23" t="s">
        <v>31</v>
      </c>
      <c r="L11" s="23" t="s">
        <v>31</v>
      </c>
      <c r="M11" s="23" t="s">
        <v>31</v>
      </c>
      <c r="N11" s="23" t="s">
        <v>31</v>
      </c>
      <c r="O11" s="23" t="s">
        <v>31</v>
      </c>
      <c r="P11" s="23" t="s">
        <v>71</v>
      </c>
      <c r="Q11" s="23" t="s">
        <v>71</v>
      </c>
      <c r="R11" s="23" t="s">
        <v>31</v>
      </c>
      <c r="S11" s="23" t="s">
        <v>31</v>
      </c>
      <c r="T11" s="23" t="s">
        <v>31</v>
      </c>
      <c r="U11" s="23" t="s">
        <v>31</v>
      </c>
      <c r="V11" s="23" t="s">
        <v>31</v>
      </c>
      <c r="W11" s="23" t="s">
        <v>71</v>
      </c>
      <c r="X11" s="23" t="s">
        <v>71</v>
      </c>
      <c r="Y11" s="23" t="s">
        <v>31</v>
      </c>
      <c r="Z11" s="23" t="s">
        <v>31</v>
      </c>
      <c r="AA11" s="23" t="s">
        <v>31</v>
      </c>
      <c r="AB11" s="23" t="s">
        <v>31</v>
      </c>
      <c r="AC11" s="23" t="s">
        <v>31</v>
      </c>
      <c r="AD11" s="23" t="s">
        <v>71</v>
      </c>
      <c r="AE11" s="23" t="s">
        <v>71</v>
      </c>
      <c r="AF11" s="23" t="s">
        <v>31</v>
      </c>
      <c r="AG11" s="23" t="s">
        <v>31</v>
      </c>
      <c r="AH11" s="23" t="s">
        <v>31</v>
      </c>
      <c r="AI11" s="6">
        <f>COUNTIF(PresençaemAgosto[[#This Row],[1]:[31]],Código1)</f>
        <v>0</v>
      </c>
      <c r="AJ11" s="51">
        <f>COUNTIF(PresençaemAgosto[[#This Row],[1]:[31]],Código2)</f>
        <v>0</v>
      </c>
      <c r="AK11" s="51">
        <f>COUNTIF(PresençaemAgosto[[#This Row],[1]:[31]],Código3)</f>
        <v>0</v>
      </c>
      <c r="AL11" s="51">
        <f>COUNTIF(PresençaemAgosto[[#This Row],[1]:[31]],Código4)</f>
        <v>23</v>
      </c>
      <c r="AM11" s="6">
        <f>SUM(PresençaemAgosto[[#This Row],[E]:[U]])</f>
        <v>0</v>
      </c>
      <c r="AN11" s="10"/>
    </row>
    <row r="12" spans="1:40" ht="16.5" customHeight="1" x14ac:dyDescent="0.25">
      <c r="B12" s="118"/>
      <c r="C12" s="119" t="s">
        <v>115</v>
      </c>
      <c r="D12" s="120">
        <f>COUNTIF(PresençaemAgosto[1],"U")+COUNTIF(PresençaemAgosto[1],"E")</f>
        <v>0</v>
      </c>
      <c r="E12" s="120">
        <f>COUNTIF(PresençaemAgosto[2],"U")+COUNTIF(PresençaemAgosto[2],"E")</f>
        <v>2</v>
      </c>
      <c r="F12" s="120">
        <f>COUNTIF(PresençaemAgosto[3],"U")+COUNTIF(PresençaemAgosto[3],"E")</f>
        <v>0</v>
      </c>
      <c r="G12" s="120">
        <f>COUNTIF(PresençaemAgosto[4],"U")+COUNTIF(PresençaemAgosto[4],"E")</f>
        <v>0</v>
      </c>
      <c r="H12" s="120">
        <f>COUNTIF(PresençaemAgosto[5],"U")+COUNTIF(PresençaemAgosto[5],"E")</f>
        <v>0</v>
      </c>
      <c r="I12" s="120">
        <f>COUNTIF(PresençaemAgosto[6],"U")+COUNTIF(PresençaemAgosto[6],"E")</f>
        <v>0</v>
      </c>
      <c r="J12" s="120">
        <f>COUNTIF(PresençaemAgosto[7],"U")+COUNTIF(PresençaemAgosto[7],"E")</f>
        <v>0</v>
      </c>
      <c r="K12" s="120">
        <f>COUNTIF(PresençaemAgosto[8],"U")+COUNTIF(PresençaemAgosto[8],"E")</f>
        <v>0</v>
      </c>
      <c r="L12" s="120">
        <f>COUNTIF(PresençaemAgosto[9],"U")+COUNTIF(PresençaemAgosto[9],"E")</f>
        <v>1</v>
      </c>
      <c r="M12" s="120">
        <f>COUNTIF(PresençaemAgosto[10],"U")+COUNTIF(PresençaemAgosto[10],"E")</f>
        <v>3</v>
      </c>
      <c r="N12" s="120">
        <f>COUNTIF(PresençaemAgosto[11],"U")+COUNTIF(PresençaemAgosto[11],"E")</f>
        <v>1</v>
      </c>
      <c r="O12" s="120">
        <f>COUNTIF(PresençaemAgosto[12],"U")+COUNTIF(PresençaemAgosto[12],"E")</f>
        <v>1</v>
      </c>
      <c r="P12" s="120">
        <f>COUNTIF(PresençaemAgosto[13],"U")+COUNTIF(PresençaemAgosto[13],"E")</f>
        <v>0</v>
      </c>
      <c r="Q12" s="120">
        <f>COUNTIF(PresençaemAgosto[14],"U")+COUNTIF(PresençaemAgosto[14],"E")</f>
        <v>0</v>
      </c>
      <c r="R12" s="120">
        <f>COUNTIF(PresençaemAgosto[15],"U")+COUNTIF(PresençaemAgosto[15],"E")</f>
        <v>0</v>
      </c>
      <c r="S12" s="120">
        <f>COUNTIF(PresençaemAgosto[16],"U")+COUNTIF(PresençaemAgosto[16],"E")</f>
        <v>0</v>
      </c>
      <c r="T12" s="120">
        <f>COUNTIF(PresençaemAgosto[17],"U")+COUNTIF(PresençaemAgosto[17],"E")</f>
        <v>0</v>
      </c>
      <c r="U12" s="120">
        <f>COUNTIF(PresençaemAgosto[18],"U")+COUNTIF(PresençaemAgosto[18],"E")</f>
        <v>0</v>
      </c>
      <c r="V12" s="120">
        <f>COUNTIF(PresençaemAgosto[19],"U")+COUNTIF(PresençaemAgosto[19],"E")</f>
        <v>0</v>
      </c>
      <c r="W12" s="120">
        <f>COUNTIF(PresençaemAgosto[20],"U")+COUNTIF(PresençaemAgosto[20],"E")</f>
        <v>0</v>
      </c>
      <c r="X12" s="120">
        <f>COUNTIF(PresençaemAgosto[21],"U")+COUNTIF(PresençaemAgosto[21],"E")</f>
        <v>0</v>
      </c>
      <c r="Y12" s="120">
        <f>COUNTIF(PresençaemAgosto[22],"U")+COUNTIF(PresençaemAgosto[22],"E")</f>
        <v>0</v>
      </c>
      <c r="Z12" s="120">
        <f>COUNTIF(PresençaemAgosto[23],"U")+COUNTIF(PresençaemAgosto[23],"E")</f>
        <v>1</v>
      </c>
      <c r="AA12" s="120">
        <f>COUNTIF(PresençaemAgosto[24],"U")+COUNTIF(PresençaemAgosto[24],"E")</f>
        <v>1</v>
      </c>
      <c r="AB12" s="120">
        <f>COUNTIF(PresençaemAgosto[25],"U")+COUNTIF(PresençaemAgosto[25],"E")</f>
        <v>1</v>
      </c>
      <c r="AC12" s="120">
        <f>COUNTIF(PresençaemAgosto[26],"U")+COUNTIF(PresençaemAgosto[26],"E")</f>
        <v>1</v>
      </c>
      <c r="AD12" s="120">
        <f>COUNTIF(PresençaemAgosto[27],"U")+COUNTIF(PresençaemAgosto[27],"E")</f>
        <v>0</v>
      </c>
      <c r="AE12" s="120">
        <f>COUNTIF(PresençaemAgosto[28],"U")+COUNTIF(PresençaemAgosto[28],"E")</f>
        <v>0</v>
      </c>
      <c r="AF12" s="120">
        <f>COUNTIF(PresençaemAgosto[29],"U")+COUNTIF(PresençaemAgosto[29],"E")</f>
        <v>0</v>
      </c>
      <c r="AG12" s="120">
        <f>COUNTIF(PresençaemAgosto[30],"U")+COUNTIF(PresençaemAgosto[30],"E")</f>
        <v>1</v>
      </c>
      <c r="AH12" s="120">
        <f>COUNTIF(PresençaemAgosto[31],"U")+COUNTIF(PresençaemAgosto[31],"E")</f>
        <v>0</v>
      </c>
      <c r="AI12" s="120">
        <f>SUBTOTAL(109,PresençaemAgosto[T])</f>
        <v>4</v>
      </c>
      <c r="AJ12" s="120">
        <f>SUBTOTAL(109,PresençaemAgosto[E])</f>
        <v>10</v>
      </c>
      <c r="AK12" s="120">
        <f>SUBTOTAL(109,PresençaemAgosto[U])</f>
        <v>3</v>
      </c>
      <c r="AL12" s="120">
        <f>SUBTOTAL(109,PresençaemAgosto[P])</f>
        <v>98</v>
      </c>
      <c r="AM12" s="120">
        <f>SUBTOTAL(109,PresençaemAgosto[Dias de Ausência])</f>
        <v>13</v>
      </c>
    </row>
    <row r="13" spans="1:40" ht="16.5" customHeight="1" x14ac:dyDescent="0.25"/>
    <row r="14" spans="1:40" ht="16.5" customHeight="1" x14ac:dyDescent="0.25"/>
    <row r="15" spans="1:40" ht="16.5" customHeight="1" x14ac:dyDescent="0.25"/>
    <row r="16" spans="1:40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6.5" customHeight="1" x14ac:dyDescent="0.25"/>
    <row r="25" ht="16.5" customHeight="1" x14ac:dyDescent="0.25"/>
    <row r="26" ht="16.5" customHeight="1" x14ac:dyDescent="0.25"/>
    <row r="27" ht="16.5" customHeight="1" x14ac:dyDescent="0.25"/>
    <row r="28" ht="16.5" customHeight="1" x14ac:dyDescent="0.25"/>
    <row r="29" ht="16.5" customHeight="1" x14ac:dyDescent="0.25"/>
    <row r="30" ht="16.5" customHeight="1" x14ac:dyDescent="0.25"/>
    <row r="31" ht="16.5" customHeight="1" x14ac:dyDescent="0.25"/>
    <row r="32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I5:AM5"/>
  </mergeCells>
  <conditionalFormatting sqref="D7:AI11">
    <cfRule type="expression" dxfId="968" priority="137" stopIfTrue="1">
      <formula>D7=Código2</formula>
    </cfRule>
  </conditionalFormatting>
  <conditionalFormatting sqref="D7:AH11">
    <cfRule type="expression" dxfId="967" priority="146" stopIfTrue="1">
      <formula>D7=Código5</formula>
    </cfRule>
    <cfRule type="expression" dxfId="966" priority="147" stopIfTrue="1">
      <formula>D7=Código4</formula>
    </cfRule>
    <cfRule type="expression" dxfId="965" priority="148" stopIfTrue="1">
      <formula>D7=Código3</formula>
    </cfRule>
    <cfRule type="expression" dxfId="964" priority="149" stopIfTrue="1">
      <formula>D7=Código1</formula>
    </cfRule>
  </conditionalFormatting>
  <conditionalFormatting sqref="AM7:AM11">
    <cfRule type="dataBar" priority="202">
      <dataBar>
        <cfvo type="min"/>
        <cfvo type="num" val="31"/>
        <color theme="4"/>
      </dataBar>
      <extLst>
        <ext xmlns:x14="http://schemas.microsoft.com/office/spreadsheetml/2009/9/main" uri="{B025F937-C7B1-47D3-B67F-A62EFF666E3E}">
          <x14:id>{ECCE2C3C-1B01-4700-B60E-DAAAB19A9C1A}</x14:id>
        </ext>
      </extLst>
    </cfRule>
  </conditionalFormatting>
  <dataValidations disablePrompts="1" count="1">
    <dataValidation type="list" errorStyle="warning" allowBlank="1" showInputMessage="1" showErrorMessage="1" errorTitle="Ops!" error="A ID de Aluno que você inseriu não está na planilha Lista de Alunos. Você pode clicar em Sim para usar a ID de Aluno inserida, mas ela não estará disponível na planilha Relatório de Presença dos Alunos." sqref="B7:B11">
      <formula1>IDAluno</formula1>
    </dataValidation>
  </dataValidations>
  <printOptions horizontalCentered="1"/>
  <pageMargins left="0.5" right="0.5" top="0.75" bottom="0.75" header="0.3" footer="0.3"/>
  <pageSetup paperSize="9" scale="59" fitToHeight="0" orientation="landscape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ontrole Giratório 1">
              <controlPr defaultSize="0" print="0" autoPict="0" altText="Calendar Year Spinner. Click the spinner to change the school calendar year or type the year in cell AM.">
                <anchor moveWithCells="1" sizeWithCells="1">
                  <from>
                    <xdr:col>39</xdr:col>
                    <xdr:colOff>38100</xdr:colOff>
                    <xdr:row>0</xdr:row>
                    <xdr:rowOff>104775</xdr:rowOff>
                  </from>
                  <to>
                    <xdr:col>39</xdr:col>
                    <xdr:colOff>209550</xdr:colOff>
                    <xdr:row>0</xdr:row>
                    <xdr:rowOff>419100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CE2C3C-1B01-4700-B60E-DAAAB19A9C1A}">
            <x14:dataBar minLength="0" maxLength="100" border="1" negativeBarBorderColorSameAsPositive="0">
              <x14:cfvo type="autoMin"/>
              <x14:cfvo type="num">
                <xm:f>31</xm:f>
              </x14:cfvo>
              <x14:borderColor theme="4"/>
              <x14:negativeFillColor rgb="FFFF0000"/>
              <x14:negativeBorderColor rgb="FFFF0000"/>
              <x14:axisColor rgb="FF000000"/>
            </x14:dataBar>
          </x14:cfRule>
          <xm:sqref>AM7:AM11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N346"/>
  <sheetViews>
    <sheetView showGridLines="0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5" customHeight="1" x14ac:dyDescent="0.25"/>
  <cols>
    <col min="1" max="1" width="2.7109375" style="11" customWidth="1"/>
    <col min="2" max="2" width="11.85546875" style="11" bestFit="1" customWidth="1"/>
    <col min="3" max="3" width="28.85546875" style="12" customWidth="1"/>
    <col min="4" max="34" width="5" style="10" customWidth="1"/>
    <col min="35" max="35" width="4.7109375" style="9" customWidth="1"/>
    <col min="36" max="36" width="4.7109375" style="10" customWidth="1"/>
    <col min="37" max="38" width="4.7109375" style="11" customWidth="1"/>
    <col min="39" max="39" width="16.85546875" style="11" bestFit="1" customWidth="1"/>
    <col min="40" max="16384" width="9.140625" style="11"/>
  </cols>
  <sheetData>
    <row r="1" spans="1:40" s="1" customFormat="1" ht="42" customHeight="1" x14ac:dyDescent="0.25">
      <c r="A1" s="39" t="s">
        <v>89</v>
      </c>
      <c r="B1" s="40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0"/>
      <c r="AD1" s="40"/>
      <c r="AE1" s="40"/>
      <c r="AF1" s="40"/>
      <c r="AG1" s="42"/>
      <c r="AH1" s="40"/>
      <c r="AI1" s="40"/>
      <c r="AJ1" s="43"/>
      <c r="AK1" s="40"/>
      <c r="AL1" s="59" t="s">
        <v>72</v>
      </c>
      <c r="AM1" s="60">
        <f>AnoCalendário</f>
        <v>2012</v>
      </c>
    </row>
    <row r="2" spans="1:40" customFormat="1" ht="13.5" x14ac:dyDescent="0.25"/>
    <row r="3" spans="1:40" s="31" customFormat="1" ht="12.75" customHeight="1" x14ac:dyDescent="0.25">
      <c r="C3" s="46" t="str">
        <f>TextodaChavedeCor</f>
        <v xml:space="preserve">CHAVE COLORIDA </v>
      </c>
      <c r="D3" s="53" t="str">
        <f>Código1</f>
        <v>T</v>
      </c>
      <c r="E3" s="70" t="str">
        <f>TextodeCódigo1</f>
        <v>Atrasado</v>
      </c>
      <c r="F3" s="61"/>
      <c r="H3" s="54" t="str">
        <f>Código2</f>
        <v>E</v>
      </c>
      <c r="I3" s="58" t="str">
        <f>TextodeCódigo2</f>
        <v>Dispensado</v>
      </c>
      <c r="L3" s="55" t="str">
        <f>Código3</f>
        <v>U</v>
      </c>
      <c r="M3" s="58" t="str">
        <f>TextodeCódigo3</f>
        <v>Não Dispensado</v>
      </c>
      <c r="P3" s="56" t="str">
        <f>Código4</f>
        <v>P</v>
      </c>
      <c r="Q3" s="58" t="str">
        <f>TextodeCódigo4</f>
        <v>Presente</v>
      </c>
      <c r="T3" s="57" t="str">
        <f>Código5</f>
        <v>N</v>
      </c>
      <c r="U3" s="58" t="str">
        <f>TextodeCódigo5</f>
        <v>Sem Aula</v>
      </c>
      <c r="W3"/>
      <c r="X3"/>
      <c r="Y3"/>
      <c r="AD3" s="30"/>
      <c r="AE3" s="30"/>
      <c r="AH3" s="32"/>
      <c r="AI3" s="33"/>
      <c r="AK3" s="34"/>
    </row>
    <row r="4" spans="1:40" customFormat="1" ht="16.5" customHeight="1" x14ac:dyDescent="0.25"/>
    <row r="5" spans="1:40" s="2" customFormat="1" ht="18" customHeight="1" x14ac:dyDescent="0.3">
      <c r="B5" s="63">
        <f>DATE(AnoCalendário,9,1)</f>
        <v>41153</v>
      </c>
      <c r="C5" s="62"/>
      <c r="D5" s="44" t="str">
        <f>TEXT(WEEKDAY(DATE(AnoCalendário,9,1),1),"ddd")</f>
        <v>sáb</v>
      </c>
      <c r="E5" s="44" t="str">
        <f>TEXT(WEEKDAY(DATE(AnoCalendário,9,2),1),"ddd")</f>
        <v>dom</v>
      </c>
      <c r="F5" s="44" t="str">
        <f>TEXT(WEEKDAY(DATE(AnoCalendário,9,3),1),"ddd")</f>
        <v>seg</v>
      </c>
      <c r="G5" s="44" t="str">
        <f>TEXT(WEEKDAY(DATE(AnoCalendário,9,4),1),"ddd")</f>
        <v>ter</v>
      </c>
      <c r="H5" s="44" t="str">
        <f>TEXT(WEEKDAY(DATE(AnoCalendário,9,5),1),"ddd")</f>
        <v>qua</v>
      </c>
      <c r="I5" s="44" t="str">
        <f>TEXT(WEEKDAY(DATE(AnoCalendário,9,6),1),"ddd")</f>
        <v>qui</v>
      </c>
      <c r="J5" s="44" t="str">
        <f>TEXT(WEEKDAY(DATE(AnoCalendário,9,7),1),"ddd")</f>
        <v>sex</v>
      </c>
      <c r="K5" s="44" t="str">
        <f>TEXT(WEEKDAY(DATE(AnoCalendário,9,8),1),"ddd")</f>
        <v>sáb</v>
      </c>
      <c r="L5" s="44" t="str">
        <f>TEXT(WEEKDAY(DATE(AnoCalendário,9,9),1),"ddd")</f>
        <v>dom</v>
      </c>
      <c r="M5" s="44" t="str">
        <f>TEXT(WEEKDAY(DATE(AnoCalendário,9,10),1),"ddd")</f>
        <v>seg</v>
      </c>
      <c r="N5" s="44" t="str">
        <f>TEXT(WEEKDAY(DATE(AnoCalendário,9,11),1),"ddd")</f>
        <v>ter</v>
      </c>
      <c r="O5" s="44" t="str">
        <f>TEXT(WEEKDAY(DATE(AnoCalendário,9,12),1),"ddd")</f>
        <v>qua</v>
      </c>
      <c r="P5" s="44" t="str">
        <f>TEXT(WEEKDAY(DATE(AnoCalendário,9,13),1),"ddd")</f>
        <v>qui</v>
      </c>
      <c r="Q5" s="44" t="str">
        <f>TEXT(WEEKDAY(DATE(AnoCalendário,9,14),1),"ddd")</f>
        <v>sex</v>
      </c>
      <c r="R5" s="44" t="str">
        <f>TEXT(WEEKDAY(DATE(AnoCalendário,9,15),1),"ddd")</f>
        <v>sáb</v>
      </c>
      <c r="S5" s="44" t="str">
        <f>TEXT(WEEKDAY(DATE(AnoCalendário,9,16),1),"ddd")</f>
        <v>dom</v>
      </c>
      <c r="T5" s="44" t="str">
        <f>TEXT(WEEKDAY(DATE(AnoCalendário,9,17),1),"ddd")</f>
        <v>seg</v>
      </c>
      <c r="U5" s="44" t="str">
        <f>TEXT(WEEKDAY(DATE(AnoCalendário,9,18),1),"ddd")</f>
        <v>ter</v>
      </c>
      <c r="V5" s="44" t="str">
        <f>TEXT(WEEKDAY(DATE(AnoCalendário,9,19),1),"ddd")</f>
        <v>qua</v>
      </c>
      <c r="W5" s="44" t="str">
        <f>TEXT(WEEKDAY(DATE(AnoCalendário,9,20),1),"ddd")</f>
        <v>qui</v>
      </c>
      <c r="X5" s="44" t="str">
        <f>TEXT(WEEKDAY(DATE(AnoCalendário,9,21),1),"ddd")</f>
        <v>sex</v>
      </c>
      <c r="Y5" s="44" t="str">
        <f>TEXT(WEEKDAY(DATE(AnoCalendário,9,22),1),"ddd")</f>
        <v>sáb</v>
      </c>
      <c r="Z5" s="44" t="str">
        <f>TEXT(WEEKDAY(DATE(AnoCalendário,9,23),1),"ddd")</f>
        <v>dom</v>
      </c>
      <c r="AA5" s="44" t="str">
        <f>TEXT(WEEKDAY(DATE(AnoCalendário,9,24),1),"ddd")</f>
        <v>seg</v>
      </c>
      <c r="AB5" s="44" t="str">
        <f>TEXT(WEEKDAY(DATE(AnoCalendário,9,25),1),"ddd")</f>
        <v>ter</v>
      </c>
      <c r="AC5" s="44" t="str">
        <f>TEXT(WEEKDAY(DATE(AnoCalendário,9,26),1),"ddd")</f>
        <v>qua</v>
      </c>
      <c r="AD5" s="44" t="str">
        <f>TEXT(WEEKDAY(DATE(AnoCalendário,9,27),1),"ddd")</f>
        <v>qui</v>
      </c>
      <c r="AE5" s="44" t="str">
        <f>TEXT(WEEKDAY(DATE(AnoCalendário,9,28),1),"ddd")</f>
        <v>sex</v>
      </c>
      <c r="AF5" s="44" t="str">
        <f>TEXT(WEEKDAY(DATE(AnoCalendário,9,29),1),"ddd")</f>
        <v>sáb</v>
      </c>
      <c r="AG5" s="44" t="str">
        <f>TEXT(WEEKDAY(DATE(AnoCalendário,9,30),1),"ddd")</f>
        <v>dom</v>
      </c>
      <c r="AH5" s="44"/>
      <c r="AI5" s="125" t="s">
        <v>41</v>
      </c>
      <c r="AJ5" s="126"/>
      <c r="AK5" s="126"/>
      <c r="AL5" s="126"/>
      <c r="AM5" s="127"/>
    </row>
    <row r="6" spans="1:40" s="5" customFormat="1" ht="14.25" customHeight="1" x14ac:dyDescent="0.25">
      <c r="B6" s="47" t="s">
        <v>34</v>
      </c>
      <c r="C6" s="48" t="s">
        <v>36</v>
      </c>
      <c r="D6" s="3" t="s">
        <v>0</v>
      </c>
      <c r="E6" s="3" t="s">
        <v>1</v>
      </c>
      <c r="F6" s="3" t="s">
        <v>2</v>
      </c>
      <c r="G6" s="3" t="s">
        <v>3</v>
      </c>
      <c r="H6" s="3" t="s">
        <v>4</v>
      </c>
      <c r="I6" s="3" t="s">
        <v>5</v>
      </c>
      <c r="J6" s="3" t="s">
        <v>6</v>
      </c>
      <c r="K6" s="3" t="s">
        <v>7</v>
      </c>
      <c r="L6" s="3" t="s">
        <v>8</v>
      </c>
      <c r="M6" s="3" t="s">
        <v>9</v>
      </c>
      <c r="N6" s="3" t="s">
        <v>10</v>
      </c>
      <c r="O6" s="3" t="s">
        <v>11</v>
      </c>
      <c r="P6" s="3" t="s">
        <v>12</v>
      </c>
      <c r="Q6" s="3" t="s">
        <v>13</v>
      </c>
      <c r="R6" s="3" t="s">
        <v>14</v>
      </c>
      <c r="S6" s="3" t="s">
        <v>15</v>
      </c>
      <c r="T6" s="3" t="s">
        <v>16</v>
      </c>
      <c r="U6" s="3" t="s">
        <v>17</v>
      </c>
      <c r="V6" s="3" t="s">
        <v>18</v>
      </c>
      <c r="W6" s="3" t="s">
        <v>19</v>
      </c>
      <c r="X6" s="3" t="s">
        <v>20</v>
      </c>
      <c r="Y6" s="3" t="s">
        <v>21</v>
      </c>
      <c r="Z6" s="3" t="s">
        <v>22</v>
      </c>
      <c r="AA6" s="3" t="s">
        <v>23</v>
      </c>
      <c r="AB6" s="3" t="s">
        <v>24</v>
      </c>
      <c r="AC6" s="3" t="s">
        <v>25</v>
      </c>
      <c r="AD6" s="3" t="s">
        <v>26</v>
      </c>
      <c r="AE6" s="3" t="s">
        <v>27</v>
      </c>
      <c r="AF6" s="3" t="s">
        <v>28</v>
      </c>
      <c r="AG6" s="3" t="s">
        <v>29</v>
      </c>
      <c r="AH6" s="3" t="s">
        <v>114</v>
      </c>
      <c r="AI6" s="96" t="s">
        <v>37</v>
      </c>
      <c r="AJ6" s="71" t="s">
        <v>39</v>
      </c>
      <c r="AK6" s="72" t="s">
        <v>38</v>
      </c>
      <c r="AL6" s="73" t="s">
        <v>31</v>
      </c>
      <c r="AM6" s="52" t="s">
        <v>40</v>
      </c>
      <c r="AN6" s="4"/>
    </row>
    <row r="7" spans="1:40" s="5" customFormat="1" ht="16.5" customHeight="1" x14ac:dyDescent="0.25">
      <c r="B7" s="49"/>
      <c r="C7" s="50" t="str">
        <f>IFERROR(VLOOKUP(PresençaemSetembro[[#This Row],[ID do Aluno]],ListadeAlunos[],18,FALSE),"")</f>
        <v/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5"/>
      <c r="AG7" s="23"/>
      <c r="AH7" s="23"/>
      <c r="AI7" s="6">
        <f>COUNTIF(PresençaemSetembro[[#This Row],[1]:[ ]],Código1)</f>
        <v>0</v>
      </c>
      <c r="AJ7" s="51">
        <f>COUNTIF(PresençaemSetembro[[#This Row],[1]:[ ]],Código2)</f>
        <v>0</v>
      </c>
      <c r="AK7" s="51">
        <f>COUNTIF(PresençaemSetembro[[#This Row],[1]:[ ]],Código3)</f>
        <v>0</v>
      </c>
      <c r="AL7" s="51">
        <f>COUNTIF(PresençaemSetembro[[#This Row],[1]:[ ]],Código4)</f>
        <v>0</v>
      </c>
      <c r="AM7" s="6">
        <f>SUM(PresençaemSetembro[[#This Row],[E]:[U]])</f>
        <v>0</v>
      </c>
      <c r="AN7" s="4"/>
    </row>
    <row r="8" spans="1:40" s="5" customFormat="1" ht="16.5" customHeight="1" x14ac:dyDescent="0.25">
      <c r="B8" s="49"/>
      <c r="C8" s="20" t="str">
        <f>IFERROR(VLOOKUP(PresençaemSetembro[[#This Row],[ID do Aluno]],ListadeAlunos[],18,FALSE),"")</f>
        <v/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5"/>
      <c r="AG8" s="23"/>
      <c r="AH8" s="23"/>
      <c r="AI8" s="6">
        <f>COUNTIF(PresençaemSetembro[[#This Row],[1]:[ ]],Código1)</f>
        <v>0</v>
      </c>
      <c r="AJ8" s="51">
        <f>COUNTIF(PresençaemSetembro[[#This Row],[1]:[ ]],Código2)</f>
        <v>0</v>
      </c>
      <c r="AK8" s="51">
        <f>COUNTIF(PresençaemSetembro[[#This Row],[1]:[ ]],Código3)</f>
        <v>0</v>
      </c>
      <c r="AL8" s="51">
        <f>COUNTIF(PresençaemSetembro[[#This Row],[1]:[ ]],Código4)</f>
        <v>0</v>
      </c>
      <c r="AM8" s="6">
        <f>SUM(PresençaemSetembro[[#This Row],[E]:[U]])</f>
        <v>0</v>
      </c>
      <c r="AN8" s="4"/>
    </row>
    <row r="9" spans="1:40" s="8" customFormat="1" ht="16.5" customHeight="1" x14ac:dyDescent="0.25">
      <c r="B9" s="49"/>
      <c r="C9" s="20" t="str">
        <f>IFERROR(VLOOKUP(PresençaemSetembro[[#This Row],[ID do Aluno]],ListadeAlunos[],18,FALSE),"")</f>
        <v/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5"/>
      <c r="AG9" s="23"/>
      <c r="AH9" s="23"/>
      <c r="AI9" s="6">
        <f>COUNTIF(PresençaemSetembro[[#This Row],[1]:[ ]],Código1)</f>
        <v>0</v>
      </c>
      <c r="AJ9" s="51">
        <f>COUNTIF(PresençaemSetembro[[#This Row],[1]:[ ]],Código2)</f>
        <v>0</v>
      </c>
      <c r="AK9" s="51">
        <f>COUNTIF(PresençaemSetembro[[#This Row],[1]:[ ]],Código3)</f>
        <v>0</v>
      </c>
      <c r="AL9" s="51">
        <f>COUNTIF(PresençaemSetembro[[#This Row],[1]:[ ]],Código4)</f>
        <v>0</v>
      </c>
      <c r="AM9" s="6">
        <f>SUM(PresençaemSetembro[[#This Row],[E]:[U]])</f>
        <v>0</v>
      </c>
      <c r="AN9" s="7"/>
    </row>
    <row r="10" spans="1:40" ht="16.5" customHeight="1" x14ac:dyDescent="0.25">
      <c r="B10" s="49"/>
      <c r="C10" s="20" t="str">
        <f>IFERROR(VLOOKUP(PresençaemSetembro[[#This Row],[ID do Aluno]],ListadeAlunos[],18,FALSE),"")</f>
        <v/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5"/>
      <c r="AG10" s="23"/>
      <c r="AH10" s="23"/>
      <c r="AI10" s="6">
        <f>COUNTIF(PresençaemSetembro[[#This Row],[1]:[ ]],Código1)</f>
        <v>0</v>
      </c>
      <c r="AJ10" s="51">
        <f>COUNTIF(PresençaemSetembro[[#This Row],[1]:[ ]],Código2)</f>
        <v>0</v>
      </c>
      <c r="AK10" s="51">
        <f>COUNTIF(PresençaemSetembro[[#This Row],[1]:[ ]],Código3)</f>
        <v>0</v>
      </c>
      <c r="AL10" s="51">
        <f>COUNTIF(PresençaemSetembro[[#This Row],[1]:[ ]],Código4)</f>
        <v>0</v>
      </c>
      <c r="AM10" s="6">
        <f>SUM(PresençaemSetembro[[#This Row],[E]:[U]])</f>
        <v>0</v>
      </c>
      <c r="AN10" s="10"/>
    </row>
    <row r="11" spans="1:40" ht="16.5" customHeight="1" x14ac:dyDescent="0.25">
      <c r="B11" s="49"/>
      <c r="C11" s="20" t="str">
        <f>IFERROR(VLOOKUP(PresençaemSetembro[[#This Row],[ID do Aluno]],ListadeAlunos[],18,FALSE),"")</f>
        <v/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5"/>
      <c r="AG11" s="23"/>
      <c r="AH11" s="23"/>
      <c r="AI11" s="6">
        <f>COUNTIF(PresençaemSetembro[[#This Row],[1]:[ ]],Código1)</f>
        <v>0</v>
      </c>
      <c r="AJ11" s="51">
        <f>COUNTIF(PresençaemSetembro[[#This Row],[1]:[ ]],Código2)</f>
        <v>0</v>
      </c>
      <c r="AK11" s="51">
        <f>COUNTIF(PresençaemSetembro[[#This Row],[1]:[ ]],Código3)</f>
        <v>0</v>
      </c>
      <c r="AL11" s="51">
        <f>COUNTIF(PresençaemSetembro[[#This Row],[1]:[ ]],Código4)</f>
        <v>0</v>
      </c>
      <c r="AM11" s="6">
        <f>SUM(PresençaemSetembro[[#This Row],[E]:[U]])</f>
        <v>0</v>
      </c>
      <c r="AN11" s="10"/>
    </row>
    <row r="12" spans="1:40" ht="16.5" customHeight="1" x14ac:dyDescent="0.25">
      <c r="B12" s="118"/>
      <c r="C12" s="119" t="s">
        <v>115</v>
      </c>
      <c r="D12" s="120">
        <f>COUNTIF(PresençaemSetembro[1],"U")+COUNTIF(PresençaemSetembro[1],"E")</f>
        <v>0</v>
      </c>
      <c r="E12" s="120">
        <f>COUNTIF(PresençaemSetembro[2],"U")+COUNTIF(PresençaemSetembro[2],"E")</f>
        <v>0</v>
      </c>
      <c r="F12" s="120">
        <f>COUNTIF(PresençaemSetembro[3],"U")+COUNTIF(PresençaemSetembro[3],"E")</f>
        <v>0</v>
      </c>
      <c r="G12" s="120">
        <f>COUNTIF(PresençaemSetembro[4],"U")+COUNTIF(PresençaemSetembro[4],"E")</f>
        <v>0</v>
      </c>
      <c r="H12" s="120">
        <f>COUNTIF(PresençaemSetembro[5],"U")+COUNTIF(PresençaemSetembro[5],"E")</f>
        <v>0</v>
      </c>
      <c r="I12" s="120">
        <f>COUNTIF(PresençaemSetembro[6],"U")+COUNTIF(PresençaemSetembro[6],"E")</f>
        <v>0</v>
      </c>
      <c r="J12" s="120">
        <f>COUNTIF(PresençaemSetembro[7],"U")+COUNTIF(PresençaemSetembro[7],"E")</f>
        <v>0</v>
      </c>
      <c r="K12" s="120">
        <f>COUNTIF(PresençaemSetembro[8],"U")+COUNTIF(PresençaemSetembro[8],"E")</f>
        <v>0</v>
      </c>
      <c r="L12" s="120">
        <f>COUNTIF(PresençaemSetembro[9],"U")+COUNTIF(PresençaemSetembro[9],"E")</f>
        <v>0</v>
      </c>
      <c r="M12" s="120">
        <f>COUNTIF(PresençaemSetembro[10],"U")+COUNTIF(PresençaemSetembro[10],"E")</f>
        <v>0</v>
      </c>
      <c r="N12" s="120">
        <f>COUNTIF(PresençaemSetembro[11],"U")+COUNTIF(PresençaemSetembro[11],"E")</f>
        <v>0</v>
      </c>
      <c r="O12" s="120">
        <f>COUNTIF(PresençaemSetembro[12],"U")+COUNTIF(PresençaemSetembro[12],"E")</f>
        <v>0</v>
      </c>
      <c r="P12" s="120">
        <f>COUNTIF(PresençaemSetembro[13],"U")+COUNTIF(PresençaemSetembro[13],"E")</f>
        <v>0</v>
      </c>
      <c r="Q12" s="120">
        <f>COUNTIF(PresençaemSetembro[14],"U")+COUNTIF(PresençaemSetembro[14],"E")</f>
        <v>0</v>
      </c>
      <c r="R12" s="120">
        <f>COUNTIF(PresençaemSetembro[15],"U")+COUNTIF(PresençaemSetembro[15],"E")</f>
        <v>0</v>
      </c>
      <c r="S12" s="120">
        <f>COUNTIF(PresençaemSetembro[16],"U")+COUNTIF(PresençaemSetembro[16],"E")</f>
        <v>0</v>
      </c>
      <c r="T12" s="120">
        <f>COUNTIF(PresençaemSetembro[17],"U")+COUNTIF(PresençaemSetembro[17],"E")</f>
        <v>0</v>
      </c>
      <c r="U12" s="120">
        <f>COUNTIF(PresençaemSetembro[18],"U")+COUNTIF(PresençaemSetembro[18],"E")</f>
        <v>0</v>
      </c>
      <c r="V12" s="120">
        <f>COUNTIF(PresençaemSetembro[19],"U")+COUNTIF(PresençaemSetembro[19],"E")</f>
        <v>0</v>
      </c>
      <c r="W12" s="120">
        <f>COUNTIF(PresençaemSetembro[20],"U")+COUNTIF(PresençaemSetembro[20],"E")</f>
        <v>0</v>
      </c>
      <c r="X12" s="120">
        <f>COUNTIF(PresençaemSetembro[21],"U")+COUNTIF(PresençaemSetembro[21],"E")</f>
        <v>0</v>
      </c>
      <c r="Y12" s="120">
        <f>COUNTIF(PresençaemSetembro[22],"U")+COUNTIF(PresençaemSetembro[22],"E")</f>
        <v>0</v>
      </c>
      <c r="Z12" s="120">
        <f>COUNTIF(PresençaemSetembro[23],"U")+COUNTIF(PresençaemSetembro[23],"E")</f>
        <v>0</v>
      </c>
      <c r="AA12" s="120">
        <f>COUNTIF(PresençaemSetembro[24],"U")+COUNTIF(PresençaemSetembro[24],"E")</f>
        <v>0</v>
      </c>
      <c r="AB12" s="120">
        <f>COUNTIF(PresençaemSetembro[25],"U")+COUNTIF(PresençaemSetembro[25],"E")</f>
        <v>0</v>
      </c>
      <c r="AC12" s="120">
        <f>COUNTIF(PresençaemSetembro[26],"U")+COUNTIF(PresençaemSetembro[26],"E")</f>
        <v>0</v>
      </c>
      <c r="AD12" s="120">
        <f>COUNTIF(PresençaemSetembro[27],"U")+COUNTIF(PresençaemSetembro[27],"E")</f>
        <v>0</v>
      </c>
      <c r="AE12" s="120">
        <f>COUNTIF(PresençaemSetembro[28],"U")+COUNTIF(PresençaemSetembro[28],"E")</f>
        <v>0</v>
      </c>
      <c r="AF12" s="120">
        <f>COUNTIF(PresençaemSetembro[29],"U")+COUNTIF(PresençaemSetembro[29],"E")</f>
        <v>0</v>
      </c>
      <c r="AG12" s="120">
        <f>COUNTIF(PresençaemSetembro[30],"U")+COUNTIF(PresençaemSetembro[30],"E")</f>
        <v>0</v>
      </c>
      <c r="AH12" s="120">
        <f>COUNTIF(PresençaemSetembro[[ ]],"U")+COUNTIF(PresençaemSetembro[[ ]],"E")</f>
        <v>0</v>
      </c>
      <c r="AI12" s="120">
        <f>SUBTOTAL(109,PresençaemSetembro[T])</f>
        <v>0</v>
      </c>
      <c r="AJ12" s="120">
        <f>SUBTOTAL(109,PresençaemSetembro[E])</f>
        <v>0</v>
      </c>
      <c r="AK12" s="120">
        <f>SUBTOTAL(109,PresençaemSetembro[U])</f>
        <v>0</v>
      </c>
      <c r="AL12" s="120">
        <f>SUBTOTAL(109,PresençaemSetembro[P])</f>
        <v>0</v>
      </c>
      <c r="AM12" s="120">
        <f>SUBTOTAL(109,PresençaemSetembro[Dias de Ausência])</f>
        <v>0</v>
      </c>
    </row>
    <row r="13" spans="1:40" ht="16.5" customHeight="1" x14ac:dyDescent="0.25"/>
    <row r="14" spans="1:40" ht="16.5" customHeight="1" x14ac:dyDescent="0.25"/>
    <row r="15" spans="1:40" ht="16.5" customHeight="1" x14ac:dyDescent="0.25"/>
    <row r="16" spans="1:40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6.5" customHeight="1" x14ac:dyDescent="0.25"/>
    <row r="25" ht="16.5" customHeight="1" x14ac:dyDescent="0.25"/>
    <row r="26" ht="16.5" customHeight="1" x14ac:dyDescent="0.25"/>
    <row r="27" ht="16.5" customHeight="1" x14ac:dyDescent="0.25"/>
    <row r="28" ht="16.5" customHeight="1" x14ac:dyDescent="0.25"/>
    <row r="29" ht="16.5" customHeight="1" x14ac:dyDescent="0.25"/>
    <row r="30" ht="16.5" customHeight="1" x14ac:dyDescent="0.25"/>
    <row r="31" ht="16.5" customHeight="1" x14ac:dyDescent="0.25"/>
    <row r="32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I5:AM5"/>
  </mergeCells>
  <conditionalFormatting sqref="AM7:AM11">
    <cfRule type="dataBar" priority="6">
      <dataBar>
        <cfvo type="min"/>
        <cfvo type="num" val="31"/>
        <color theme="4"/>
      </dataBar>
      <extLst>
        <ext xmlns:x14="http://schemas.microsoft.com/office/spreadsheetml/2009/9/main" uri="{B025F937-C7B1-47D3-B67F-A62EFF666E3E}">
          <x14:id>{FCDE13DD-578E-4A81-A4F7-3A892C41EF0D}</x14:id>
        </ext>
      </extLst>
    </cfRule>
  </conditionalFormatting>
  <conditionalFormatting sqref="AG7:AI11">
    <cfRule type="expression" dxfId="920" priority="7" stopIfTrue="1">
      <formula>AG7=Código2</formula>
    </cfRule>
  </conditionalFormatting>
  <conditionalFormatting sqref="AG7:AH11">
    <cfRule type="expression" dxfId="919" priority="8" stopIfTrue="1">
      <formula>AG7=Código5</formula>
    </cfRule>
    <cfRule type="expression" dxfId="918" priority="9" stopIfTrue="1">
      <formula>AG7=Código4</formula>
    </cfRule>
    <cfRule type="expression" dxfId="917" priority="10" stopIfTrue="1">
      <formula>AG7=Código3</formula>
    </cfRule>
    <cfRule type="expression" dxfId="916" priority="11" stopIfTrue="1">
      <formula>AG7=Código1</formula>
    </cfRule>
  </conditionalFormatting>
  <conditionalFormatting sqref="D7:AF11">
    <cfRule type="expression" dxfId="915" priority="1" stopIfTrue="1">
      <formula>D7=Código2</formula>
    </cfRule>
  </conditionalFormatting>
  <conditionalFormatting sqref="D7:AF11">
    <cfRule type="expression" dxfId="914" priority="2" stopIfTrue="1">
      <formula>D7=Código5</formula>
    </cfRule>
    <cfRule type="expression" dxfId="913" priority="3" stopIfTrue="1">
      <formula>D7=Código4</formula>
    </cfRule>
    <cfRule type="expression" dxfId="912" priority="4" stopIfTrue="1">
      <formula>D7=Código3</formula>
    </cfRule>
    <cfRule type="expression" dxfId="911" priority="5" stopIfTrue="1">
      <formula>D7=Código1</formula>
    </cfRule>
  </conditionalFormatting>
  <dataValidations disablePrompts="1" count="1">
    <dataValidation type="list" errorStyle="warning" allowBlank="1" showInputMessage="1" showErrorMessage="1" errorTitle="Ops!" error="A ID de Aluno que você inseriu não está na planilha Lista de Alunos. Você pode clicar em Sim para usar a ID de Aluno inserida, mas ela não estará disponível na planilha Relatório de Presença dos Alunos." sqref="B7:B11">
      <formula1>IDAluno</formula1>
    </dataValidation>
  </dataValidations>
  <printOptions horizontalCentered="1"/>
  <pageMargins left="0.5" right="0.5" top="0.75" bottom="0.75" header="0.3" footer="0.3"/>
  <pageSetup paperSize="9" scale="59" fitToHeight="0" orientation="landscape" verticalDpi="120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DE13DD-578E-4A81-A4F7-3A892C41EF0D}">
            <x14:dataBar minLength="0" maxLength="100" border="1" negativeBarBorderColorSameAsPositive="0">
              <x14:cfvo type="autoMin"/>
              <x14:cfvo type="num">
                <xm:f>31</xm:f>
              </x14:cfvo>
              <x14:borderColor theme="4"/>
              <x14:negativeFillColor rgb="FFFF0000"/>
              <x14:negativeBorderColor rgb="FFFF0000"/>
              <x14:axisColor rgb="FF000000"/>
            </x14:dataBar>
          </x14:cfRule>
          <xm:sqref>AM7:AM11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N346"/>
  <sheetViews>
    <sheetView showGridLines="0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5" customHeight="1" x14ac:dyDescent="0.25"/>
  <cols>
    <col min="1" max="1" width="2.7109375" style="11" customWidth="1"/>
    <col min="2" max="2" width="11.85546875" style="11" bestFit="1" customWidth="1"/>
    <col min="3" max="3" width="28.85546875" style="12" customWidth="1"/>
    <col min="4" max="34" width="5" style="10" customWidth="1"/>
    <col min="35" max="35" width="4.7109375" style="9" customWidth="1"/>
    <col min="36" max="36" width="4.7109375" style="10" customWidth="1"/>
    <col min="37" max="38" width="4.7109375" style="11" customWidth="1"/>
    <col min="39" max="39" width="16.85546875" style="11" bestFit="1" customWidth="1"/>
    <col min="40" max="16384" width="9.140625" style="11"/>
  </cols>
  <sheetData>
    <row r="1" spans="1:40" s="1" customFormat="1" ht="42" customHeight="1" x14ac:dyDescent="0.25">
      <c r="A1" s="39" t="s">
        <v>89</v>
      </c>
      <c r="B1" s="40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0"/>
      <c r="AD1" s="40"/>
      <c r="AE1" s="40"/>
      <c r="AF1" s="40"/>
      <c r="AG1" s="42"/>
      <c r="AH1" s="40"/>
      <c r="AI1" s="40"/>
      <c r="AJ1" s="43"/>
      <c r="AK1" s="40"/>
      <c r="AL1" s="59" t="s">
        <v>72</v>
      </c>
      <c r="AM1" s="60">
        <f>AnoCalendário</f>
        <v>2012</v>
      </c>
    </row>
    <row r="2" spans="1:40" customFormat="1" ht="13.5" x14ac:dyDescent="0.25"/>
    <row r="3" spans="1:40" s="31" customFormat="1" ht="12.75" customHeight="1" x14ac:dyDescent="0.25">
      <c r="C3" s="46" t="str">
        <f>TextodaChavedeCor</f>
        <v xml:space="preserve">CHAVE COLORIDA </v>
      </c>
      <c r="D3" s="53" t="str">
        <f>Código1</f>
        <v>T</v>
      </c>
      <c r="E3" s="70" t="str">
        <f>TextodeCódigo1</f>
        <v>Atrasado</v>
      </c>
      <c r="F3" s="61"/>
      <c r="H3" s="54" t="str">
        <f>Código2</f>
        <v>E</v>
      </c>
      <c r="I3" s="58" t="str">
        <f>TextodeCódigo2</f>
        <v>Dispensado</v>
      </c>
      <c r="L3" s="55" t="str">
        <f>Código3</f>
        <v>U</v>
      </c>
      <c r="M3" s="58" t="str">
        <f>TextodeCódigo3</f>
        <v>Não Dispensado</v>
      </c>
      <c r="P3" s="56" t="str">
        <f>Código4</f>
        <v>P</v>
      </c>
      <c r="Q3" s="58" t="str">
        <f>TextodeCódigo4</f>
        <v>Presente</v>
      </c>
      <c r="T3" s="57" t="str">
        <f>Código5</f>
        <v>N</v>
      </c>
      <c r="U3" s="58" t="str">
        <f>TextodeCódigo5</f>
        <v>Sem Aula</v>
      </c>
      <c r="W3"/>
      <c r="X3"/>
      <c r="Y3"/>
      <c r="AD3" s="30"/>
      <c r="AE3" s="30"/>
      <c r="AH3" s="32"/>
      <c r="AI3" s="33"/>
      <c r="AK3" s="34"/>
    </row>
    <row r="4" spans="1:40" customFormat="1" ht="16.5" customHeight="1" x14ac:dyDescent="0.25"/>
    <row r="5" spans="1:40" s="2" customFormat="1" ht="18" customHeight="1" x14ac:dyDescent="0.3">
      <c r="B5" s="63">
        <f>DATE(AnoCalendário,10,1)</f>
        <v>41183</v>
      </c>
      <c r="C5" s="62"/>
      <c r="D5" s="44" t="str">
        <f>TEXT(WEEKDAY(DATE(AnoCalendário,10,1),1),"ddd")</f>
        <v>seg</v>
      </c>
      <c r="E5" s="44" t="str">
        <f>TEXT(WEEKDAY(DATE(AnoCalendário,10,2),1),"ddd")</f>
        <v>ter</v>
      </c>
      <c r="F5" s="44" t="str">
        <f>TEXT(WEEKDAY(DATE(AnoCalendário,10,3),1),"ddd")</f>
        <v>qua</v>
      </c>
      <c r="G5" s="44" t="str">
        <f>TEXT(WEEKDAY(DATE(AnoCalendário,10,4),1),"ddd")</f>
        <v>qui</v>
      </c>
      <c r="H5" s="44" t="str">
        <f>TEXT(WEEKDAY(DATE(AnoCalendário,10,5),1),"ddd")</f>
        <v>sex</v>
      </c>
      <c r="I5" s="44" t="str">
        <f>TEXT(WEEKDAY(DATE(AnoCalendário,10,6),1),"ddd")</f>
        <v>sáb</v>
      </c>
      <c r="J5" s="44" t="str">
        <f>TEXT(WEEKDAY(DATE(AnoCalendário,10,7),1),"ddd")</f>
        <v>dom</v>
      </c>
      <c r="K5" s="44" t="str">
        <f>TEXT(WEEKDAY(DATE(AnoCalendário,10,8),1),"ddd")</f>
        <v>seg</v>
      </c>
      <c r="L5" s="44" t="str">
        <f>TEXT(WEEKDAY(DATE(AnoCalendário,10,9),1),"ddd")</f>
        <v>ter</v>
      </c>
      <c r="M5" s="44" t="str">
        <f>TEXT(WEEKDAY(DATE(AnoCalendário,10,10),1),"ddd")</f>
        <v>qua</v>
      </c>
      <c r="N5" s="44" t="str">
        <f>TEXT(WEEKDAY(DATE(AnoCalendário,10,11),1),"ddd")</f>
        <v>qui</v>
      </c>
      <c r="O5" s="44" t="str">
        <f>TEXT(WEEKDAY(DATE(AnoCalendário,10,12),1),"ddd")</f>
        <v>sex</v>
      </c>
      <c r="P5" s="44" t="str">
        <f>TEXT(WEEKDAY(DATE(AnoCalendário,10,13),1),"ddd")</f>
        <v>sáb</v>
      </c>
      <c r="Q5" s="44" t="str">
        <f>TEXT(WEEKDAY(DATE(AnoCalendário,10,14),1),"ddd")</f>
        <v>dom</v>
      </c>
      <c r="R5" s="44" t="str">
        <f>TEXT(WEEKDAY(DATE(AnoCalendário,10,15),1),"ddd")</f>
        <v>seg</v>
      </c>
      <c r="S5" s="44" t="str">
        <f>TEXT(WEEKDAY(DATE(AnoCalendário,10,16),1),"ddd")</f>
        <v>ter</v>
      </c>
      <c r="T5" s="44" t="str">
        <f>TEXT(WEEKDAY(DATE(AnoCalendário,10,17),1),"ddd")</f>
        <v>qua</v>
      </c>
      <c r="U5" s="44" t="str">
        <f>TEXT(WEEKDAY(DATE(AnoCalendário,10,18),1),"ddd")</f>
        <v>qui</v>
      </c>
      <c r="V5" s="44" t="str">
        <f>TEXT(WEEKDAY(DATE(AnoCalendário,10,19),1),"ddd")</f>
        <v>sex</v>
      </c>
      <c r="W5" s="44" t="str">
        <f>TEXT(WEEKDAY(DATE(AnoCalendário,10,20),1),"ddd")</f>
        <v>sáb</v>
      </c>
      <c r="X5" s="44" t="str">
        <f>TEXT(WEEKDAY(DATE(AnoCalendário,10,21),1),"ddd")</f>
        <v>dom</v>
      </c>
      <c r="Y5" s="44" t="str">
        <f>TEXT(WEEKDAY(DATE(AnoCalendário,10,22),1),"ddd")</f>
        <v>seg</v>
      </c>
      <c r="Z5" s="44" t="str">
        <f>TEXT(WEEKDAY(DATE(AnoCalendário,10,23),1),"ddd")</f>
        <v>ter</v>
      </c>
      <c r="AA5" s="44" t="str">
        <f>TEXT(WEEKDAY(DATE(AnoCalendário,10,24),1),"ddd")</f>
        <v>qua</v>
      </c>
      <c r="AB5" s="44" t="str">
        <f>TEXT(WEEKDAY(DATE(AnoCalendário,10,25),1),"ddd")</f>
        <v>qui</v>
      </c>
      <c r="AC5" s="44" t="str">
        <f>TEXT(WEEKDAY(DATE(AnoCalendário,10,26),1),"ddd")</f>
        <v>sex</v>
      </c>
      <c r="AD5" s="44" t="str">
        <f>TEXT(WEEKDAY(DATE(AnoCalendário,10,27),1),"ddd")</f>
        <v>sáb</v>
      </c>
      <c r="AE5" s="44" t="str">
        <f>TEXT(WEEKDAY(DATE(AnoCalendário,10,28),1),"ddd")</f>
        <v>dom</v>
      </c>
      <c r="AF5" s="44" t="str">
        <f>TEXT(WEEKDAY(DATE(AnoCalendário,10,29),1),"ddd")</f>
        <v>seg</v>
      </c>
      <c r="AG5" s="44" t="str">
        <f>TEXT(WEEKDAY(DATE(AnoCalendário,10,30),1),"ddd")</f>
        <v>ter</v>
      </c>
      <c r="AH5" s="44" t="str">
        <f>TEXT(WEEKDAY(DATE(AnoCalendário,10,31),1),"ddd")</f>
        <v>qua</v>
      </c>
      <c r="AI5" s="125" t="s">
        <v>41</v>
      </c>
      <c r="AJ5" s="126"/>
      <c r="AK5" s="126"/>
      <c r="AL5" s="126"/>
      <c r="AM5" s="127"/>
    </row>
    <row r="6" spans="1:40" s="5" customFormat="1" ht="14.25" customHeight="1" x14ac:dyDescent="0.25">
      <c r="B6" s="47" t="s">
        <v>34</v>
      </c>
      <c r="C6" s="48" t="s">
        <v>36</v>
      </c>
      <c r="D6" s="3" t="s">
        <v>0</v>
      </c>
      <c r="E6" s="3" t="s">
        <v>1</v>
      </c>
      <c r="F6" s="3" t="s">
        <v>2</v>
      </c>
      <c r="G6" s="3" t="s">
        <v>3</v>
      </c>
      <c r="H6" s="3" t="s">
        <v>4</v>
      </c>
      <c r="I6" s="3" t="s">
        <v>5</v>
      </c>
      <c r="J6" s="3" t="s">
        <v>6</v>
      </c>
      <c r="K6" s="3" t="s">
        <v>7</v>
      </c>
      <c r="L6" s="3" t="s">
        <v>8</v>
      </c>
      <c r="M6" s="3" t="s">
        <v>9</v>
      </c>
      <c r="N6" s="3" t="s">
        <v>10</v>
      </c>
      <c r="O6" s="3" t="s">
        <v>11</v>
      </c>
      <c r="P6" s="3" t="s">
        <v>12</v>
      </c>
      <c r="Q6" s="3" t="s">
        <v>13</v>
      </c>
      <c r="R6" s="3" t="s">
        <v>14</v>
      </c>
      <c r="S6" s="3" t="s">
        <v>15</v>
      </c>
      <c r="T6" s="3" t="s">
        <v>16</v>
      </c>
      <c r="U6" s="3" t="s">
        <v>17</v>
      </c>
      <c r="V6" s="3" t="s">
        <v>18</v>
      </c>
      <c r="W6" s="3" t="s">
        <v>19</v>
      </c>
      <c r="X6" s="3" t="s">
        <v>20</v>
      </c>
      <c r="Y6" s="3" t="s">
        <v>21</v>
      </c>
      <c r="Z6" s="3" t="s">
        <v>22</v>
      </c>
      <c r="AA6" s="3" t="s">
        <v>23</v>
      </c>
      <c r="AB6" s="3" t="s">
        <v>24</v>
      </c>
      <c r="AC6" s="3" t="s">
        <v>25</v>
      </c>
      <c r="AD6" s="3" t="s">
        <v>26</v>
      </c>
      <c r="AE6" s="3" t="s">
        <v>27</v>
      </c>
      <c r="AF6" s="3" t="s">
        <v>28</v>
      </c>
      <c r="AG6" s="3" t="s">
        <v>29</v>
      </c>
      <c r="AH6" s="3" t="s">
        <v>30</v>
      </c>
      <c r="AI6" s="96" t="s">
        <v>37</v>
      </c>
      <c r="AJ6" s="71" t="s">
        <v>39</v>
      </c>
      <c r="AK6" s="72" t="s">
        <v>38</v>
      </c>
      <c r="AL6" s="73" t="s">
        <v>31</v>
      </c>
      <c r="AM6" s="52" t="s">
        <v>40</v>
      </c>
      <c r="AN6" s="4"/>
    </row>
    <row r="7" spans="1:40" s="5" customFormat="1" ht="16.5" customHeight="1" x14ac:dyDescent="0.25">
      <c r="B7" s="49"/>
      <c r="C7" s="50" t="str">
        <f>IFERROR(VLOOKUP(PresençaemOutubro[[#This Row],[ID do Aluno]],ListadeAlunos[],18,FALSE),"")</f>
        <v/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5"/>
      <c r="AG7" s="23"/>
      <c r="AH7" s="23"/>
      <c r="AI7" s="6">
        <f>COUNTIF(PresençaemOutubro[[#This Row],[1]:[31]],Código1)</f>
        <v>0</v>
      </c>
      <c r="AJ7" s="51">
        <f>COUNTIF(PresençaemOutubro[[#This Row],[1]:[31]],Código2)</f>
        <v>0</v>
      </c>
      <c r="AK7" s="51">
        <f>COUNTIF(PresençaemOutubro[[#This Row],[1]:[31]],Código3)</f>
        <v>0</v>
      </c>
      <c r="AL7" s="51">
        <f>COUNTIF(PresençaemOutubro[[#This Row],[1]:[31]],Código4)</f>
        <v>0</v>
      </c>
      <c r="AM7" s="6">
        <f>SUM(PresençaemOutubro[[#This Row],[E]:[U]])</f>
        <v>0</v>
      </c>
      <c r="AN7" s="4"/>
    </row>
    <row r="8" spans="1:40" s="5" customFormat="1" ht="16.5" customHeight="1" x14ac:dyDescent="0.25">
      <c r="B8" s="49"/>
      <c r="C8" s="20" t="str">
        <f>IFERROR(VLOOKUP(PresençaemOutubro[[#This Row],[ID do Aluno]],ListadeAlunos[],18,FALSE),"")</f>
        <v/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5"/>
      <c r="AG8" s="23"/>
      <c r="AH8" s="23"/>
      <c r="AI8" s="6">
        <f>COUNTIF(PresençaemOutubro[[#This Row],[1]:[31]],Código1)</f>
        <v>0</v>
      </c>
      <c r="AJ8" s="51">
        <f>COUNTIF(PresençaemOutubro[[#This Row],[1]:[31]],Código2)</f>
        <v>0</v>
      </c>
      <c r="AK8" s="51">
        <f>COUNTIF(PresençaemOutubro[[#This Row],[1]:[31]],Código3)</f>
        <v>0</v>
      </c>
      <c r="AL8" s="51">
        <f>COUNTIF(PresençaemOutubro[[#This Row],[1]:[31]],Código4)</f>
        <v>0</v>
      </c>
      <c r="AM8" s="6">
        <f>SUM(PresençaemOutubro[[#This Row],[E]:[U]])</f>
        <v>0</v>
      </c>
      <c r="AN8" s="4"/>
    </row>
    <row r="9" spans="1:40" s="8" customFormat="1" ht="16.5" customHeight="1" x14ac:dyDescent="0.25">
      <c r="B9" s="49"/>
      <c r="C9" s="20" t="str">
        <f>IFERROR(VLOOKUP(PresençaemOutubro[[#This Row],[ID do Aluno]],ListadeAlunos[],18,FALSE),"")</f>
        <v/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5"/>
      <c r="AG9" s="23"/>
      <c r="AH9" s="23"/>
      <c r="AI9" s="6">
        <f>COUNTIF(PresençaemOutubro[[#This Row],[1]:[31]],Código1)</f>
        <v>0</v>
      </c>
      <c r="AJ9" s="51">
        <f>COUNTIF(PresençaemOutubro[[#This Row],[1]:[31]],Código2)</f>
        <v>0</v>
      </c>
      <c r="AK9" s="51">
        <f>COUNTIF(PresençaemOutubro[[#This Row],[1]:[31]],Código3)</f>
        <v>0</v>
      </c>
      <c r="AL9" s="51">
        <f>COUNTIF(PresençaemOutubro[[#This Row],[1]:[31]],Código4)</f>
        <v>0</v>
      </c>
      <c r="AM9" s="6">
        <f>SUM(PresençaemOutubro[[#This Row],[E]:[U]])</f>
        <v>0</v>
      </c>
      <c r="AN9" s="7"/>
    </row>
    <row r="10" spans="1:40" ht="16.5" customHeight="1" x14ac:dyDescent="0.25">
      <c r="B10" s="49"/>
      <c r="C10" s="20" t="str">
        <f>IFERROR(VLOOKUP(PresençaemOutubro[[#This Row],[ID do Aluno]],ListadeAlunos[],18,FALSE),"")</f>
        <v/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5"/>
      <c r="AG10" s="23"/>
      <c r="AH10" s="23"/>
      <c r="AI10" s="6">
        <f>COUNTIF(PresençaemOutubro[[#This Row],[1]:[31]],Código1)</f>
        <v>0</v>
      </c>
      <c r="AJ10" s="51">
        <f>COUNTIF(PresençaemOutubro[[#This Row],[1]:[31]],Código2)</f>
        <v>0</v>
      </c>
      <c r="AK10" s="51">
        <f>COUNTIF(PresençaemOutubro[[#This Row],[1]:[31]],Código3)</f>
        <v>0</v>
      </c>
      <c r="AL10" s="51">
        <f>COUNTIF(PresençaemOutubro[[#This Row],[1]:[31]],Código4)</f>
        <v>0</v>
      </c>
      <c r="AM10" s="6">
        <f>SUM(PresençaemOutubro[[#This Row],[E]:[U]])</f>
        <v>0</v>
      </c>
      <c r="AN10" s="10"/>
    </row>
    <row r="11" spans="1:40" ht="16.5" customHeight="1" x14ac:dyDescent="0.25">
      <c r="B11" s="49"/>
      <c r="C11" s="20" t="str">
        <f>IFERROR(VLOOKUP(PresençaemOutubro[[#This Row],[ID do Aluno]],ListadeAlunos[],18,FALSE),"")</f>
        <v/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5"/>
      <c r="AG11" s="23"/>
      <c r="AH11" s="23"/>
      <c r="AI11" s="6">
        <f>COUNTIF(PresençaemOutubro[[#This Row],[1]:[31]],Código1)</f>
        <v>0</v>
      </c>
      <c r="AJ11" s="51">
        <f>COUNTIF(PresençaemOutubro[[#This Row],[1]:[31]],Código2)</f>
        <v>0</v>
      </c>
      <c r="AK11" s="51">
        <f>COUNTIF(PresençaemOutubro[[#This Row],[1]:[31]],Código3)</f>
        <v>0</v>
      </c>
      <c r="AL11" s="51">
        <f>COUNTIF(PresençaemOutubro[[#This Row],[1]:[31]],Código4)</f>
        <v>0</v>
      </c>
      <c r="AM11" s="6">
        <f>SUM(PresençaemOutubro[[#This Row],[E]:[U]])</f>
        <v>0</v>
      </c>
      <c r="AN11" s="10"/>
    </row>
    <row r="12" spans="1:40" ht="16.5" customHeight="1" x14ac:dyDescent="0.25">
      <c r="B12" s="118"/>
      <c r="C12" s="119" t="s">
        <v>115</v>
      </c>
      <c r="D12" s="120">
        <f>COUNTIF(PresençaemOutubro[1],"U")+COUNTIF(PresençaemOutubro[1],"E")</f>
        <v>0</v>
      </c>
      <c r="E12" s="120">
        <f>COUNTIF(PresençaemOutubro[2],"U")+COUNTIF(PresençaemOutubro[2],"E")</f>
        <v>0</v>
      </c>
      <c r="F12" s="120">
        <f>COUNTIF(PresençaemOutubro[3],"U")+COUNTIF(PresençaemOutubro[3],"E")</f>
        <v>0</v>
      </c>
      <c r="G12" s="120">
        <f>COUNTIF(PresençaemOutubro[4],"U")+COUNTIF(PresençaemOutubro[4],"E")</f>
        <v>0</v>
      </c>
      <c r="H12" s="120">
        <f>COUNTIF(PresençaemOutubro[5],"U")+COUNTIF(PresençaemOutubro[5],"E")</f>
        <v>0</v>
      </c>
      <c r="I12" s="120">
        <f>COUNTIF(PresençaemOutubro[6],"U")+COUNTIF(PresençaemOutubro[6],"E")</f>
        <v>0</v>
      </c>
      <c r="J12" s="120">
        <f>COUNTIF(PresençaemOutubro[7],"U")+COUNTIF(PresençaemOutubro[7],"E")</f>
        <v>0</v>
      </c>
      <c r="K12" s="120">
        <f>COUNTIF(PresençaemOutubro[8],"U")+COUNTIF(PresençaemOutubro[8],"E")</f>
        <v>0</v>
      </c>
      <c r="L12" s="120">
        <f>COUNTIF(PresençaemOutubro[9],"U")+COUNTIF(PresençaemOutubro[9],"E")</f>
        <v>0</v>
      </c>
      <c r="M12" s="120">
        <f>COUNTIF(PresençaemOutubro[10],"U")+COUNTIF(PresençaemOutubro[10],"E")</f>
        <v>0</v>
      </c>
      <c r="N12" s="120">
        <f>COUNTIF(PresençaemOutubro[11],"U")+COUNTIF(PresençaemOutubro[11],"E")</f>
        <v>0</v>
      </c>
      <c r="O12" s="120">
        <f>COUNTIF(PresençaemOutubro[12],"U")+COUNTIF(PresençaemOutubro[12],"E")</f>
        <v>0</v>
      </c>
      <c r="P12" s="120">
        <f>COUNTIF(PresençaemOutubro[13],"U")+COUNTIF(PresençaemOutubro[13],"E")</f>
        <v>0</v>
      </c>
      <c r="Q12" s="120">
        <f>COUNTIF(PresençaemOutubro[14],"U")+COUNTIF(PresençaemOutubro[14],"E")</f>
        <v>0</v>
      </c>
      <c r="R12" s="120">
        <f>COUNTIF(PresençaemOutubro[15],"U")+COUNTIF(PresençaemOutubro[15],"E")</f>
        <v>0</v>
      </c>
      <c r="S12" s="120">
        <f>COUNTIF(PresençaemOutubro[16],"U")+COUNTIF(PresençaemOutubro[16],"E")</f>
        <v>0</v>
      </c>
      <c r="T12" s="120">
        <f>COUNTIF(PresençaemOutubro[17],"U")+COUNTIF(PresençaemOutubro[17],"E")</f>
        <v>0</v>
      </c>
      <c r="U12" s="120">
        <f>COUNTIF(PresençaemOutubro[18],"U")+COUNTIF(PresençaemOutubro[18],"E")</f>
        <v>0</v>
      </c>
      <c r="V12" s="120">
        <f>COUNTIF(PresençaemOutubro[19],"U")+COUNTIF(PresençaemOutubro[19],"E")</f>
        <v>0</v>
      </c>
      <c r="W12" s="120">
        <f>COUNTIF(PresençaemOutubro[20],"U")+COUNTIF(PresençaemOutubro[20],"E")</f>
        <v>0</v>
      </c>
      <c r="X12" s="120">
        <f>COUNTIF(PresençaemOutubro[21],"U")+COUNTIF(PresençaemOutubro[21],"E")</f>
        <v>0</v>
      </c>
      <c r="Y12" s="120">
        <f>COUNTIF(PresençaemOutubro[22],"U")+COUNTIF(PresençaemOutubro[22],"E")</f>
        <v>0</v>
      </c>
      <c r="Z12" s="120">
        <f>COUNTIF(PresençaemOutubro[23],"U")+COUNTIF(PresençaemOutubro[23],"E")</f>
        <v>0</v>
      </c>
      <c r="AA12" s="120">
        <f>COUNTIF(PresençaemOutubro[24],"U")+COUNTIF(PresençaemOutubro[24],"E")</f>
        <v>0</v>
      </c>
      <c r="AB12" s="120">
        <f>COUNTIF(PresençaemOutubro[25],"U")+COUNTIF(PresençaemOutubro[25],"E")</f>
        <v>0</v>
      </c>
      <c r="AC12" s="120">
        <f>COUNTIF(PresençaemOutubro[26],"U")+COUNTIF(PresençaemOutubro[26],"E")</f>
        <v>0</v>
      </c>
      <c r="AD12" s="120">
        <f>COUNTIF(PresençaemOutubro[27],"U")+COUNTIF(PresençaemOutubro[27],"E")</f>
        <v>0</v>
      </c>
      <c r="AE12" s="120">
        <f>COUNTIF(PresençaemOutubro[28],"U")+COUNTIF(PresençaemOutubro[28],"E")</f>
        <v>0</v>
      </c>
      <c r="AF12" s="120">
        <f>COUNTIF(PresençaemOutubro[29],"U")+COUNTIF(PresençaemOutubro[29],"E")</f>
        <v>0</v>
      </c>
      <c r="AG12" s="120">
        <f>COUNTIF(PresençaemOutubro[30],"U")+COUNTIF(PresençaemOutubro[30],"E")</f>
        <v>0</v>
      </c>
      <c r="AH12" s="120">
        <f>COUNTIF(PresençaemOutubro[31],"U")+COUNTIF(PresençaemOutubro[31],"E")</f>
        <v>0</v>
      </c>
      <c r="AI12" s="120">
        <f>SUBTOTAL(109,PresençaemOutubro[T])</f>
        <v>0</v>
      </c>
      <c r="AJ12" s="120">
        <f>SUBTOTAL(109,PresençaemOutubro[E])</f>
        <v>0</v>
      </c>
      <c r="AK12" s="120">
        <f>SUBTOTAL(109,PresençaemOutubro[U])</f>
        <v>0</v>
      </c>
      <c r="AL12" s="120">
        <f>SUBTOTAL(109,PresençaemOutubro[P])</f>
        <v>0</v>
      </c>
      <c r="AM12" s="120">
        <f>SUBTOTAL(109,PresençaemOutubro[Dias de Ausência])</f>
        <v>0</v>
      </c>
    </row>
    <row r="13" spans="1:40" ht="16.5" customHeight="1" x14ac:dyDescent="0.25"/>
    <row r="14" spans="1:40" ht="16.5" customHeight="1" x14ac:dyDescent="0.25"/>
    <row r="15" spans="1:40" ht="16.5" customHeight="1" x14ac:dyDescent="0.25"/>
    <row r="16" spans="1:40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6.5" customHeight="1" x14ac:dyDescent="0.25"/>
    <row r="25" ht="16.5" customHeight="1" x14ac:dyDescent="0.25"/>
    <row r="26" ht="16.5" customHeight="1" x14ac:dyDescent="0.25"/>
    <row r="27" ht="16.5" customHeight="1" x14ac:dyDescent="0.25"/>
    <row r="28" ht="16.5" customHeight="1" x14ac:dyDescent="0.25"/>
    <row r="29" ht="16.5" customHeight="1" x14ac:dyDescent="0.25"/>
    <row r="30" ht="16.5" customHeight="1" x14ac:dyDescent="0.25"/>
    <row r="31" ht="16.5" customHeight="1" x14ac:dyDescent="0.25"/>
    <row r="32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I5:AM5"/>
  </mergeCells>
  <conditionalFormatting sqref="AM7:AM11">
    <cfRule type="dataBar" priority="6">
      <dataBar>
        <cfvo type="min"/>
        <cfvo type="num" val="31"/>
        <color theme="4"/>
      </dataBar>
      <extLst>
        <ext xmlns:x14="http://schemas.microsoft.com/office/spreadsheetml/2009/9/main" uri="{B025F937-C7B1-47D3-B67F-A62EFF666E3E}">
          <x14:id>{6EA17848-2AAC-40C7-98F3-52AFCDA9173D}</x14:id>
        </ext>
      </extLst>
    </cfRule>
  </conditionalFormatting>
  <conditionalFormatting sqref="AG7:AI11">
    <cfRule type="expression" dxfId="837" priority="7" stopIfTrue="1">
      <formula>AG7=Código2</formula>
    </cfRule>
  </conditionalFormatting>
  <conditionalFormatting sqref="AG7:AH11">
    <cfRule type="expression" dxfId="836" priority="8" stopIfTrue="1">
      <formula>AG7=Código5</formula>
    </cfRule>
    <cfRule type="expression" dxfId="835" priority="9" stopIfTrue="1">
      <formula>AG7=Código4</formula>
    </cfRule>
    <cfRule type="expression" dxfId="834" priority="10" stopIfTrue="1">
      <formula>AG7=Código3</formula>
    </cfRule>
    <cfRule type="expression" dxfId="833" priority="11" stopIfTrue="1">
      <formula>AG7=Código1</formula>
    </cfRule>
  </conditionalFormatting>
  <conditionalFormatting sqref="D7:AF11">
    <cfRule type="expression" dxfId="832" priority="1" stopIfTrue="1">
      <formula>D7=Código2</formula>
    </cfRule>
  </conditionalFormatting>
  <conditionalFormatting sqref="D7:AF11">
    <cfRule type="expression" dxfId="831" priority="2" stopIfTrue="1">
      <formula>D7=Código5</formula>
    </cfRule>
    <cfRule type="expression" dxfId="830" priority="3" stopIfTrue="1">
      <formula>D7=Código4</formula>
    </cfRule>
    <cfRule type="expression" dxfId="829" priority="4" stopIfTrue="1">
      <formula>D7=Código3</formula>
    </cfRule>
    <cfRule type="expression" dxfId="828" priority="5" stopIfTrue="1">
      <formula>D7=Código1</formula>
    </cfRule>
  </conditionalFormatting>
  <dataValidations count="1">
    <dataValidation type="list" errorStyle="warning" allowBlank="1" showInputMessage="1" showErrorMessage="1" errorTitle="Ops!" error="A ID de Aluno que você inseriu não está na planilha Lista de Alunos. Você pode clicar em Sim para usar a ID de Aluno inserida, mas ela não estará disponível na planilha Relatório de Presença dos Alunos." sqref="B7:B11">
      <formula1>IDAluno</formula1>
    </dataValidation>
  </dataValidations>
  <printOptions horizontalCentered="1"/>
  <pageMargins left="0.5" right="0.5" top="0.75" bottom="0.75" header="0.3" footer="0.3"/>
  <pageSetup paperSize="9" scale="59" fitToHeight="0" orientation="landscape" verticalDpi="120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EA17848-2AAC-40C7-98F3-52AFCDA9173D}">
            <x14:dataBar minLength="0" maxLength="100" border="1" negativeBarBorderColorSameAsPositive="0">
              <x14:cfvo type="autoMin"/>
              <x14:cfvo type="num">
                <xm:f>31</xm:f>
              </x14:cfvo>
              <x14:borderColor theme="4"/>
              <x14:negativeFillColor rgb="FFFF0000"/>
              <x14:negativeBorderColor rgb="FFFF0000"/>
              <x14:axisColor rgb="FF000000"/>
            </x14:dataBar>
          </x14:cfRule>
          <xm:sqref>AM7:AM11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N346"/>
  <sheetViews>
    <sheetView showGridLines="0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5" customHeight="1" x14ac:dyDescent="0.25"/>
  <cols>
    <col min="1" max="1" width="2.7109375" style="11" customWidth="1"/>
    <col min="2" max="2" width="11.85546875" style="11" bestFit="1" customWidth="1"/>
    <col min="3" max="3" width="28.85546875" style="12" customWidth="1"/>
    <col min="4" max="34" width="5" style="10" customWidth="1"/>
    <col min="35" max="35" width="4.7109375" style="9" customWidth="1"/>
    <col min="36" max="36" width="4.7109375" style="10" customWidth="1"/>
    <col min="37" max="38" width="4.7109375" style="11" customWidth="1"/>
    <col min="39" max="39" width="16.85546875" style="11" bestFit="1" customWidth="1"/>
    <col min="40" max="16384" width="9.140625" style="11"/>
  </cols>
  <sheetData>
    <row r="1" spans="1:40" s="1" customFormat="1" ht="42" customHeight="1" x14ac:dyDescent="0.25">
      <c r="A1" s="39" t="s">
        <v>89</v>
      </c>
      <c r="B1" s="40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0"/>
      <c r="AD1" s="40"/>
      <c r="AE1" s="40"/>
      <c r="AF1" s="40"/>
      <c r="AG1" s="42"/>
      <c r="AH1" s="40"/>
      <c r="AI1" s="40"/>
      <c r="AJ1" s="43"/>
      <c r="AK1" s="40"/>
      <c r="AL1" s="59" t="s">
        <v>72</v>
      </c>
      <c r="AM1" s="60">
        <f>AnoCalendário</f>
        <v>2012</v>
      </c>
    </row>
    <row r="2" spans="1:40" customFormat="1" ht="13.5" x14ac:dyDescent="0.25"/>
    <row r="3" spans="1:40" s="31" customFormat="1" ht="12.75" customHeight="1" x14ac:dyDescent="0.25">
      <c r="C3" s="46" t="str">
        <f>TextodaChavedeCor</f>
        <v xml:space="preserve">CHAVE COLORIDA </v>
      </c>
      <c r="D3" s="53" t="str">
        <f>Código1</f>
        <v>T</v>
      </c>
      <c r="E3" s="70" t="str">
        <f>TextodeCódigo1</f>
        <v>Atrasado</v>
      </c>
      <c r="F3" s="61"/>
      <c r="H3" s="54" t="str">
        <f>Código2</f>
        <v>E</v>
      </c>
      <c r="I3" s="58" t="str">
        <f>TextodeCódigo2</f>
        <v>Dispensado</v>
      </c>
      <c r="L3" s="55" t="str">
        <f>Código3</f>
        <v>U</v>
      </c>
      <c r="M3" s="58" t="str">
        <f>TextodeCódigo3</f>
        <v>Não Dispensado</v>
      </c>
      <c r="P3" s="56" t="str">
        <f>Código4</f>
        <v>P</v>
      </c>
      <c r="Q3" s="58" t="str">
        <f>TextodeCódigo4</f>
        <v>Presente</v>
      </c>
      <c r="T3" s="57" t="str">
        <f>Código5</f>
        <v>N</v>
      </c>
      <c r="U3" s="58" t="str">
        <f>TextodeCódigo5</f>
        <v>Sem Aula</v>
      </c>
      <c r="W3"/>
      <c r="X3"/>
      <c r="Y3"/>
      <c r="AD3" s="30"/>
      <c r="AE3" s="30"/>
      <c r="AH3" s="32"/>
      <c r="AI3" s="33"/>
      <c r="AK3" s="34"/>
    </row>
    <row r="4" spans="1:40" customFormat="1" ht="16.5" customHeight="1" x14ac:dyDescent="0.25"/>
    <row r="5" spans="1:40" s="2" customFormat="1" ht="18" customHeight="1" x14ac:dyDescent="0.3">
      <c r="B5" s="63">
        <f>DATE(AnoCalendário,11,1)</f>
        <v>41214</v>
      </c>
      <c r="C5" s="62"/>
      <c r="D5" s="44" t="str">
        <f>TEXT(WEEKDAY(DATE(AnoCalendário,11,1),1),"ddd")</f>
        <v>qui</v>
      </c>
      <c r="E5" s="44" t="str">
        <f>TEXT(WEEKDAY(DATE(AnoCalendário,11,2),1),"ddd")</f>
        <v>sex</v>
      </c>
      <c r="F5" s="44" t="str">
        <f>TEXT(WEEKDAY(DATE(AnoCalendário,11,3),1),"ddd")</f>
        <v>sáb</v>
      </c>
      <c r="G5" s="44" t="str">
        <f>TEXT(WEEKDAY(DATE(AnoCalendário,11,4),1),"ddd")</f>
        <v>dom</v>
      </c>
      <c r="H5" s="44" t="str">
        <f>TEXT(WEEKDAY(DATE(AnoCalendário,11,5),1),"ddd")</f>
        <v>seg</v>
      </c>
      <c r="I5" s="44" t="str">
        <f>TEXT(WEEKDAY(DATE(AnoCalendário,11,6),1),"ddd")</f>
        <v>ter</v>
      </c>
      <c r="J5" s="44" t="str">
        <f>TEXT(WEEKDAY(DATE(AnoCalendário,11,7),1),"ddd")</f>
        <v>qua</v>
      </c>
      <c r="K5" s="44" t="str">
        <f>TEXT(WEEKDAY(DATE(AnoCalendário,11,8),1),"ddd")</f>
        <v>qui</v>
      </c>
      <c r="L5" s="44" t="str">
        <f>TEXT(WEEKDAY(DATE(AnoCalendário,11,9),1),"ddd")</f>
        <v>sex</v>
      </c>
      <c r="M5" s="44" t="str">
        <f>TEXT(WEEKDAY(DATE(AnoCalendário,11,10),1),"ddd")</f>
        <v>sáb</v>
      </c>
      <c r="N5" s="44" t="str">
        <f>TEXT(WEEKDAY(DATE(AnoCalendário,11,11),1),"ddd")</f>
        <v>dom</v>
      </c>
      <c r="O5" s="44" t="str">
        <f>TEXT(WEEKDAY(DATE(AnoCalendário,11,12),1),"ddd")</f>
        <v>seg</v>
      </c>
      <c r="P5" s="44" t="str">
        <f>TEXT(WEEKDAY(DATE(AnoCalendário,11,13),1),"ddd")</f>
        <v>ter</v>
      </c>
      <c r="Q5" s="44" t="str">
        <f>TEXT(WEEKDAY(DATE(AnoCalendário,11,14),1),"ddd")</f>
        <v>qua</v>
      </c>
      <c r="R5" s="44" t="str">
        <f>TEXT(WEEKDAY(DATE(AnoCalendário,11,15),1),"ddd")</f>
        <v>qui</v>
      </c>
      <c r="S5" s="44" t="str">
        <f>TEXT(WEEKDAY(DATE(AnoCalendário,11,16),1),"ddd")</f>
        <v>sex</v>
      </c>
      <c r="T5" s="44" t="str">
        <f>TEXT(WEEKDAY(DATE(AnoCalendário,11,17),1),"ddd")</f>
        <v>sáb</v>
      </c>
      <c r="U5" s="44" t="str">
        <f>TEXT(WEEKDAY(DATE(AnoCalendário,11,18),1),"ddd")</f>
        <v>dom</v>
      </c>
      <c r="V5" s="44" t="str">
        <f>TEXT(WEEKDAY(DATE(AnoCalendário,11,19),1),"ddd")</f>
        <v>seg</v>
      </c>
      <c r="W5" s="44" t="str">
        <f>TEXT(WEEKDAY(DATE(AnoCalendário,11,20),1),"ddd")</f>
        <v>ter</v>
      </c>
      <c r="X5" s="44" t="str">
        <f>TEXT(WEEKDAY(DATE(AnoCalendário,11,21),1),"ddd")</f>
        <v>qua</v>
      </c>
      <c r="Y5" s="44" t="str">
        <f>TEXT(WEEKDAY(DATE(AnoCalendário,11,22),1),"ddd")</f>
        <v>qui</v>
      </c>
      <c r="Z5" s="44" t="str">
        <f>TEXT(WEEKDAY(DATE(AnoCalendário,11,23),1),"ddd")</f>
        <v>sex</v>
      </c>
      <c r="AA5" s="44" t="str">
        <f>TEXT(WEEKDAY(DATE(AnoCalendário,11,24),1),"ddd")</f>
        <v>sáb</v>
      </c>
      <c r="AB5" s="44" t="str">
        <f>TEXT(WEEKDAY(DATE(AnoCalendário,11,25),1),"ddd")</f>
        <v>dom</v>
      </c>
      <c r="AC5" s="44" t="str">
        <f>TEXT(WEEKDAY(DATE(AnoCalendário,11,26),1),"ddd")</f>
        <v>seg</v>
      </c>
      <c r="AD5" s="44" t="str">
        <f>TEXT(WEEKDAY(DATE(AnoCalendário,11,27),1),"ddd")</f>
        <v>ter</v>
      </c>
      <c r="AE5" s="44" t="str">
        <f>TEXT(WEEKDAY(DATE(AnoCalendário,11,28),1),"ddd")</f>
        <v>qua</v>
      </c>
      <c r="AF5" s="44" t="str">
        <f>TEXT(WEEKDAY(DATE(AnoCalendário,11,29),1),"ddd")</f>
        <v>qui</v>
      </c>
      <c r="AG5" s="44" t="str">
        <f>TEXT(WEEKDAY(DATE(AnoCalendário,11,30),1),"ddd")</f>
        <v>sex</v>
      </c>
      <c r="AH5" s="44"/>
      <c r="AI5" s="125" t="s">
        <v>41</v>
      </c>
      <c r="AJ5" s="126"/>
      <c r="AK5" s="126"/>
      <c r="AL5" s="126"/>
      <c r="AM5" s="127"/>
    </row>
    <row r="6" spans="1:40" s="5" customFormat="1" ht="14.25" customHeight="1" x14ac:dyDescent="0.25">
      <c r="B6" s="47" t="s">
        <v>34</v>
      </c>
      <c r="C6" s="48" t="s">
        <v>36</v>
      </c>
      <c r="D6" s="3" t="s">
        <v>0</v>
      </c>
      <c r="E6" s="3" t="s">
        <v>1</v>
      </c>
      <c r="F6" s="3" t="s">
        <v>2</v>
      </c>
      <c r="G6" s="3" t="s">
        <v>3</v>
      </c>
      <c r="H6" s="3" t="s">
        <v>4</v>
      </c>
      <c r="I6" s="3" t="s">
        <v>5</v>
      </c>
      <c r="J6" s="3" t="s">
        <v>6</v>
      </c>
      <c r="K6" s="3" t="s">
        <v>7</v>
      </c>
      <c r="L6" s="3" t="s">
        <v>8</v>
      </c>
      <c r="M6" s="3" t="s">
        <v>9</v>
      </c>
      <c r="N6" s="3" t="s">
        <v>10</v>
      </c>
      <c r="O6" s="3" t="s">
        <v>11</v>
      </c>
      <c r="P6" s="3" t="s">
        <v>12</v>
      </c>
      <c r="Q6" s="3" t="s">
        <v>13</v>
      </c>
      <c r="R6" s="3" t="s">
        <v>14</v>
      </c>
      <c r="S6" s="3" t="s">
        <v>15</v>
      </c>
      <c r="T6" s="3" t="s">
        <v>16</v>
      </c>
      <c r="U6" s="3" t="s">
        <v>17</v>
      </c>
      <c r="V6" s="3" t="s">
        <v>18</v>
      </c>
      <c r="W6" s="3" t="s">
        <v>19</v>
      </c>
      <c r="X6" s="3" t="s">
        <v>20</v>
      </c>
      <c r="Y6" s="3" t="s">
        <v>21</v>
      </c>
      <c r="Z6" s="3" t="s">
        <v>22</v>
      </c>
      <c r="AA6" s="3" t="s">
        <v>23</v>
      </c>
      <c r="AB6" s="3" t="s">
        <v>24</v>
      </c>
      <c r="AC6" s="3" t="s">
        <v>25</v>
      </c>
      <c r="AD6" s="3" t="s">
        <v>26</v>
      </c>
      <c r="AE6" s="3" t="s">
        <v>27</v>
      </c>
      <c r="AF6" s="3" t="s">
        <v>28</v>
      </c>
      <c r="AG6" s="3" t="s">
        <v>29</v>
      </c>
      <c r="AH6" s="3" t="s">
        <v>114</v>
      </c>
      <c r="AI6" s="96" t="s">
        <v>37</v>
      </c>
      <c r="AJ6" s="71" t="s">
        <v>39</v>
      </c>
      <c r="AK6" s="72" t="s">
        <v>38</v>
      </c>
      <c r="AL6" s="73" t="s">
        <v>31</v>
      </c>
      <c r="AM6" s="52" t="s">
        <v>40</v>
      </c>
      <c r="AN6" s="4"/>
    </row>
    <row r="7" spans="1:40" s="5" customFormat="1" ht="16.5" customHeight="1" x14ac:dyDescent="0.25">
      <c r="B7" s="49"/>
      <c r="C7" s="50" t="str">
        <f>IFERROR(VLOOKUP(PresençaemNovembro[[#This Row],[ID do Aluno]],ListadeAlunos[],18,FALSE),"")</f>
        <v/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5"/>
      <c r="AG7" s="23"/>
      <c r="AH7" s="23"/>
      <c r="AI7" s="6">
        <f>COUNTIF(PresençaemNovembro[[#This Row],[1]:[ ]],Código1)</f>
        <v>0</v>
      </c>
      <c r="AJ7" s="51">
        <f>COUNTIF(PresençaemNovembro[[#This Row],[1]:[ ]],Código2)</f>
        <v>0</v>
      </c>
      <c r="AK7" s="51">
        <f>COUNTIF(PresençaemNovembro[[#This Row],[1]:[ ]],Código3)</f>
        <v>0</v>
      </c>
      <c r="AL7" s="51">
        <f>COUNTIF(PresençaemNovembro[[#This Row],[1]:[ ]],Código4)</f>
        <v>0</v>
      </c>
      <c r="AM7" s="6">
        <f>SUM(PresençaemNovembro[[#This Row],[E]:[U]])</f>
        <v>0</v>
      </c>
      <c r="AN7" s="4"/>
    </row>
    <row r="8" spans="1:40" s="5" customFormat="1" ht="16.5" customHeight="1" x14ac:dyDescent="0.25">
      <c r="B8" s="49"/>
      <c r="C8" s="20" t="str">
        <f>IFERROR(VLOOKUP(PresençaemNovembro[[#This Row],[ID do Aluno]],ListadeAlunos[],18,FALSE),"")</f>
        <v/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5"/>
      <c r="AG8" s="23"/>
      <c r="AH8" s="23"/>
      <c r="AI8" s="6">
        <f>COUNTIF(PresençaemNovembro[[#This Row],[1]:[ ]],Código1)</f>
        <v>0</v>
      </c>
      <c r="AJ8" s="51">
        <f>COUNTIF(PresençaemNovembro[[#This Row],[1]:[ ]],Código2)</f>
        <v>0</v>
      </c>
      <c r="AK8" s="51">
        <f>COUNTIF(PresençaemNovembro[[#This Row],[1]:[ ]],Código3)</f>
        <v>0</v>
      </c>
      <c r="AL8" s="51">
        <f>COUNTIF(PresençaemNovembro[[#This Row],[1]:[ ]],Código4)</f>
        <v>0</v>
      </c>
      <c r="AM8" s="6">
        <f>SUM(PresençaemNovembro[[#This Row],[E]:[U]])</f>
        <v>0</v>
      </c>
      <c r="AN8" s="4"/>
    </row>
    <row r="9" spans="1:40" s="8" customFormat="1" ht="16.5" customHeight="1" x14ac:dyDescent="0.25">
      <c r="B9" s="49"/>
      <c r="C9" s="20" t="str">
        <f>IFERROR(VLOOKUP(PresençaemNovembro[[#This Row],[ID do Aluno]],ListadeAlunos[],18,FALSE),"")</f>
        <v/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5"/>
      <c r="AG9" s="23"/>
      <c r="AH9" s="23"/>
      <c r="AI9" s="6">
        <f>COUNTIF(PresençaemNovembro[[#This Row],[1]:[ ]],Código1)</f>
        <v>0</v>
      </c>
      <c r="AJ9" s="51">
        <f>COUNTIF(PresençaemNovembro[[#This Row],[1]:[ ]],Código2)</f>
        <v>0</v>
      </c>
      <c r="AK9" s="51">
        <f>COUNTIF(PresençaemNovembro[[#This Row],[1]:[ ]],Código3)</f>
        <v>0</v>
      </c>
      <c r="AL9" s="51">
        <f>COUNTIF(PresençaemNovembro[[#This Row],[1]:[ ]],Código4)</f>
        <v>0</v>
      </c>
      <c r="AM9" s="6">
        <f>SUM(PresençaemNovembro[[#This Row],[E]:[U]])</f>
        <v>0</v>
      </c>
      <c r="AN9" s="7"/>
    </row>
    <row r="10" spans="1:40" ht="16.5" customHeight="1" x14ac:dyDescent="0.25">
      <c r="B10" s="49"/>
      <c r="C10" s="20" t="str">
        <f>IFERROR(VLOOKUP(PresençaemNovembro[[#This Row],[ID do Aluno]],ListadeAlunos[],18,FALSE),"")</f>
        <v/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5"/>
      <c r="AG10" s="23"/>
      <c r="AH10" s="23"/>
      <c r="AI10" s="6">
        <f>COUNTIF(PresençaemNovembro[[#This Row],[1]:[ ]],Código1)</f>
        <v>0</v>
      </c>
      <c r="AJ10" s="51">
        <f>COUNTIF(PresençaemNovembro[[#This Row],[1]:[ ]],Código2)</f>
        <v>0</v>
      </c>
      <c r="AK10" s="51">
        <f>COUNTIF(PresençaemNovembro[[#This Row],[1]:[ ]],Código3)</f>
        <v>0</v>
      </c>
      <c r="AL10" s="51">
        <f>COUNTIF(PresençaemNovembro[[#This Row],[1]:[ ]],Código4)</f>
        <v>0</v>
      </c>
      <c r="AM10" s="6">
        <f>SUM(PresençaemNovembro[[#This Row],[E]:[U]])</f>
        <v>0</v>
      </c>
      <c r="AN10" s="10"/>
    </row>
    <row r="11" spans="1:40" ht="16.5" customHeight="1" x14ac:dyDescent="0.25">
      <c r="B11" s="49"/>
      <c r="C11" s="20" t="str">
        <f>IFERROR(VLOOKUP(PresençaemNovembro[[#This Row],[ID do Aluno]],ListadeAlunos[],18,FALSE),"")</f>
        <v/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5"/>
      <c r="AG11" s="23"/>
      <c r="AH11" s="23"/>
      <c r="AI11" s="6">
        <f>COUNTIF(PresençaemNovembro[[#This Row],[1]:[ ]],Código1)</f>
        <v>0</v>
      </c>
      <c r="AJ11" s="51">
        <f>COUNTIF(PresençaemNovembro[[#This Row],[1]:[ ]],Código2)</f>
        <v>0</v>
      </c>
      <c r="AK11" s="51">
        <f>COUNTIF(PresençaemNovembro[[#This Row],[1]:[ ]],Código3)</f>
        <v>0</v>
      </c>
      <c r="AL11" s="51">
        <f>COUNTIF(PresençaemNovembro[[#This Row],[1]:[ ]],Código4)</f>
        <v>0</v>
      </c>
      <c r="AM11" s="6">
        <f>SUM(PresençaemNovembro[[#This Row],[E]:[U]])</f>
        <v>0</v>
      </c>
      <c r="AN11" s="10"/>
    </row>
    <row r="12" spans="1:40" ht="16.5" customHeight="1" x14ac:dyDescent="0.25">
      <c r="B12" s="118"/>
      <c r="C12" s="119" t="s">
        <v>115</v>
      </c>
      <c r="D12" s="120">
        <f>COUNTIF(PresençaemNovembro[1],"U")+COUNTIF(PresençaemNovembro[1],"E")</f>
        <v>0</v>
      </c>
      <c r="E12" s="120">
        <f>COUNTIF(PresençaemNovembro[2],"U")+COUNTIF(PresençaemNovembro[2],"E")</f>
        <v>0</v>
      </c>
      <c r="F12" s="120">
        <f>COUNTIF(PresençaemNovembro[3],"U")+COUNTIF(PresençaemNovembro[3],"E")</f>
        <v>0</v>
      </c>
      <c r="G12" s="120">
        <f>COUNTIF(PresençaemNovembro[4],"U")+COUNTIF(PresençaemNovembro[4],"E")</f>
        <v>0</v>
      </c>
      <c r="H12" s="120">
        <f>COUNTIF(PresençaemNovembro[5],"U")+COUNTIF(PresençaemNovembro[5],"E")</f>
        <v>0</v>
      </c>
      <c r="I12" s="120">
        <f>COUNTIF(PresençaemNovembro[6],"U")+COUNTIF(PresençaemNovembro[6],"E")</f>
        <v>0</v>
      </c>
      <c r="J12" s="120">
        <f>COUNTIF(PresençaemNovembro[7],"U")+COUNTIF(PresençaemNovembro[7],"E")</f>
        <v>0</v>
      </c>
      <c r="K12" s="120">
        <f>COUNTIF(PresençaemNovembro[8],"U")+COUNTIF(PresençaemNovembro[8],"E")</f>
        <v>0</v>
      </c>
      <c r="L12" s="120">
        <f>COUNTIF(PresençaemNovembro[9],"U")+COUNTIF(PresençaemNovembro[9],"E")</f>
        <v>0</v>
      </c>
      <c r="M12" s="120">
        <f>COUNTIF(PresençaemNovembro[10],"U")+COUNTIF(PresençaemNovembro[10],"E")</f>
        <v>0</v>
      </c>
      <c r="N12" s="120">
        <f>COUNTIF(PresençaemNovembro[11],"U")+COUNTIF(PresençaemNovembro[11],"E")</f>
        <v>0</v>
      </c>
      <c r="O12" s="120">
        <f>COUNTIF(PresençaemNovembro[12],"U")+COUNTIF(PresençaemNovembro[12],"E")</f>
        <v>0</v>
      </c>
      <c r="P12" s="120">
        <f>COUNTIF(PresençaemNovembro[13],"U")+COUNTIF(PresençaemNovembro[13],"E")</f>
        <v>0</v>
      </c>
      <c r="Q12" s="120">
        <f>COUNTIF(PresençaemNovembro[14],"U")+COUNTIF(PresençaemNovembro[14],"E")</f>
        <v>0</v>
      </c>
      <c r="R12" s="120">
        <f>COUNTIF(PresençaemNovembro[15],"U")+COUNTIF(PresençaemNovembro[15],"E")</f>
        <v>0</v>
      </c>
      <c r="S12" s="120">
        <f>COUNTIF(PresençaemNovembro[16],"U")+COUNTIF(PresençaemNovembro[16],"E")</f>
        <v>0</v>
      </c>
      <c r="T12" s="120">
        <f>COUNTIF(PresençaemNovembro[17],"U")+COUNTIF(PresençaemNovembro[17],"E")</f>
        <v>0</v>
      </c>
      <c r="U12" s="120">
        <f>COUNTIF(PresençaemNovembro[18],"U")+COUNTIF(PresençaemNovembro[18],"E")</f>
        <v>0</v>
      </c>
      <c r="V12" s="120">
        <f>COUNTIF(PresençaemNovembro[19],"U")+COUNTIF(PresençaemNovembro[19],"E")</f>
        <v>0</v>
      </c>
      <c r="W12" s="120">
        <f>COUNTIF(PresençaemNovembro[20],"U")+COUNTIF(PresençaemNovembro[20],"E")</f>
        <v>0</v>
      </c>
      <c r="X12" s="120">
        <f>COUNTIF(PresençaemNovembro[21],"U")+COUNTIF(PresençaemNovembro[21],"E")</f>
        <v>0</v>
      </c>
      <c r="Y12" s="120">
        <f>COUNTIF(PresençaemNovembro[22],"U")+COUNTIF(PresençaemNovembro[22],"E")</f>
        <v>0</v>
      </c>
      <c r="Z12" s="120">
        <f>COUNTIF(PresençaemNovembro[23],"U")+COUNTIF(PresençaemNovembro[23],"E")</f>
        <v>0</v>
      </c>
      <c r="AA12" s="120">
        <f>COUNTIF(PresençaemNovembro[24],"U")+COUNTIF(PresençaemNovembro[24],"E")</f>
        <v>0</v>
      </c>
      <c r="AB12" s="120">
        <f>COUNTIF(PresençaemNovembro[25],"U")+COUNTIF(PresençaemNovembro[25],"E")</f>
        <v>0</v>
      </c>
      <c r="AC12" s="120">
        <f>COUNTIF(PresençaemNovembro[26],"U")+COUNTIF(PresençaemNovembro[26],"E")</f>
        <v>0</v>
      </c>
      <c r="AD12" s="120">
        <f>COUNTIF(PresençaemNovembro[27],"U")+COUNTIF(PresençaemNovembro[27],"E")</f>
        <v>0</v>
      </c>
      <c r="AE12" s="120">
        <f>COUNTIF(PresençaemNovembro[28],"U")+COUNTIF(PresençaemNovembro[28],"E")</f>
        <v>0</v>
      </c>
      <c r="AF12" s="120">
        <f>COUNTIF(PresençaemNovembro[29],"U")+COUNTIF(PresençaemNovembro[29],"E")</f>
        <v>0</v>
      </c>
      <c r="AG12" s="120">
        <f>COUNTIF(PresençaemNovembro[30],"U")+COUNTIF(PresençaemNovembro[30],"E")</f>
        <v>0</v>
      </c>
      <c r="AH12" s="120">
        <f>COUNTIF(PresençaemNovembro[[ ]],"U")+COUNTIF(PresençaemNovembro[[ ]],"E")</f>
        <v>0</v>
      </c>
      <c r="AI12" s="120">
        <f>SUBTOTAL(109,PresençaemNovembro[T])</f>
        <v>0</v>
      </c>
      <c r="AJ12" s="120">
        <f>SUBTOTAL(109,PresençaemNovembro[E])</f>
        <v>0</v>
      </c>
      <c r="AK12" s="120">
        <f>SUBTOTAL(109,PresençaemNovembro[U])</f>
        <v>0</v>
      </c>
      <c r="AL12" s="120">
        <f>SUBTOTAL(109,PresençaemNovembro[P])</f>
        <v>0</v>
      </c>
      <c r="AM12" s="120">
        <f>SUBTOTAL(109,PresençaemNovembro[Dias de Ausência])</f>
        <v>0</v>
      </c>
    </row>
    <row r="13" spans="1:40" ht="16.5" customHeight="1" x14ac:dyDescent="0.25"/>
    <row r="14" spans="1:40" ht="16.5" customHeight="1" x14ac:dyDescent="0.25"/>
    <row r="15" spans="1:40" ht="16.5" customHeight="1" x14ac:dyDescent="0.25"/>
    <row r="16" spans="1:40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6.5" customHeight="1" x14ac:dyDescent="0.25"/>
    <row r="25" ht="16.5" customHeight="1" x14ac:dyDescent="0.25"/>
    <row r="26" ht="16.5" customHeight="1" x14ac:dyDescent="0.25"/>
    <row r="27" ht="16.5" customHeight="1" x14ac:dyDescent="0.25"/>
    <row r="28" ht="16.5" customHeight="1" x14ac:dyDescent="0.25"/>
    <row r="29" ht="16.5" customHeight="1" x14ac:dyDescent="0.25"/>
    <row r="30" ht="16.5" customHeight="1" x14ac:dyDescent="0.25"/>
    <row r="31" ht="16.5" customHeight="1" x14ac:dyDescent="0.25"/>
    <row r="32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I5:AM5"/>
  </mergeCells>
  <conditionalFormatting sqref="AM7:AM11">
    <cfRule type="dataBar" priority="6">
      <dataBar>
        <cfvo type="min"/>
        <cfvo type="num" val="31"/>
        <color theme="4"/>
      </dataBar>
      <extLst>
        <ext xmlns:x14="http://schemas.microsoft.com/office/spreadsheetml/2009/9/main" uri="{B025F937-C7B1-47D3-B67F-A62EFF666E3E}">
          <x14:id>{4EF7D5CF-EA6D-4C42-92A1-96F3633946CC}</x14:id>
        </ext>
      </extLst>
    </cfRule>
  </conditionalFormatting>
  <conditionalFormatting sqref="AG7:AI11">
    <cfRule type="expression" dxfId="754" priority="7" stopIfTrue="1">
      <formula>AG7=Código2</formula>
    </cfRule>
  </conditionalFormatting>
  <conditionalFormatting sqref="AG7:AH11">
    <cfRule type="expression" dxfId="753" priority="8" stopIfTrue="1">
      <formula>AG7=Código5</formula>
    </cfRule>
    <cfRule type="expression" dxfId="752" priority="9" stopIfTrue="1">
      <formula>AG7=Código4</formula>
    </cfRule>
    <cfRule type="expression" dxfId="751" priority="10" stopIfTrue="1">
      <formula>AG7=Código3</formula>
    </cfRule>
    <cfRule type="expression" dxfId="750" priority="11" stopIfTrue="1">
      <formula>AG7=Código1</formula>
    </cfRule>
  </conditionalFormatting>
  <conditionalFormatting sqref="D7:AF11">
    <cfRule type="expression" dxfId="749" priority="1" stopIfTrue="1">
      <formula>D7=Código2</formula>
    </cfRule>
  </conditionalFormatting>
  <conditionalFormatting sqref="D7:AF11">
    <cfRule type="expression" dxfId="748" priority="2" stopIfTrue="1">
      <formula>D7=Código5</formula>
    </cfRule>
    <cfRule type="expression" dxfId="747" priority="3" stopIfTrue="1">
      <formula>D7=Código4</formula>
    </cfRule>
    <cfRule type="expression" dxfId="746" priority="4" stopIfTrue="1">
      <formula>D7=Código3</formula>
    </cfRule>
    <cfRule type="expression" dxfId="745" priority="5" stopIfTrue="1">
      <formula>D7=Código1</formula>
    </cfRule>
  </conditionalFormatting>
  <dataValidations count="1">
    <dataValidation type="list" errorStyle="warning" allowBlank="1" showInputMessage="1" showErrorMessage="1" errorTitle="Ops!" error="A ID de Aluno que você inseriu não está na planilha Lista de Alunos. Você pode clicar em Sim para usar a ID de Aluno inserida, mas ela não estará disponível na planilha Relatório de Presença dos Alunos." sqref="B7:B11">
      <formula1>IDAluno</formula1>
    </dataValidation>
  </dataValidations>
  <printOptions horizontalCentered="1"/>
  <pageMargins left="0.5" right="0.5" top="0.75" bottom="0.75" header="0.3" footer="0.3"/>
  <pageSetup paperSize="9" scale="59" fitToHeight="0" orientation="landscape" verticalDpi="120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F7D5CF-EA6D-4C42-92A1-96F3633946CC}">
            <x14:dataBar minLength="0" maxLength="100" border="1" negativeBarBorderColorSameAsPositive="0">
              <x14:cfvo type="autoMin"/>
              <x14:cfvo type="num">
                <xm:f>31</xm:f>
              </x14:cfvo>
              <x14:borderColor theme="4"/>
              <x14:negativeFillColor rgb="FFFF0000"/>
              <x14:negativeBorderColor rgb="FFFF0000"/>
              <x14:axisColor rgb="FF000000"/>
            </x14:dataBar>
          </x14:cfRule>
          <xm:sqref>AM7:AM11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N346"/>
  <sheetViews>
    <sheetView showGridLines="0" zoomScaleNormal="100" workbookViewId="0">
      <pane xSplit="3" ySplit="6" topLeftCell="D7" activePane="bottomRight" state="frozen"/>
      <selection pane="topRight"/>
      <selection pane="bottomLeft"/>
      <selection pane="bottomRight" activeCell="L30" sqref="L30"/>
    </sheetView>
  </sheetViews>
  <sheetFormatPr defaultRowHeight="15" customHeight="1" x14ac:dyDescent="0.25"/>
  <cols>
    <col min="1" max="1" width="2.7109375" style="11" customWidth="1"/>
    <col min="2" max="2" width="11.85546875" style="11" bestFit="1" customWidth="1"/>
    <col min="3" max="3" width="28.85546875" style="12" customWidth="1"/>
    <col min="4" max="34" width="5" style="10" customWidth="1"/>
    <col min="35" max="35" width="4.7109375" style="9" customWidth="1"/>
    <col min="36" max="36" width="4.7109375" style="10" customWidth="1"/>
    <col min="37" max="38" width="4.7109375" style="11" customWidth="1"/>
    <col min="39" max="39" width="16.85546875" style="11" bestFit="1" customWidth="1"/>
    <col min="40" max="16384" width="9.140625" style="11"/>
  </cols>
  <sheetData>
    <row r="1" spans="1:40" s="1" customFormat="1" ht="42" customHeight="1" x14ac:dyDescent="0.25">
      <c r="A1" s="39" t="s">
        <v>89</v>
      </c>
      <c r="B1" s="40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0"/>
      <c r="AD1" s="40"/>
      <c r="AE1" s="40"/>
      <c r="AF1" s="40"/>
      <c r="AG1" s="42"/>
      <c r="AH1" s="40"/>
      <c r="AI1" s="40"/>
      <c r="AJ1" s="43"/>
      <c r="AK1" s="40"/>
      <c r="AL1" s="59" t="s">
        <v>72</v>
      </c>
      <c r="AM1" s="60">
        <f>AnoCalendário</f>
        <v>2012</v>
      </c>
    </row>
    <row r="2" spans="1:40" customFormat="1" ht="13.5" x14ac:dyDescent="0.25"/>
    <row r="3" spans="1:40" s="31" customFormat="1" ht="12.75" customHeight="1" x14ac:dyDescent="0.25">
      <c r="C3" s="46" t="str">
        <f>TextodaChavedeCor</f>
        <v xml:space="preserve">CHAVE COLORIDA </v>
      </c>
      <c r="D3" s="53" t="str">
        <f>Código1</f>
        <v>T</v>
      </c>
      <c r="E3" s="70" t="str">
        <f>TextodeCódigo1</f>
        <v>Atrasado</v>
      </c>
      <c r="F3" s="61"/>
      <c r="H3" s="54" t="str">
        <f>Código2</f>
        <v>E</v>
      </c>
      <c r="I3" s="58" t="str">
        <f>TextodeCódigo2</f>
        <v>Dispensado</v>
      </c>
      <c r="L3" s="55" t="str">
        <f>Código3</f>
        <v>U</v>
      </c>
      <c r="M3" s="58" t="str">
        <f>TextodeCódigo3</f>
        <v>Não Dispensado</v>
      </c>
      <c r="P3" s="56" t="str">
        <f>Código4</f>
        <v>P</v>
      </c>
      <c r="Q3" s="58" t="str">
        <f>TextodeCódigo4</f>
        <v>Presente</v>
      </c>
      <c r="T3" s="57" t="str">
        <f>Código5</f>
        <v>N</v>
      </c>
      <c r="U3" s="58" t="str">
        <f>TextodeCódigo5</f>
        <v>Sem Aula</v>
      </c>
      <c r="W3"/>
      <c r="X3"/>
      <c r="Y3"/>
      <c r="AD3" s="30"/>
      <c r="AE3" s="30"/>
      <c r="AH3" s="32"/>
      <c r="AI3" s="33"/>
      <c r="AK3" s="34"/>
    </row>
    <row r="4" spans="1:40" customFormat="1" ht="16.5" customHeight="1" x14ac:dyDescent="0.25"/>
    <row r="5" spans="1:40" s="2" customFormat="1" ht="18" customHeight="1" x14ac:dyDescent="0.3">
      <c r="B5" s="63">
        <f>DATE(AnoCalendário,12,1)</f>
        <v>41244</v>
      </c>
      <c r="C5" s="62"/>
      <c r="D5" s="44" t="str">
        <f>TEXT(WEEKDAY(DATE(AnoCalendário,12,1),1),"ddd")</f>
        <v>sáb</v>
      </c>
      <c r="E5" s="44" t="str">
        <f>TEXT(WEEKDAY(DATE(AnoCalendário,12,2),1),"ddd")</f>
        <v>dom</v>
      </c>
      <c r="F5" s="44" t="str">
        <f>TEXT(WEEKDAY(DATE(AnoCalendário,12,3),1),"ddd")</f>
        <v>seg</v>
      </c>
      <c r="G5" s="44" t="str">
        <f>TEXT(WEEKDAY(DATE(AnoCalendário,12,4),1),"ddd")</f>
        <v>ter</v>
      </c>
      <c r="H5" s="44" t="str">
        <f>TEXT(WEEKDAY(DATE(AnoCalendário,12,5),1),"ddd")</f>
        <v>qua</v>
      </c>
      <c r="I5" s="44" t="str">
        <f>TEXT(WEEKDAY(DATE(AnoCalendário,12,6),1),"ddd")</f>
        <v>qui</v>
      </c>
      <c r="J5" s="44" t="str">
        <f>TEXT(WEEKDAY(DATE(AnoCalendário,12,7),1),"ddd")</f>
        <v>sex</v>
      </c>
      <c r="K5" s="44" t="str">
        <f>TEXT(WEEKDAY(DATE(AnoCalendário,12,8),1),"ddd")</f>
        <v>sáb</v>
      </c>
      <c r="L5" s="44" t="str">
        <f>TEXT(WEEKDAY(DATE(AnoCalendário,12,9),1),"ddd")</f>
        <v>dom</v>
      </c>
      <c r="M5" s="44" t="str">
        <f>TEXT(WEEKDAY(DATE(AnoCalendário,12,10),1),"ddd")</f>
        <v>seg</v>
      </c>
      <c r="N5" s="44" t="str">
        <f>TEXT(WEEKDAY(DATE(AnoCalendário,12,11),1),"ddd")</f>
        <v>ter</v>
      </c>
      <c r="O5" s="44" t="str">
        <f>TEXT(WEEKDAY(DATE(AnoCalendário,12,12),1),"ddd")</f>
        <v>qua</v>
      </c>
      <c r="P5" s="44" t="str">
        <f>TEXT(WEEKDAY(DATE(AnoCalendário,12,13),1),"ddd")</f>
        <v>qui</v>
      </c>
      <c r="Q5" s="44" t="str">
        <f>TEXT(WEEKDAY(DATE(AnoCalendário,12,14),1),"ddd")</f>
        <v>sex</v>
      </c>
      <c r="R5" s="44" t="str">
        <f>TEXT(WEEKDAY(DATE(AnoCalendário,12,15),1),"ddd")</f>
        <v>sáb</v>
      </c>
      <c r="S5" s="44" t="str">
        <f>TEXT(WEEKDAY(DATE(AnoCalendário,12,16),1),"ddd")</f>
        <v>dom</v>
      </c>
      <c r="T5" s="44" t="str">
        <f>TEXT(WEEKDAY(DATE(AnoCalendário,12,17),1),"ddd")</f>
        <v>seg</v>
      </c>
      <c r="U5" s="44" t="str">
        <f>TEXT(WEEKDAY(DATE(AnoCalendário,12,18),1),"ddd")</f>
        <v>ter</v>
      </c>
      <c r="V5" s="44" t="str">
        <f>TEXT(WEEKDAY(DATE(AnoCalendário,12,19),1),"ddd")</f>
        <v>qua</v>
      </c>
      <c r="W5" s="44" t="str">
        <f>TEXT(WEEKDAY(DATE(AnoCalendário,12,20),1),"ddd")</f>
        <v>qui</v>
      </c>
      <c r="X5" s="44" t="str">
        <f>TEXT(WEEKDAY(DATE(AnoCalendário,12,21),1),"ddd")</f>
        <v>sex</v>
      </c>
      <c r="Y5" s="44" t="str">
        <f>TEXT(WEEKDAY(DATE(AnoCalendário,12,22),1),"ddd")</f>
        <v>sáb</v>
      </c>
      <c r="Z5" s="44" t="str">
        <f>TEXT(WEEKDAY(DATE(AnoCalendário,12,23),1),"ddd")</f>
        <v>dom</v>
      </c>
      <c r="AA5" s="44" t="str">
        <f>TEXT(WEEKDAY(DATE(AnoCalendário,12,24),1),"ddd")</f>
        <v>seg</v>
      </c>
      <c r="AB5" s="44" t="str">
        <f>TEXT(WEEKDAY(DATE(AnoCalendário,12,25),1),"ddd")</f>
        <v>ter</v>
      </c>
      <c r="AC5" s="44" t="str">
        <f>TEXT(WEEKDAY(DATE(AnoCalendário,12,26),1),"ddd")</f>
        <v>qua</v>
      </c>
      <c r="AD5" s="44" t="str">
        <f>TEXT(WEEKDAY(DATE(AnoCalendário,12,27),1),"ddd")</f>
        <v>qui</v>
      </c>
      <c r="AE5" s="44" t="str">
        <f>TEXT(WEEKDAY(DATE(AnoCalendário,12,28),1),"ddd")</f>
        <v>sex</v>
      </c>
      <c r="AF5" s="44" t="str">
        <f>TEXT(WEEKDAY(DATE(AnoCalendário,12,29),1),"ddd")</f>
        <v>sáb</v>
      </c>
      <c r="AG5" s="44" t="str">
        <f>TEXT(WEEKDAY(DATE(AnoCalendário,12,30),1),"ddd")</f>
        <v>dom</v>
      </c>
      <c r="AH5" s="44" t="str">
        <f>TEXT(WEEKDAY(DATE(AnoCalendário,12,31),1),"ddd")</f>
        <v>seg</v>
      </c>
      <c r="AI5" s="125" t="s">
        <v>41</v>
      </c>
      <c r="AJ5" s="126"/>
      <c r="AK5" s="126"/>
      <c r="AL5" s="126"/>
      <c r="AM5" s="127"/>
    </row>
    <row r="6" spans="1:40" s="5" customFormat="1" ht="14.25" customHeight="1" x14ac:dyDescent="0.25">
      <c r="B6" s="47" t="s">
        <v>34</v>
      </c>
      <c r="C6" s="48" t="s">
        <v>36</v>
      </c>
      <c r="D6" s="3" t="s">
        <v>0</v>
      </c>
      <c r="E6" s="3" t="s">
        <v>1</v>
      </c>
      <c r="F6" s="3" t="s">
        <v>2</v>
      </c>
      <c r="G6" s="3" t="s">
        <v>3</v>
      </c>
      <c r="H6" s="3" t="s">
        <v>4</v>
      </c>
      <c r="I6" s="3" t="s">
        <v>5</v>
      </c>
      <c r="J6" s="3" t="s">
        <v>6</v>
      </c>
      <c r="K6" s="3" t="s">
        <v>7</v>
      </c>
      <c r="L6" s="3" t="s">
        <v>8</v>
      </c>
      <c r="M6" s="3" t="s">
        <v>9</v>
      </c>
      <c r="N6" s="3" t="s">
        <v>10</v>
      </c>
      <c r="O6" s="3" t="s">
        <v>11</v>
      </c>
      <c r="P6" s="3" t="s">
        <v>12</v>
      </c>
      <c r="Q6" s="3" t="s">
        <v>13</v>
      </c>
      <c r="R6" s="3" t="s">
        <v>14</v>
      </c>
      <c r="S6" s="3" t="s">
        <v>15</v>
      </c>
      <c r="T6" s="3" t="s">
        <v>16</v>
      </c>
      <c r="U6" s="3" t="s">
        <v>17</v>
      </c>
      <c r="V6" s="3" t="s">
        <v>18</v>
      </c>
      <c r="W6" s="3" t="s">
        <v>19</v>
      </c>
      <c r="X6" s="3" t="s">
        <v>20</v>
      </c>
      <c r="Y6" s="3" t="s">
        <v>21</v>
      </c>
      <c r="Z6" s="3" t="s">
        <v>22</v>
      </c>
      <c r="AA6" s="3" t="s">
        <v>23</v>
      </c>
      <c r="AB6" s="3" t="s">
        <v>24</v>
      </c>
      <c r="AC6" s="3" t="s">
        <v>25</v>
      </c>
      <c r="AD6" s="3" t="s">
        <v>26</v>
      </c>
      <c r="AE6" s="3" t="s">
        <v>27</v>
      </c>
      <c r="AF6" s="3" t="s">
        <v>28</v>
      </c>
      <c r="AG6" s="3" t="s">
        <v>29</v>
      </c>
      <c r="AH6" s="3" t="s">
        <v>30</v>
      </c>
      <c r="AI6" s="96" t="s">
        <v>37</v>
      </c>
      <c r="AJ6" s="71" t="s">
        <v>39</v>
      </c>
      <c r="AK6" s="72" t="s">
        <v>38</v>
      </c>
      <c r="AL6" s="73" t="s">
        <v>31</v>
      </c>
      <c r="AM6" s="52" t="s">
        <v>40</v>
      </c>
      <c r="AN6" s="4"/>
    </row>
    <row r="7" spans="1:40" s="5" customFormat="1" ht="16.5" customHeight="1" x14ac:dyDescent="0.25">
      <c r="B7" s="49"/>
      <c r="C7" s="50" t="str">
        <f>IFERROR(VLOOKUP(PresençaemDezembro[[#This Row],[ID do Aluno]],ListadeAlunos[],18,FALSE),"")</f>
        <v/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5"/>
      <c r="AG7" s="23"/>
      <c r="AH7" s="23"/>
      <c r="AI7" s="6">
        <f>COUNTIF(PresençaemDezembro[[#This Row],[1]:[31]],Código1)</f>
        <v>0</v>
      </c>
      <c r="AJ7" s="51">
        <f>COUNTIF(PresençaemDezembro[[#This Row],[1]:[31]],Código2)</f>
        <v>0</v>
      </c>
      <c r="AK7" s="51">
        <f>COUNTIF(PresençaemDezembro[[#This Row],[1]:[31]],Código3)</f>
        <v>0</v>
      </c>
      <c r="AL7" s="51">
        <f>COUNTIF(PresençaemDezembro[[#This Row],[1]:[31]],Código4)</f>
        <v>0</v>
      </c>
      <c r="AM7" s="6">
        <f>SUM(PresençaemDezembro[[#This Row],[E]:[U]])</f>
        <v>0</v>
      </c>
      <c r="AN7" s="4"/>
    </row>
    <row r="8" spans="1:40" s="5" customFormat="1" ht="16.5" customHeight="1" x14ac:dyDescent="0.25">
      <c r="B8" s="49"/>
      <c r="C8" s="20" t="str">
        <f>IFERROR(VLOOKUP(PresençaemDezembro[[#This Row],[ID do Aluno]],ListadeAlunos[],18,FALSE),"")</f>
        <v/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5"/>
      <c r="AG8" s="23"/>
      <c r="AH8" s="23"/>
      <c r="AI8" s="6">
        <f>COUNTIF(PresençaemDezembro[[#This Row],[1]:[31]],Código1)</f>
        <v>0</v>
      </c>
      <c r="AJ8" s="51">
        <f>COUNTIF(PresençaemDezembro[[#This Row],[1]:[31]],Código2)</f>
        <v>0</v>
      </c>
      <c r="AK8" s="51">
        <f>COUNTIF(PresençaemDezembro[[#This Row],[1]:[31]],Código3)</f>
        <v>0</v>
      </c>
      <c r="AL8" s="51">
        <f>COUNTIF(PresençaemDezembro[[#This Row],[1]:[31]],Código4)</f>
        <v>0</v>
      </c>
      <c r="AM8" s="6">
        <f>SUM(PresençaemDezembro[[#This Row],[E]:[U]])</f>
        <v>0</v>
      </c>
      <c r="AN8" s="4"/>
    </row>
    <row r="9" spans="1:40" s="8" customFormat="1" ht="16.5" customHeight="1" x14ac:dyDescent="0.25">
      <c r="B9" s="49"/>
      <c r="C9" s="20" t="str">
        <f>IFERROR(VLOOKUP(PresençaemDezembro[[#This Row],[ID do Aluno]],ListadeAlunos[],18,FALSE),"")</f>
        <v/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5"/>
      <c r="AG9" s="23"/>
      <c r="AH9" s="23"/>
      <c r="AI9" s="6">
        <f>COUNTIF(PresençaemDezembro[[#This Row],[1]:[31]],Código1)</f>
        <v>0</v>
      </c>
      <c r="AJ9" s="51">
        <f>COUNTIF(PresençaemDezembro[[#This Row],[1]:[31]],Código2)</f>
        <v>0</v>
      </c>
      <c r="AK9" s="51">
        <f>COUNTIF(PresençaemDezembro[[#This Row],[1]:[31]],Código3)</f>
        <v>0</v>
      </c>
      <c r="AL9" s="51">
        <f>COUNTIF(PresençaemDezembro[[#This Row],[1]:[31]],Código4)</f>
        <v>0</v>
      </c>
      <c r="AM9" s="6">
        <f>SUM(PresençaemDezembro[[#This Row],[E]:[U]])</f>
        <v>0</v>
      </c>
      <c r="AN9" s="7"/>
    </row>
    <row r="10" spans="1:40" ht="16.5" customHeight="1" x14ac:dyDescent="0.25">
      <c r="B10" s="49"/>
      <c r="C10" s="20" t="str">
        <f>IFERROR(VLOOKUP(PresençaemDezembro[[#This Row],[ID do Aluno]],ListadeAlunos[],18,FALSE),"")</f>
        <v/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5"/>
      <c r="AG10" s="23"/>
      <c r="AH10" s="23"/>
      <c r="AI10" s="6">
        <f>COUNTIF(PresençaemDezembro[[#This Row],[1]:[31]],Código1)</f>
        <v>0</v>
      </c>
      <c r="AJ10" s="51">
        <f>COUNTIF(PresençaemDezembro[[#This Row],[1]:[31]],Código2)</f>
        <v>0</v>
      </c>
      <c r="AK10" s="51">
        <f>COUNTIF(PresençaemDezembro[[#This Row],[1]:[31]],Código3)</f>
        <v>0</v>
      </c>
      <c r="AL10" s="51">
        <f>COUNTIF(PresençaemDezembro[[#This Row],[1]:[31]],Código4)</f>
        <v>0</v>
      </c>
      <c r="AM10" s="6">
        <f>SUM(PresençaemDezembro[[#This Row],[E]:[U]])</f>
        <v>0</v>
      </c>
      <c r="AN10" s="10"/>
    </row>
    <row r="11" spans="1:40" ht="16.5" customHeight="1" x14ac:dyDescent="0.25">
      <c r="B11" s="49"/>
      <c r="C11" s="20" t="str">
        <f>IFERROR(VLOOKUP(PresençaemDezembro[[#This Row],[ID do Aluno]],ListadeAlunos[],18,FALSE),"")</f>
        <v/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5"/>
      <c r="AG11" s="23"/>
      <c r="AH11" s="23"/>
      <c r="AI11" s="6">
        <f>COUNTIF(PresençaemDezembro[[#This Row],[1]:[31]],Código1)</f>
        <v>0</v>
      </c>
      <c r="AJ11" s="51">
        <f>COUNTIF(PresençaemDezembro[[#This Row],[1]:[31]],Código2)</f>
        <v>0</v>
      </c>
      <c r="AK11" s="51">
        <f>COUNTIF(PresençaemDezembro[[#This Row],[1]:[31]],Código3)</f>
        <v>0</v>
      </c>
      <c r="AL11" s="51">
        <f>COUNTIF(PresençaemDezembro[[#This Row],[1]:[31]],Código4)</f>
        <v>0</v>
      </c>
      <c r="AM11" s="6">
        <f>SUM(PresençaemDezembro[[#This Row],[E]:[U]])</f>
        <v>0</v>
      </c>
      <c r="AN11" s="10"/>
    </row>
    <row r="12" spans="1:40" ht="16.5" customHeight="1" x14ac:dyDescent="0.25">
      <c r="B12" s="118"/>
      <c r="C12" s="119" t="s">
        <v>115</v>
      </c>
      <c r="D12" s="120">
        <f>COUNTIF(PresençaemDezembro[1],"U")+COUNTIF(PresençaemDezembro[1],"E")</f>
        <v>0</v>
      </c>
      <c r="E12" s="120">
        <f>COUNTIF(PresençaemDezembro[2],"U")+COUNTIF(PresençaemDezembro[2],"E")</f>
        <v>0</v>
      </c>
      <c r="F12" s="120">
        <f>COUNTIF(PresençaemDezembro[3],"U")+COUNTIF(PresençaemDezembro[3],"E")</f>
        <v>0</v>
      </c>
      <c r="G12" s="120">
        <f>COUNTIF(PresençaemDezembro[4],"U")+COUNTIF(PresençaemDezembro[4],"E")</f>
        <v>0</v>
      </c>
      <c r="H12" s="120">
        <f>COUNTIF(PresençaemDezembro[5],"U")+COUNTIF(PresençaemDezembro[5],"E")</f>
        <v>0</v>
      </c>
      <c r="I12" s="120">
        <f>COUNTIF(PresençaemDezembro[6],"U")+COUNTIF(PresençaemDezembro[6],"E")</f>
        <v>0</v>
      </c>
      <c r="J12" s="120">
        <f>COUNTIF(PresençaemDezembro[7],"U")+COUNTIF(PresençaemDezembro[7],"E")</f>
        <v>0</v>
      </c>
      <c r="K12" s="120">
        <f>COUNTIF(PresençaemDezembro[8],"U")+COUNTIF(PresençaemDezembro[8],"E")</f>
        <v>0</v>
      </c>
      <c r="L12" s="120">
        <f>COUNTIF(PresençaemDezembro[9],"U")+COUNTIF(PresençaemDezembro[9],"E")</f>
        <v>0</v>
      </c>
      <c r="M12" s="120">
        <f>COUNTIF(PresençaemDezembro[10],"U")+COUNTIF(PresençaemDezembro[10],"E")</f>
        <v>0</v>
      </c>
      <c r="N12" s="120">
        <f>COUNTIF(PresençaemDezembro[11],"U")+COUNTIF(PresençaemDezembro[11],"E")</f>
        <v>0</v>
      </c>
      <c r="O12" s="120">
        <f>COUNTIF(PresençaemDezembro[12],"U")+COUNTIF(PresençaemDezembro[12],"E")</f>
        <v>0</v>
      </c>
      <c r="P12" s="120">
        <f>COUNTIF(PresençaemDezembro[13],"U")+COUNTIF(PresençaemDezembro[13],"E")</f>
        <v>0</v>
      </c>
      <c r="Q12" s="120">
        <f>COUNTIF(PresençaemDezembro[14],"U")+COUNTIF(PresençaemDezembro[14],"E")</f>
        <v>0</v>
      </c>
      <c r="R12" s="120">
        <f>COUNTIF(PresençaemDezembro[15],"U")+COUNTIF(PresençaemDezembro[15],"E")</f>
        <v>0</v>
      </c>
      <c r="S12" s="120">
        <f>COUNTIF(PresençaemDezembro[16],"U")+COUNTIF(PresençaemDezembro[16],"E")</f>
        <v>0</v>
      </c>
      <c r="T12" s="120">
        <f>COUNTIF(PresençaemDezembro[17],"U")+COUNTIF(PresençaemDezembro[17],"E")</f>
        <v>0</v>
      </c>
      <c r="U12" s="120">
        <f>COUNTIF(PresençaemDezembro[18],"U")+COUNTIF(PresençaemDezembro[18],"E")</f>
        <v>0</v>
      </c>
      <c r="V12" s="120">
        <f>COUNTIF(PresençaemDezembro[19],"U")+COUNTIF(PresençaemDezembro[19],"E")</f>
        <v>0</v>
      </c>
      <c r="W12" s="120">
        <f>COUNTIF(PresençaemDezembro[20],"U")+COUNTIF(PresençaemDezembro[20],"E")</f>
        <v>0</v>
      </c>
      <c r="X12" s="120">
        <f>COUNTIF(PresençaemDezembro[21],"U")+COUNTIF(PresençaemDezembro[21],"E")</f>
        <v>0</v>
      </c>
      <c r="Y12" s="120">
        <f>COUNTIF(PresençaemDezembro[22],"U")+COUNTIF(PresençaemDezembro[22],"E")</f>
        <v>0</v>
      </c>
      <c r="Z12" s="120">
        <f>COUNTIF(PresençaemDezembro[23],"U")+COUNTIF(PresençaemDezembro[23],"E")</f>
        <v>0</v>
      </c>
      <c r="AA12" s="120">
        <f>COUNTIF(PresençaemDezembro[24],"U")+COUNTIF(PresençaemDezembro[24],"E")</f>
        <v>0</v>
      </c>
      <c r="AB12" s="120">
        <f>COUNTIF(PresençaemDezembro[25],"U")+COUNTIF(PresençaemDezembro[25],"E")</f>
        <v>0</v>
      </c>
      <c r="AC12" s="120">
        <f>COUNTIF(PresençaemDezembro[26],"U")+COUNTIF(PresençaemDezembro[26],"E")</f>
        <v>0</v>
      </c>
      <c r="AD12" s="120">
        <f>COUNTIF(PresençaemDezembro[27],"U")+COUNTIF(PresençaemDezembro[27],"E")</f>
        <v>0</v>
      </c>
      <c r="AE12" s="120">
        <f>COUNTIF(PresençaemDezembro[28],"U")+COUNTIF(PresençaemDezembro[28],"E")</f>
        <v>0</v>
      </c>
      <c r="AF12" s="120">
        <f>COUNTIF(PresençaemDezembro[29],"U")+COUNTIF(PresençaemDezembro[29],"E")</f>
        <v>0</v>
      </c>
      <c r="AG12" s="120">
        <f>COUNTIF(PresençaemDezembro[30],"U")+COUNTIF(PresençaemDezembro[30],"E")</f>
        <v>0</v>
      </c>
      <c r="AH12" s="120">
        <f>COUNTIF(PresençaemDezembro[31],"U")+COUNTIF(PresençaemDezembro[31],"E")</f>
        <v>0</v>
      </c>
      <c r="AI12" s="120">
        <f>SUBTOTAL(109,PresençaemDezembro[T])</f>
        <v>0</v>
      </c>
      <c r="AJ12" s="120">
        <f>SUBTOTAL(109,PresençaemDezembro[E])</f>
        <v>0</v>
      </c>
      <c r="AK12" s="120">
        <f>SUBTOTAL(109,PresençaemDezembro[U])</f>
        <v>0</v>
      </c>
      <c r="AL12" s="120">
        <f>SUBTOTAL(109,PresençaemDezembro[P])</f>
        <v>0</v>
      </c>
      <c r="AM12" s="120">
        <f>SUBTOTAL(109,PresençaemDezembro[Dias de Ausência])</f>
        <v>0</v>
      </c>
    </row>
    <row r="13" spans="1:40" ht="16.5" customHeight="1" x14ac:dyDescent="0.25"/>
    <row r="14" spans="1:40" ht="16.5" customHeight="1" x14ac:dyDescent="0.25"/>
    <row r="15" spans="1:40" ht="16.5" customHeight="1" x14ac:dyDescent="0.25"/>
    <row r="16" spans="1:40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6.5" customHeight="1" x14ac:dyDescent="0.25"/>
    <row r="25" ht="16.5" customHeight="1" x14ac:dyDescent="0.25"/>
    <row r="26" ht="16.5" customHeight="1" x14ac:dyDescent="0.25"/>
    <row r="27" ht="16.5" customHeight="1" x14ac:dyDescent="0.25"/>
    <row r="28" ht="16.5" customHeight="1" x14ac:dyDescent="0.25"/>
    <row r="29" ht="16.5" customHeight="1" x14ac:dyDescent="0.25"/>
    <row r="30" ht="16.5" customHeight="1" x14ac:dyDescent="0.25"/>
    <row r="31" ht="16.5" customHeight="1" x14ac:dyDescent="0.25"/>
    <row r="32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I5:AM5"/>
  </mergeCells>
  <conditionalFormatting sqref="AM7:AM11">
    <cfRule type="dataBar" priority="6">
      <dataBar>
        <cfvo type="min"/>
        <cfvo type="num" val="31"/>
        <color theme="4"/>
      </dataBar>
      <extLst>
        <ext xmlns:x14="http://schemas.microsoft.com/office/spreadsheetml/2009/9/main" uri="{B025F937-C7B1-47D3-B67F-A62EFF666E3E}">
          <x14:id>{F1B3F415-3C3C-4616-B9AA-9BBD8C09A1CE}</x14:id>
        </ext>
      </extLst>
    </cfRule>
  </conditionalFormatting>
  <conditionalFormatting sqref="AG7:AI11">
    <cfRule type="expression" dxfId="671" priority="7" stopIfTrue="1">
      <formula>AG7=Código2</formula>
    </cfRule>
  </conditionalFormatting>
  <conditionalFormatting sqref="AG7:AH11">
    <cfRule type="expression" dxfId="670" priority="8" stopIfTrue="1">
      <formula>AG7=Código5</formula>
    </cfRule>
    <cfRule type="expression" dxfId="669" priority="9" stopIfTrue="1">
      <formula>AG7=Código4</formula>
    </cfRule>
    <cfRule type="expression" dxfId="668" priority="10" stopIfTrue="1">
      <formula>AG7=Código3</formula>
    </cfRule>
    <cfRule type="expression" dxfId="667" priority="11" stopIfTrue="1">
      <formula>AG7=Código1</formula>
    </cfRule>
  </conditionalFormatting>
  <conditionalFormatting sqref="D7:AF11">
    <cfRule type="expression" dxfId="666" priority="1" stopIfTrue="1">
      <formula>D7=Código2</formula>
    </cfRule>
  </conditionalFormatting>
  <conditionalFormatting sqref="D7:AF11">
    <cfRule type="expression" dxfId="665" priority="2" stopIfTrue="1">
      <formula>D7=Código5</formula>
    </cfRule>
    <cfRule type="expression" dxfId="664" priority="3" stopIfTrue="1">
      <formula>D7=Código4</formula>
    </cfRule>
    <cfRule type="expression" dxfId="663" priority="4" stopIfTrue="1">
      <formula>D7=Código3</formula>
    </cfRule>
    <cfRule type="expression" dxfId="662" priority="5" stopIfTrue="1">
      <formula>D7=Código1</formula>
    </cfRule>
  </conditionalFormatting>
  <dataValidations count="1">
    <dataValidation type="list" errorStyle="warning" allowBlank="1" showInputMessage="1" showErrorMessage="1" errorTitle="Ops!" error="A ID de Aluno que você inseriu não está na planilha Lista de Alunos. Você pode clicar em Sim para usar a ID de Aluno inserida, mas ela não estará disponível na planilha Relatório de Presença dos Alunos." sqref="B7:B11">
      <formula1>IDAluno</formula1>
    </dataValidation>
  </dataValidations>
  <printOptions horizontalCentered="1"/>
  <pageMargins left="0.5" right="0.5" top="0.75" bottom="0.75" header="0.3" footer="0.3"/>
  <pageSetup paperSize="9" scale="59" fitToHeight="0" orientation="landscape" verticalDpi="120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1B3F415-3C3C-4616-B9AA-9BBD8C09A1CE}">
            <x14:dataBar minLength="0" maxLength="100" border="1" negativeBarBorderColorSameAsPositive="0">
              <x14:cfvo type="autoMin"/>
              <x14:cfvo type="num">
                <xm:f>31</xm:f>
              </x14:cfvo>
              <x14:borderColor theme="4"/>
              <x14:negativeFillColor rgb="FFFF0000"/>
              <x14:negativeBorderColor rgb="FFFF0000"/>
              <x14:axisColor rgb="FF000000"/>
            </x14:dataBar>
          </x14:cfRule>
          <xm:sqref>AM7:AM11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M264"/>
  <sheetViews>
    <sheetView showGridLines="0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5" customHeight="1" x14ac:dyDescent="0.25"/>
  <cols>
    <col min="1" max="1" width="2.7109375" style="11" customWidth="1"/>
    <col min="2" max="2" width="11.85546875" style="11" bestFit="1" customWidth="1"/>
    <col min="3" max="3" width="28.85546875" style="12" customWidth="1"/>
    <col min="4" max="34" width="5" style="10" customWidth="1"/>
    <col min="35" max="35" width="4.7109375" style="9" customWidth="1"/>
    <col min="36" max="36" width="4.7109375" style="10" customWidth="1"/>
    <col min="37" max="38" width="4.7109375" style="11" customWidth="1"/>
    <col min="39" max="39" width="16.85546875" style="11" bestFit="1" customWidth="1"/>
    <col min="40" max="16384" width="9.140625" style="11"/>
  </cols>
  <sheetData>
    <row r="1" spans="1:39" s="1" customFormat="1" ht="42" customHeight="1" x14ac:dyDescent="0.25">
      <c r="A1" s="39" t="s">
        <v>89</v>
      </c>
      <c r="B1" s="40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0"/>
      <c r="AD1" s="40"/>
      <c r="AE1" s="40"/>
      <c r="AF1" s="40"/>
      <c r="AG1" s="42"/>
      <c r="AH1" s="40"/>
      <c r="AI1" s="40"/>
      <c r="AJ1" s="43"/>
      <c r="AK1" s="40"/>
      <c r="AL1" s="59" t="s">
        <v>72</v>
      </c>
      <c r="AM1" s="60">
        <f>AnoCalendário</f>
        <v>2012</v>
      </c>
    </row>
    <row r="2" spans="1:39" customFormat="1" ht="13.5" x14ac:dyDescent="0.25"/>
    <row r="3" spans="1:39" s="31" customFormat="1" ht="12.75" customHeight="1" x14ac:dyDescent="0.25">
      <c r="C3" s="46" t="str">
        <f>TextodaChavedeCor</f>
        <v xml:space="preserve">CHAVE COLORIDA </v>
      </c>
      <c r="D3" s="53" t="str">
        <f>Código1</f>
        <v>T</v>
      </c>
      <c r="E3" s="70" t="str">
        <f>TextodeCódigo1</f>
        <v>Atrasado</v>
      </c>
      <c r="F3" s="61"/>
      <c r="H3" s="54" t="str">
        <f>Código2</f>
        <v>E</v>
      </c>
      <c r="I3" s="58" t="str">
        <f>TextodeCódigo2</f>
        <v>Dispensado</v>
      </c>
      <c r="L3" s="55" t="str">
        <f>Código3</f>
        <v>U</v>
      </c>
      <c r="M3" s="58" t="str">
        <f>TextodeCódigo3</f>
        <v>Não Dispensado</v>
      </c>
      <c r="P3" s="56" t="str">
        <f>Código4</f>
        <v>P</v>
      </c>
      <c r="Q3" s="58" t="str">
        <f>TextodeCódigo4</f>
        <v>Presente</v>
      </c>
      <c r="T3" s="57" t="str">
        <f>Código5</f>
        <v>N</v>
      </c>
      <c r="U3" s="58" t="str">
        <f>TextodeCódigo5</f>
        <v>Sem Aula</v>
      </c>
      <c r="W3"/>
      <c r="X3"/>
      <c r="Y3"/>
      <c r="AD3" s="30"/>
      <c r="AE3" s="30"/>
      <c r="AH3" s="32"/>
      <c r="AI3" s="33"/>
      <c r="AK3" s="34"/>
    </row>
    <row r="4" spans="1:39" customFormat="1" ht="16.5" customHeight="1" x14ac:dyDescent="0.25"/>
    <row r="5" spans="1:39" s="2" customFormat="1" ht="18" customHeight="1" x14ac:dyDescent="0.3">
      <c r="B5" s="63">
        <f>DATE(AnoCalendário+1,1,1)</f>
        <v>41275</v>
      </c>
      <c r="C5" s="62"/>
      <c r="D5" s="44" t="str">
        <f>TEXT(WEEKDAY(DATE(AnoCalendário+1,1,1),1),"ddd")</f>
        <v>ter</v>
      </c>
      <c r="E5" s="44" t="str">
        <f>TEXT(WEEKDAY(DATE(AnoCalendário+1,1,2),1),"ddd")</f>
        <v>qua</v>
      </c>
      <c r="F5" s="44" t="str">
        <f>TEXT(WEEKDAY(DATE(AnoCalendário+1,1,3),1),"ddd")</f>
        <v>qui</v>
      </c>
      <c r="G5" s="44" t="str">
        <f>TEXT(WEEKDAY(DATE(AnoCalendário+1,1,4),1),"ddd")</f>
        <v>sex</v>
      </c>
      <c r="H5" s="44" t="str">
        <f>TEXT(WEEKDAY(DATE(AnoCalendário+1,1,5),1),"ddd")</f>
        <v>sáb</v>
      </c>
      <c r="I5" s="44" t="str">
        <f>TEXT(WEEKDAY(DATE(AnoCalendário+1,1,6),1),"ddd")</f>
        <v>dom</v>
      </c>
      <c r="J5" s="44" t="str">
        <f>TEXT(WEEKDAY(DATE(AnoCalendário+1,1,7),1),"ddd")</f>
        <v>seg</v>
      </c>
      <c r="K5" s="44" t="str">
        <f>TEXT(WEEKDAY(DATE(AnoCalendário+1,1,8),1),"ddd")</f>
        <v>ter</v>
      </c>
      <c r="L5" s="44" t="str">
        <f>TEXT(WEEKDAY(DATE(AnoCalendário+1,1,9),1),"ddd")</f>
        <v>qua</v>
      </c>
      <c r="M5" s="44" t="str">
        <f>TEXT(WEEKDAY(DATE(AnoCalendário+1,1,10),1),"ddd")</f>
        <v>qui</v>
      </c>
      <c r="N5" s="44" t="str">
        <f>TEXT(WEEKDAY(DATE(AnoCalendário+1,1,11),1),"ddd")</f>
        <v>sex</v>
      </c>
      <c r="O5" s="44" t="str">
        <f>TEXT(WEEKDAY(DATE(AnoCalendário+1,1,12),1),"ddd")</f>
        <v>sáb</v>
      </c>
      <c r="P5" s="44" t="str">
        <f>TEXT(WEEKDAY(DATE(AnoCalendário+1,1,13),1),"ddd")</f>
        <v>dom</v>
      </c>
      <c r="Q5" s="44" t="str">
        <f>TEXT(WEEKDAY(DATE(AnoCalendário+1,1,14),1),"ddd")</f>
        <v>seg</v>
      </c>
      <c r="R5" s="44" t="str">
        <f>TEXT(WEEKDAY(DATE(AnoCalendário+1,1,15),1),"ddd")</f>
        <v>ter</v>
      </c>
      <c r="S5" s="44" t="str">
        <f>TEXT(WEEKDAY(DATE(AnoCalendário+1,1,16),1),"ddd")</f>
        <v>qua</v>
      </c>
      <c r="T5" s="44" t="str">
        <f>TEXT(WEEKDAY(DATE(AnoCalendário+1,1,17),1),"ddd")</f>
        <v>qui</v>
      </c>
      <c r="U5" s="44" t="str">
        <f>TEXT(WEEKDAY(DATE(AnoCalendário+1,1,18),1),"ddd")</f>
        <v>sex</v>
      </c>
      <c r="V5" s="44" t="str">
        <f>TEXT(WEEKDAY(DATE(AnoCalendário+1,1,19),1),"ddd")</f>
        <v>sáb</v>
      </c>
      <c r="W5" s="44" t="str">
        <f>TEXT(WEEKDAY(DATE(AnoCalendário+1,1,20),1),"ddd")</f>
        <v>dom</v>
      </c>
      <c r="X5" s="44" t="str">
        <f>TEXT(WEEKDAY(DATE(AnoCalendário+1,1,21),1),"ddd")</f>
        <v>seg</v>
      </c>
      <c r="Y5" s="44" t="str">
        <f>TEXT(WEEKDAY(DATE(AnoCalendário+1,1,22),1),"ddd")</f>
        <v>ter</v>
      </c>
      <c r="Z5" s="44" t="str">
        <f>TEXT(WEEKDAY(DATE(AnoCalendário+1,1,23),1),"ddd")</f>
        <v>qua</v>
      </c>
      <c r="AA5" s="44" t="str">
        <f>TEXT(WEEKDAY(DATE(AnoCalendário+1,1,24),1),"ddd")</f>
        <v>qui</v>
      </c>
      <c r="AB5" s="44" t="str">
        <f>TEXT(WEEKDAY(DATE(AnoCalendário+1,1,25),1),"ddd")</f>
        <v>sex</v>
      </c>
      <c r="AC5" s="44" t="str">
        <f>TEXT(WEEKDAY(DATE(AnoCalendário+1,1,26),1),"ddd")</f>
        <v>sáb</v>
      </c>
      <c r="AD5" s="44" t="str">
        <f>TEXT(WEEKDAY(DATE(AnoCalendário+1,1,27),1),"ddd")</f>
        <v>dom</v>
      </c>
      <c r="AE5" s="44" t="str">
        <f>TEXT(WEEKDAY(DATE(AnoCalendário+1,1,28),1),"ddd")</f>
        <v>seg</v>
      </c>
      <c r="AF5" s="44" t="str">
        <f>TEXT(WEEKDAY(DATE(AnoCalendário+1,1,29),1),"ddd")</f>
        <v>ter</v>
      </c>
      <c r="AG5" s="44" t="str">
        <f>TEXT(WEEKDAY(DATE(AnoCalendário+1,1,30),1),"ddd")</f>
        <v>qua</v>
      </c>
      <c r="AH5" s="44" t="str">
        <f>TEXT(WEEKDAY(DATE(AnoCalendário+1,1,31),1),"ddd")</f>
        <v>qui</v>
      </c>
      <c r="AI5" s="128" t="s">
        <v>41</v>
      </c>
      <c r="AJ5" s="128"/>
      <c r="AK5" s="128"/>
      <c r="AL5" s="128"/>
      <c r="AM5" s="128"/>
    </row>
    <row r="6" spans="1:39" ht="14.25" customHeight="1" x14ac:dyDescent="0.25">
      <c r="B6" s="27" t="s">
        <v>34</v>
      </c>
      <c r="C6" s="28" t="s">
        <v>36</v>
      </c>
      <c r="D6" s="29" t="s">
        <v>0</v>
      </c>
      <c r="E6" s="29" t="s">
        <v>1</v>
      </c>
      <c r="F6" s="29" t="s">
        <v>2</v>
      </c>
      <c r="G6" s="29" t="s">
        <v>3</v>
      </c>
      <c r="H6" s="29" t="s">
        <v>4</v>
      </c>
      <c r="I6" s="29" t="s">
        <v>5</v>
      </c>
      <c r="J6" s="29" t="s">
        <v>6</v>
      </c>
      <c r="K6" s="29" t="s">
        <v>7</v>
      </c>
      <c r="L6" s="29" t="s">
        <v>8</v>
      </c>
      <c r="M6" s="29" t="s">
        <v>9</v>
      </c>
      <c r="N6" s="29" t="s">
        <v>10</v>
      </c>
      <c r="O6" s="29" t="s">
        <v>11</v>
      </c>
      <c r="P6" s="29" t="s">
        <v>12</v>
      </c>
      <c r="Q6" s="29" t="s">
        <v>13</v>
      </c>
      <c r="R6" s="29" t="s">
        <v>14</v>
      </c>
      <c r="S6" s="29" t="s">
        <v>15</v>
      </c>
      <c r="T6" s="29" t="s">
        <v>16</v>
      </c>
      <c r="U6" s="29" t="s">
        <v>17</v>
      </c>
      <c r="V6" s="29" t="s">
        <v>18</v>
      </c>
      <c r="W6" s="29" t="s">
        <v>19</v>
      </c>
      <c r="X6" s="29" t="s">
        <v>20</v>
      </c>
      <c r="Y6" s="29" t="s">
        <v>21</v>
      </c>
      <c r="Z6" s="29" t="s">
        <v>22</v>
      </c>
      <c r="AA6" s="29" t="s">
        <v>23</v>
      </c>
      <c r="AB6" s="29" t="s">
        <v>24</v>
      </c>
      <c r="AC6" s="29" t="s">
        <v>25</v>
      </c>
      <c r="AD6" s="29" t="s">
        <v>26</v>
      </c>
      <c r="AE6" s="29" t="s">
        <v>27</v>
      </c>
      <c r="AF6" s="29" t="s">
        <v>28</v>
      </c>
      <c r="AG6" s="29" t="s">
        <v>29</v>
      </c>
      <c r="AH6" s="29" t="s">
        <v>30</v>
      </c>
      <c r="AI6" s="74" t="s">
        <v>37</v>
      </c>
      <c r="AJ6" s="38" t="s">
        <v>39</v>
      </c>
      <c r="AK6" s="37" t="s">
        <v>38</v>
      </c>
      <c r="AL6" s="35" t="s">
        <v>31</v>
      </c>
      <c r="AM6" t="s">
        <v>40</v>
      </c>
    </row>
    <row r="7" spans="1:39" ht="16.5" customHeight="1" x14ac:dyDescent="0.25">
      <c r="B7" s="26"/>
      <c r="C7" s="21" t="str">
        <f>IFERROR(VLOOKUP(PresençaemJaneiro[[#This Row],[ID do Aluno]],ListadeAlunos[],18,FALSE),"")</f>
        <v/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5"/>
      <c r="AG7" s="3"/>
      <c r="AH7" s="3"/>
      <c r="AI7" s="36">
        <f>COUNTIF(PresençaemJaneiro[[#This Row],[1]:[31]],Código1)</f>
        <v>0</v>
      </c>
      <c r="AJ7" s="36">
        <f>COUNTIF(PresençaemJaneiro[[#This Row],[1]:[31]],Código2)</f>
        <v>0</v>
      </c>
      <c r="AK7" s="36">
        <f>COUNTIF(PresençaemJaneiro[[#This Row],[1]:[31]],Código3)</f>
        <v>0</v>
      </c>
      <c r="AL7" s="36">
        <f>COUNTIF(PresençaemJaneiro[[#This Row],[1]:[31]],Código4)</f>
        <v>0</v>
      </c>
      <c r="AM7" s="6">
        <f>SUM(PresençaemJaneiro[[#This Row],[E]:[U]])</f>
        <v>0</v>
      </c>
    </row>
    <row r="8" spans="1:39" ht="16.5" customHeight="1" x14ac:dyDescent="0.25">
      <c r="B8" s="26"/>
      <c r="C8" s="22" t="str">
        <f>IFERROR(VLOOKUP(PresençaemJaneiro[[#This Row],[ID do Aluno]],ListadeAlunos[],18,FALSE),"")</f>
        <v/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5"/>
      <c r="AG8" s="3"/>
      <c r="AH8" s="3"/>
      <c r="AI8" s="36">
        <f>COUNTIF(PresençaemJaneiro[[#This Row],[1]:[31]],Código1)</f>
        <v>0</v>
      </c>
      <c r="AJ8" s="36">
        <f>COUNTIF(PresençaemJaneiro[[#This Row],[1]:[31]],Código2)</f>
        <v>0</v>
      </c>
      <c r="AK8" s="36">
        <f>COUNTIF(PresençaemJaneiro[[#This Row],[1]:[31]],Código3)</f>
        <v>0</v>
      </c>
      <c r="AL8" s="36">
        <f>COUNTIF(PresençaemJaneiro[[#This Row],[1]:[31]],Código4)</f>
        <v>0</v>
      </c>
      <c r="AM8" s="6">
        <f>SUM(PresençaemJaneiro[[#This Row],[E]:[U]])</f>
        <v>0</v>
      </c>
    </row>
    <row r="9" spans="1:39" ht="16.5" customHeight="1" x14ac:dyDescent="0.25">
      <c r="B9" s="26"/>
      <c r="C9" s="22" t="str">
        <f>IFERROR(VLOOKUP(PresençaemJaneiro[[#This Row],[ID do Aluno]],ListadeAlunos[],18,FALSE),"")</f>
        <v/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5"/>
      <c r="AG9" s="3"/>
      <c r="AH9" s="3"/>
      <c r="AI9" s="36">
        <f>COUNTIF(PresençaemJaneiro[[#This Row],[1]:[31]],Código1)</f>
        <v>0</v>
      </c>
      <c r="AJ9" s="36">
        <f>COUNTIF(PresençaemJaneiro[[#This Row],[1]:[31]],Código2)</f>
        <v>0</v>
      </c>
      <c r="AK9" s="36">
        <f>COUNTIF(PresençaemJaneiro[[#This Row],[1]:[31]],Código3)</f>
        <v>0</v>
      </c>
      <c r="AL9" s="36">
        <f>COUNTIF(PresençaemJaneiro[[#This Row],[1]:[31]],Código4)</f>
        <v>0</v>
      </c>
      <c r="AM9" s="6">
        <f>SUM(PresençaemJaneiro[[#This Row],[E]:[U]])</f>
        <v>0</v>
      </c>
    </row>
    <row r="10" spans="1:39" ht="16.5" customHeight="1" x14ac:dyDescent="0.25">
      <c r="B10" s="26"/>
      <c r="C10" s="22" t="str">
        <f>IFERROR(VLOOKUP(PresençaemJaneiro[[#This Row],[ID do Aluno]],ListadeAlunos[],18,FALSE),"")</f>
        <v/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5"/>
      <c r="AG10" s="3"/>
      <c r="AH10" s="3"/>
      <c r="AI10" s="36">
        <f>COUNTIF(PresençaemJaneiro[[#This Row],[1]:[31]],Código1)</f>
        <v>0</v>
      </c>
      <c r="AJ10" s="36">
        <f>COUNTIF(PresençaemJaneiro[[#This Row],[1]:[31]],Código2)</f>
        <v>0</v>
      </c>
      <c r="AK10" s="36">
        <f>COUNTIF(PresençaemJaneiro[[#This Row],[1]:[31]],Código3)</f>
        <v>0</v>
      </c>
      <c r="AL10" s="36">
        <f>COUNTIF(PresençaemJaneiro[[#This Row],[1]:[31]],Código4)</f>
        <v>0</v>
      </c>
      <c r="AM10" s="6">
        <f>SUM(PresençaemJaneiro[[#This Row],[E]:[U]])</f>
        <v>0</v>
      </c>
    </row>
    <row r="11" spans="1:39" ht="16.5" customHeight="1" x14ac:dyDescent="0.25">
      <c r="B11" s="26"/>
      <c r="C11" s="22" t="str">
        <f>IFERROR(VLOOKUP(PresençaemJaneiro[[#This Row],[ID do Aluno]],ListadeAlunos[],18,FALSE),"")</f>
        <v/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5"/>
      <c r="AG11" s="3"/>
      <c r="AH11" s="3"/>
      <c r="AI11" s="36">
        <f>COUNTIF(PresençaemJaneiro[[#This Row],[1]:[31]],Código1)</f>
        <v>0</v>
      </c>
      <c r="AJ11" s="36">
        <f>COUNTIF(PresençaemJaneiro[[#This Row],[1]:[31]],Código2)</f>
        <v>0</v>
      </c>
      <c r="AK11" s="36">
        <f>COUNTIF(PresençaemJaneiro[[#This Row],[1]:[31]],Código3)</f>
        <v>0</v>
      </c>
      <c r="AL11" s="36">
        <f>COUNTIF(PresençaemJaneiro[[#This Row],[1]:[31]],Código4)</f>
        <v>0</v>
      </c>
      <c r="AM11" s="6">
        <f>SUM(PresençaemJaneiro[[#This Row],[E]:[U]])</f>
        <v>0</v>
      </c>
    </row>
    <row r="12" spans="1:39" ht="16.5" customHeight="1" x14ac:dyDescent="0.25">
      <c r="B12" s="118"/>
      <c r="C12" s="119" t="s">
        <v>115</v>
      </c>
      <c r="D12" s="120">
        <f>COUNTIF(PresençaemJaneiro[1],"U")+COUNTIF(PresençaemJaneiro[1],"E")</f>
        <v>0</v>
      </c>
      <c r="E12" s="120">
        <f>COUNTIF(PresençaemJaneiro[2],"U")+COUNTIF(PresençaemJaneiro[2],"E")</f>
        <v>0</v>
      </c>
      <c r="F12" s="120">
        <f>COUNTIF(PresençaemJaneiro[3],"U")+COUNTIF(PresençaemJaneiro[3],"E")</f>
        <v>0</v>
      </c>
      <c r="G12" s="120">
        <f>COUNTIF(PresençaemJaneiro[4],"U")+COUNTIF(PresençaemJaneiro[4],"E")</f>
        <v>0</v>
      </c>
      <c r="H12" s="120">
        <f>COUNTIF(PresençaemJaneiro[5],"U")+COUNTIF(PresençaemJaneiro[5],"E")</f>
        <v>0</v>
      </c>
      <c r="I12" s="120">
        <f>COUNTIF(PresençaemJaneiro[6],"U")+COUNTIF(PresençaemJaneiro[6],"E")</f>
        <v>0</v>
      </c>
      <c r="J12" s="120">
        <f>COUNTIF(PresençaemJaneiro[7],"U")+COUNTIF(PresençaemJaneiro[7],"E")</f>
        <v>0</v>
      </c>
      <c r="K12" s="120">
        <f>COUNTIF(PresençaemJaneiro[8],"U")+COUNTIF(PresençaemJaneiro[8],"E")</f>
        <v>0</v>
      </c>
      <c r="L12" s="120">
        <f>COUNTIF(PresençaemJaneiro[9],"U")+COUNTIF(PresençaemJaneiro[9],"E")</f>
        <v>0</v>
      </c>
      <c r="M12" s="120">
        <f>COUNTIF(PresençaemJaneiro[10],"U")+COUNTIF(PresençaemJaneiro[10],"E")</f>
        <v>0</v>
      </c>
      <c r="N12" s="120">
        <f>COUNTIF(PresençaemJaneiro[11],"U")+COUNTIF(PresençaemJaneiro[11],"E")</f>
        <v>0</v>
      </c>
      <c r="O12" s="120">
        <f>COUNTIF(PresençaemJaneiro[12],"U")+COUNTIF(PresençaemJaneiro[12],"E")</f>
        <v>0</v>
      </c>
      <c r="P12" s="120">
        <f>COUNTIF(PresençaemJaneiro[13],"U")+COUNTIF(PresençaemJaneiro[13],"E")</f>
        <v>0</v>
      </c>
      <c r="Q12" s="120">
        <f>COUNTIF(PresençaemJaneiro[14],"U")+COUNTIF(PresençaemJaneiro[14],"E")</f>
        <v>0</v>
      </c>
      <c r="R12" s="120">
        <f>COUNTIF(PresençaemJaneiro[15],"U")+COUNTIF(PresençaemJaneiro[15],"E")</f>
        <v>0</v>
      </c>
      <c r="S12" s="120">
        <f>COUNTIF(PresençaemJaneiro[16],"U")+COUNTIF(PresençaemJaneiro[16],"E")</f>
        <v>0</v>
      </c>
      <c r="T12" s="120">
        <f>COUNTIF(PresençaemJaneiro[17],"U")+COUNTIF(PresençaemJaneiro[17],"E")</f>
        <v>0</v>
      </c>
      <c r="U12" s="120">
        <f>COUNTIF(PresençaemJaneiro[18],"U")+COUNTIF(PresençaemJaneiro[18],"E")</f>
        <v>0</v>
      </c>
      <c r="V12" s="120">
        <f>COUNTIF(PresençaemJaneiro[19],"U")+COUNTIF(PresençaemJaneiro[19],"E")</f>
        <v>0</v>
      </c>
      <c r="W12" s="120">
        <f>COUNTIF(PresençaemJaneiro[20],"U")+COUNTIF(PresençaemJaneiro[20],"E")</f>
        <v>0</v>
      </c>
      <c r="X12" s="120">
        <f>COUNTIF(PresençaemJaneiro[21],"U")+COUNTIF(PresençaemJaneiro[21],"E")</f>
        <v>0</v>
      </c>
      <c r="Y12" s="120">
        <f>COUNTIF(PresençaemJaneiro[22],"U")+COUNTIF(PresençaemJaneiro[22],"E")</f>
        <v>0</v>
      </c>
      <c r="Z12" s="120">
        <f>COUNTIF(PresençaemJaneiro[23],"U")+COUNTIF(PresençaemJaneiro[23],"E")</f>
        <v>0</v>
      </c>
      <c r="AA12" s="120">
        <f>COUNTIF(PresençaemJaneiro[24],"U")+COUNTIF(PresençaemJaneiro[24],"E")</f>
        <v>0</v>
      </c>
      <c r="AB12" s="120">
        <f>COUNTIF(PresençaemJaneiro[25],"U")+COUNTIF(PresençaemJaneiro[25],"E")</f>
        <v>0</v>
      </c>
      <c r="AC12" s="120">
        <f>COUNTIF(PresençaemJaneiro[26],"U")+COUNTIF(PresençaemJaneiro[26],"E")</f>
        <v>0</v>
      </c>
      <c r="AD12" s="120">
        <f>COUNTIF(PresençaemJaneiro[27],"U")+COUNTIF(PresençaemJaneiro[27],"E")</f>
        <v>0</v>
      </c>
      <c r="AE12" s="120">
        <f>COUNTIF(PresençaemJaneiro[28],"U")+COUNTIF(PresençaemJaneiro[28],"E")</f>
        <v>0</v>
      </c>
      <c r="AF12" s="120">
        <f>COUNTIF(PresençaemJaneiro[29],"U")+COUNTIF(PresençaemJaneiro[29],"E")</f>
        <v>0</v>
      </c>
      <c r="AG12" s="120"/>
      <c r="AH12" s="120"/>
      <c r="AI12" s="120">
        <f>SUBTOTAL(109,PresençaemJaneiro[T])</f>
        <v>0</v>
      </c>
      <c r="AJ12" s="120">
        <f>SUBTOTAL(109,PresençaemJaneiro[E])</f>
        <v>0</v>
      </c>
      <c r="AK12" s="120">
        <f>SUBTOTAL(109,PresençaemJaneiro[U])</f>
        <v>0</v>
      </c>
      <c r="AL12" s="120">
        <f>SUBTOTAL(109,PresençaemJaneiro[P])</f>
        <v>0</v>
      </c>
      <c r="AM12" s="120">
        <f>SUBTOTAL(109,PresençaemJaneiro[Dias de Ausência])</f>
        <v>0</v>
      </c>
    </row>
    <row r="13" spans="1:39" ht="16.5" customHeight="1" x14ac:dyDescent="0.25"/>
    <row r="14" spans="1:39" ht="16.5" customHeight="1" x14ac:dyDescent="0.25"/>
    <row r="15" spans="1:39" ht="16.5" customHeight="1" x14ac:dyDescent="0.25"/>
    <row r="16" spans="1:39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6.5" customHeight="1" x14ac:dyDescent="0.25"/>
    <row r="25" ht="16.5" customHeight="1" x14ac:dyDescent="0.25"/>
    <row r="26" ht="16.5" customHeight="1" x14ac:dyDescent="0.25"/>
    <row r="27" ht="16.5" customHeight="1" x14ac:dyDescent="0.25"/>
    <row r="28" ht="16.5" customHeight="1" x14ac:dyDescent="0.25"/>
    <row r="29" ht="16.5" customHeight="1" x14ac:dyDescent="0.25"/>
    <row r="30" ht="16.5" customHeight="1" x14ac:dyDescent="0.25"/>
    <row r="31" ht="16.5" customHeight="1" x14ac:dyDescent="0.25"/>
    <row r="32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I5:AM5"/>
  </mergeCells>
  <conditionalFormatting sqref="AM7:AM11">
    <cfRule type="dataBar" priority="3">
      <dataBar>
        <cfvo type="min"/>
        <cfvo type="num" val="DATEDIF(DATE(AnoCalendário,2,1),DATE(AnoCalendário,3,1),&quot;d&quot;)"/>
        <color theme="4"/>
      </dataBar>
      <extLst>
        <ext xmlns:x14="http://schemas.microsoft.com/office/spreadsheetml/2009/9/main" uri="{B025F937-C7B1-47D3-B67F-A62EFF666E3E}">
          <x14:id>{14404821-1BA2-401A-A36D-E7C5CA142FF7}</x14:id>
        </ext>
      </extLst>
    </cfRule>
  </conditionalFormatting>
  <conditionalFormatting sqref="D7:AF11">
    <cfRule type="expression" dxfId="588" priority="4" stopIfTrue="1">
      <formula>D7=Código2</formula>
    </cfRule>
  </conditionalFormatting>
  <conditionalFormatting sqref="D7:AF11">
    <cfRule type="expression" dxfId="587" priority="5" stopIfTrue="1">
      <formula>D7=Código5</formula>
    </cfRule>
    <cfRule type="expression" dxfId="586" priority="6" stopIfTrue="1">
      <formula>D7=Código4</formula>
    </cfRule>
    <cfRule type="expression" dxfId="585" priority="7" stopIfTrue="1">
      <formula>D7=Código3</formula>
    </cfRule>
    <cfRule type="expression" dxfId="584" priority="8" stopIfTrue="1">
      <formula>D7=Código1</formula>
    </cfRule>
  </conditionalFormatting>
  <dataValidations count="1">
    <dataValidation type="list" errorStyle="warning" allowBlank="1" showInputMessage="1" showErrorMessage="1" errorTitle="Ops!" error="A ID de Aluno que você inseriu não está na planilha Lista de Alunos. Você pode clicar em Sim para usar a ID de Aluno inserida, mas ela não estará disponível na planilha Relatório de Presença dos Alunos." sqref="B7:B11">
      <formula1>IDAluno</formula1>
    </dataValidation>
  </dataValidations>
  <printOptions horizontalCentered="1"/>
  <pageMargins left="0.5" right="0.5" top="0.75" bottom="0.75" header="0.3" footer="0.3"/>
  <pageSetup paperSize="9" scale="59" fitToHeight="0" orientation="landscape" verticalDpi="120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4404821-1BA2-401A-A36D-E7C5CA142FF7}">
            <x14:dataBar minLength="0" maxLength="100" border="1" negativeBarBorderColorSameAsPositive="0">
              <x14:cfvo type="autoMin"/>
              <x14:cfvo type="num">
                <xm:f>DATEDIF(DATE(AnoCalendário,2,1),DATE(AnoCalendário,3,1),"d")</xm:f>
              </x14:cfvo>
              <x14:borderColor theme="4"/>
              <x14:negativeFillColor rgb="FFFF0000"/>
              <x14:negativeBorderColor rgb="FFFF0000"/>
              <x14:axisColor rgb="FF000000"/>
            </x14:dataBar>
          </x14:cfRule>
          <xm:sqref>AM7:AM11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AM264"/>
  <sheetViews>
    <sheetView showGridLines="0" zoomScaleNormal="100" workbookViewId="0">
      <pane xSplit="3" ySplit="6" topLeftCell="D7" activePane="bottomRight" state="frozen"/>
      <selection pane="topRight"/>
      <selection pane="bottomLeft"/>
      <selection pane="bottomRight" activeCell="W36" sqref="W36"/>
    </sheetView>
  </sheetViews>
  <sheetFormatPr defaultRowHeight="15" customHeight="1" x14ac:dyDescent="0.25"/>
  <cols>
    <col min="1" max="1" width="2.7109375" style="11" customWidth="1"/>
    <col min="2" max="2" width="11.85546875" style="11" bestFit="1" customWidth="1"/>
    <col min="3" max="3" width="28.85546875" style="12" customWidth="1"/>
    <col min="4" max="34" width="5" style="10" customWidth="1"/>
    <col min="35" max="35" width="4.7109375" style="9" customWidth="1"/>
    <col min="36" max="36" width="4.7109375" style="10" customWidth="1"/>
    <col min="37" max="38" width="4.7109375" style="11" customWidth="1"/>
    <col min="39" max="39" width="16.85546875" style="11" bestFit="1" customWidth="1"/>
    <col min="40" max="16384" width="9.140625" style="11"/>
  </cols>
  <sheetData>
    <row r="1" spans="1:39" s="1" customFormat="1" ht="42" customHeight="1" x14ac:dyDescent="0.25">
      <c r="A1" s="39" t="s">
        <v>89</v>
      </c>
      <c r="B1" s="40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0"/>
      <c r="AD1" s="40"/>
      <c r="AE1" s="40"/>
      <c r="AF1" s="40"/>
      <c r="AG1" s="42"/>
      <c r="AH1" s="40"/>
      <c r="AI1" s="40"/>
      <c r="AJ1" s="43"/>
      <c r="AK1" s="40"/>
      <c r="AL1" s="59" t="s">
        <v>72</v>
      </c>
      <c r="AM1" s="60">
        <f>AnoCalendário</f>
        <v>2012</v>
      </c>
    </row>
    <row r="2" spans="1:39" customFormat="1" ht="13.5" x14ac:dyDescent="0.25"/>
    <row r="3" spans="1:39" s="31" customFormat="1" ht="12.75" customHeight="1" x14ac:dyDescent="0.25">
      <c r="C3" s="46" t="str">
        <f>TextodaChavedeCor</f>
        <v xml:space="preserve">CHAVE COLORIDA </v>
      </c>
      <c r="D3" s="53" t="str">
        <f>Código1</f>
        <v>T</v>
      </c>
      <c r="E3" s="70" t="str">
        <f>TextodeCódigo1</f>
        <v>Atrasado</v>
      </c>
      <c r="F3" s="61"/>
      <c r="H3" s="54" t="str">
        <f>Código2</f>
        <v>E</v>
      </c>
      <c r="I3" s="58" t="str">
        <f>TextodeCódigo2</f>
        <v>Dispensado</v>
      </c>
      <c r="L3" s="55" t="str">
        <f>Código3</f>
        <v>U</v>
      </c>
      <c r="M3" s="58" t="str">
        <f>TextodeCódigo3</f>
        <v>Não Dispensado</v>
      </c>
      <c r="P3" s="56" t="str">
        <f>Código4</f>
        <v>P</v>
      </c>
      <c r="Q3" s="58" t="str">
        <f>TextodeCódigo4</f>
        <v>Presente</v>
      </c>
      <c r="T3" s="57" t="str">
        <f>Código5</f>
        <v>N</v>
      </c>
      <c r="U3" s="58" t="str">
        <f>TextodeCódigo5</f>
        <v>Sem Aula</v>
      </c>
      <c r="W3"/>
      <c r="X3"/>
      <c r="Y3"/>
      <c r="AD3" s="30"/>
      <c r="AE3" s="30"/>
      <c r="AH3" s="32"/>
      <c r="AI3" s="33"/>
      <c r="AK3" s="34"/>
    </row>
    <row r="4" spans="1:39" customFormat="1" ht="16.5" customHeight="1" x14ac:dyDescent="0.25"/>
    <row r="5" spans="1:39" s="2" customFormat="1" ht="18" customHeight="1" x14ac:dyDescent="0.3">
      <c r="B5" s="63">
        <f>DATE(AnoCalendário+1,2,1)</f>
        <v>41306</v>
      </c>
      <c r="C5" s="62"/>
      <c r="D5" s="44" t="str">
        <f>TEXT(WEEKDAY(DATE(AnoCalendário+1,2,1),1),"ddd")</f>
        <v>sex</v>
      </c>
      <c r="E5" s="44" t="str">
        <f>TEXT(WEEKDAY(DATE(AnoCalendário+1,2,2),1),"ddd")</f>
        <v>sáb</v>
      </c>
      <c r="F5" s="44" t="str">
        <f>TEXT(WEEKDAY(DATE(AnoCalendário+1,2,3),1),"ddd")</f>
        <v>dom</v>
      </c>
      <c r="G5" s="44" t="str">
        <f>TEXT(WEEKDAY(DATE(AnoCalendário+1,2,4),1),"ddd")</f>
        <v>seg</v>
      </c>
      <c r="H5" s="44" t="str">
        <f>TEXT(WEEKDAY(DATE(AnoCalendário+1,2,5),1),"ddd")</f>
        <v>ter</v>
      </c>
      <c r="I5" s="44" t="str">
        <f>TEXT(WEEKDAY(DATE(AnoCalendário+1,2,6),1),"ddd")</f>
        <v>qua</v>
      </c>
      <c r="J5" s="44" t="str">
        <f>TEXT(WEEKDAY(DATE(AnoCalendário+1,2,7),1),"ddd")</f>
        <v>qui</v>
      </c>
      <c r="K5" s="44" t="str">
        <f>TEXT(WEEKDAY(DATE(AnoCalendário+1,2,8),1),"ddd")</f>
        <v>sex</v>
      </c>
      <c r="L5" s="44" t="str">
        <f>TEXT(WEEKDAY(DATE(AnoCalendário+1,2,9),1),"ddd")</f>
        <v>sáb</v>
      </c>
      <c r="M5" s="44" t="str">
        <f>TEXT(WEEKDAY(DATE(AnoCalendário+1,2,10),1),"ddd")</f>
        <v>dom</v>
      </c>
      <c r="N5" s="44" t="str">
        <f>TEXT(WEEKDAY(DATE(AnoCalendário+1,2,11),1),"ddd")</f>
        <v>seg</v>
      </c>
      <c r="O5" s="44" t="str">
        <f>TEXT(WEEKDAY(DATE(AnoCalendário+1,2,12),1),"ddd")</f>
        <v>ter</v>
      </c>
      <c r="P5" s="44" t="str">
        <f>TEXT(WEEKDAY(DATE(AnoCalendário+1,2,13),1),"ddd")</f>
        <v>qua</v>
      </c>
      <c r="Q5" s="44" t="str">
        <f>TEXT(WEEKDAY(DATE(AnoCalendário+1,2,14),1),"ddd")</f>
        <v>qui</v>
      </c>
      <c r="R5" s="44" t="str">
        <f>TEXT(WEEKDAY(DATE(AnoCalendário+1,2,15),1),"ddd")</f>
        <v>sex</v>
      </c>
      <c r="S5" s="44" t="str">
        <f>TEXT(WEEKDAY(DATE(AnoCalendário+1,2,16),1),"ddd")</f>
        <v>sáb</v>
      </c>
      <c r="T5" s="44" t="str">
        <f>TEXT(WEEKDAY(DATE(AnoCalendário+1,2,17),1),"ddd")</f>
        <v>dom</v>
      </c>
      <c r="U5" s="44" t="str">
        <f>TEXT(WEEKDAY(DATE(AnoCalendário+1,2,18),1),"ddd")</f>
        <v>seg</v>
      </c>
      <c r="V5" s="44" t="str">
        <f>TEXT(WEEKDAY(DATE(AnoCalendário+1,2,19),1),"ddd")</f>
        <v>ter</v>
      </c>
      <c r="W5" s="44" t="str">
        <f>TEXT(WEEKDAY(DATE(AnoCalendário+1,2,20),1),"ddd")</f>
        <v>qua</v>
      </c>
      <c r="X5" s="44" t="str">
        <f>TEXT(WEEKDAY(DATE(AnoCalendário+1,2,21),1),"ddd")</f>
        <v>qui</v>
      </c>
      <c r="Y5" s="44" t="str">
        <f>TEXT(WEEKDAY(DATE(AnoCalendário+1,2,22),1),"ddd")</f>
        <v>sex</v>
      </c>
      <c r="Z5" s="44" t="str">
        <f>TEXT(WEEKDAY(DATE(AnoCalendário+1,2,23),1),"ddd")</f>
        <v>sáb</v>
      </c>
      <c r="AA5" s="44" t="str">
        <f>TEXT(WEEKDAY(DATE(AnoCalendário+1,2,24),1),"ddd")</f>
        <v>dom</v>
      </c>
      <c r="AB5" s="44" t="str">
        <f>TEXT(WEEKDAY(DATE(AnoCalendário+1,2,25),1),"ddd")</f>
        <v>seg</v>
      </c>
      <c r="AC5" s="44" t="str">
        <f>TEXT(WEEKDAY(DATE(AnoCalendário+1,2,26),1),"ddd")</f>
        <v>ter</v>
      </c>
      <c r="AD5" s="44" t="str">
        <f>TEXT(WEEKDAY(DATE(AnoCalendário+1,2,27),1),"ddd")</f>
        <v>qua</v>
      </c>
      <c r="AE5" s="44" t="str">
        <f>TEXT(WEEKDAY(DATE(AnoCalendário+1,2,28),1),"ddd")</f>
        <v>qui</v>
      </c>
      <c r="AF5" s="44" t="str">
        <f>TEXT(WEEKDAY(DATE(AnoCalendário+1,2,29),1),"ddd")</f>
        <v>sex</v>
      </c>
      <c r="AG5" s="44"/>
      <c r="AH5" s="44"/>
      <c r="AI5" s="128" t="s">
        <v>41</v>
      </c>
      <c r="AJ5" s="128"/>
      <c r="AK5" s="128"/>
      <c r="AL5" s="128"/>
      <c r="AM5" s="128"/>
    </row>
    <row r="6" spans="1:39" ht="14.25" customHeight="1" x14ac:dyDescent="0.25">
      <c r="B6" s="27" t="s">
        <v>34</v>
      </c>
      <c r="C6" s="28" t="s">
        <v>36</v>
      </c>
      <c r="D6" s="29" t="s">
        <v>0</v>
      </c>
      <c r="E6" s="29" t="s">
        <v>1</v>
      </c>
      <c r="F6" s="29" t="s">
        <v>2</v>
      </c>
      <c r="G6" s="29" t="s">
        <v>3</v>
      </c>
      <c r="H6" s="29" t="s">
        <v>4</v>
      </c>
      <c r="I6" s="29" t="s">
        <v>5</v>
      </c>
      <c r="J6" s="29" t="s">
        <v>6</v>
      </c>
      <c r="K6" s="29" t="s">
        <v>7</v>
      </c>
      <c r="L6" s="29" t="s">
        <v>8</v>
      </c>
      <c r="M6" s="29" t="s">
        <v>9</v>
      </c>
      <c r="N6" s="29" t="s">
        <v>10</v>
      </c>
      <c r="O6" s="29" t="s">
        <v>11</v>
      </c>
      <c r="P6" s="29" t="s">
        <v>12</v>
      </c>
      <c r="Q6" s="29" t="s">
        <v>13</v>
      </c>
      <c r="R6" s="29" t="s">
        <v>14</v>
      </c>
      <c r="S6" s="29" t="s">
        <v>15</v>
      </c>
      <c r="T6" s="29" t="s">
        <v>16</v>
      </c>
      <c r="U6" s="29" t="s">
        <v>17</v>
      </c>
      <c r="V6" s="29" t="s">
        <v>18</v>
      </c>
      <c r="W6" s="29" t="s">
        <v>19</v>
      </c>
      <c r="X6" s="29" t="s">
        <v>20</v>
      </c>
      <c r="Y6" s="29" t="s">
        <v>21</v>
      </c>
      <c r="Z6" s="29" t="s">
        <v>22</v>
      </c>
      <c r="AA6" s="29" t="s">
        <v>23</v>
      </c>
      <c r="AB6" s="29" t="s">
        <v>24</v>
      </c>
      <c r="AC6" s="29" t="s">
        <v>25</v>
      </c>
      <c r="AD6" s="29" t="s">
        <v>26</v>
      </c>
      <c r="AE6" s="29" t="s">
        <v>27</v>
      </c>
      <c r="AF6" s="29" t="s">
        <v>28</v>
      </c>
      <c r="AG6" s="29" t="s">
        <v>29</v>
      </c>
      <c r="AH6" s="29" t="s">
        <v>30</v>
      </c>
      <c r="AI6" s="74" t="s">
        <v>37</v>
      </c>
      <c r="AJ6" s="38" t="s">
        <v>39</v>
      </c>
      <c r="AK6" s="37" t="s">
        <v>38</v>
      </c>
      <c r="AL6" s="35" t="s">
        <v>31</v>
      </c>
      <c r="AM6" t="s">
        <v>40</v>
      </c>
    </row>
    <row r="7" spans="1:39" ht="16.5" customHeight="1" x14ac:dyDescent="0.25">
      <c r="B7" s="26"/>
      <c r="C7" s="21" t="str">
        <f>IFERROR(VLOOKUP(PresençaemFevereiro[[#This Row],[ID do Aluno]],ListadeAlunos[],18,FALSE),"")</f>
        <v/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5"/>
      <c r="AG7" s="3"/>
      <c r="AH7" s="3"/>
      <c r="AI7" s="36">
        <f>COUNTIF(PresençaemFevereiro[[#This Row],[1]:[31]],Código1)</f>
        <v>0</v>
      </c>
      <c r="AJ7" s="36">
        <f>COUNTIF(PresençaemFevereiro[[#This Row],[1]:[31]],Código2)</f>
        <v>0</v>
      </c>
      <c r="AK7" s="36">
        <f>COUNTIF(PresençaemFevereiro[[#This Row],[1]:[31]],Código3)</f>
        <v>0</v>
      </c>
      <c r="AL7" s="36">
        <f>COUNTIF(PresençaemFevereiro[[#This Row],[1]:[31]],Código4)</f>
        <v>0</v>
      </c>
      <c r="AM7" s="6">
        <f>SUM(PresençaemFevereiro[[#This Row],[E]:[U]])</f>
        <v>0</v>
      </c>
    </row>
    <row r="8" spans="1:39" ht="16.5" customHeight="1" x14ac:dyDescent="0.25">
      <c r="B8" s="26"/>
      <c r="C8" s="22" t="str">
        <f>IFERROR(VLOOKUP(PresençaemFevereiro[[#This Row],[ID do Aluno]],ListadeAlunos[],18,FALSE),"")</f>
        <v/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5"/>
      <c r="AG8" s="3"/>
      <c r="AH8" s="3"/>
      <c r="AI8" s="36">
        <f>COUNTIF(PresençaemFevereiro[[#This Row],[1]:[31]],Código1)</f>
        <v>0</v>
      </c>
      <c r="AJ8" s="36">
        <f>COUNTIF(PresençaemFevereiro[[#This Row],[1]:[31]],Código2)</f>
        <v>0</v>
      </c>
      <c r="AK8" s="36">
        <f>COUNTIF(PresençaemFevereiro[[#This Row],[1]:[31]],Código3)</f>
        <v>0</v>
      </c>
      <c r="AL8" s="36">
        <f>COUNTIF(PresençaemFevereiro[[#This Row],[1]:[31]],Código4)</f>
        <v>0</v>
      </c>
      <c r="AM8" s="6">
        <f>SUM(PresençaemFevereiro[[#This Row],[E]:[U]])</f>
        <v>0</v>
      </c>
    </row>
    <row r="9" spans="1:39" ht="16.5" customHeight="1" x14ac:dyDescent="0.25">
      <c r="B9" s="26"/>
      <c r="C9" s="22" t="str">
        <f>IFERROR(VLOOKUP(PresençaemFevereiro[[#This Row],[ID do Aluno]],ListadeAlunos[],18,FALSE),"")</f>
        <v/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5"/>
      <c r="AG9" s="3"/>
      <c r="AH9" s="3"/>
      <c r="AI9" s="36">
        <f>COUNTIF(PresençaemFevereiro[[#This Row],[1]:[31]],Código1)</f>
        <v>0</v>
      </c>
      <c r="AJ9" s="36">
        <f>COUNTIF(PresençaemFevereiro[[#This Row],[1]:[31]],Código2)</f>
        <v>0</v>
      </c>
      <c r="AK9" s="36">
        <f>COUNTIF(PresençaemFevereiro[[#This Row],[1]:[31]],Código3)</f>
        <v>0</v>
      </c>
      <c r="AL9" s="36">
        <f>COUNTIF(PresençaemFevereiro[[#This Row],[1]:[31]],Código4)</f>
        <v>0</v>
      </c>
      <c r="AM9" s="6">
        <f>SUM(PresençaemFevereiro[[#This Row],[E]:[U]])</f>
        <v>0</v>
      </c>
    </row>
    <row r="10" spans="1:39" ht="16.5" customHeight="1" x14ac:dyDescent="0.25">
      <c r="B10" s="26"/>
      <c r="C10" s="22" t="str">
        <f>IFERROR(VLOOKUP(PresençaemFevereiro[[#This Row],[ID do Aluno]],ListadeAlunos[],18,FALSE),"")</f>
        <v/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5"/>
      <c r="AG10" s="3"/>
      <c r="AH10" s="3"/>
      <c r="AI10" s="36">
        <f>COUNTIF(PresençaemFevereiro[[#This Row],[1]:[31]],Código1)</f>
        <v>0</v>
      </c>
      <c r="AJ10" s="36">
        <f>COUNTIF(PresençaemFevereiro[[#This Row],[1]:[31]],Código2)</f>
        <v>0</v>
      </c>
      <c r="AK10" s="36">
        <f>COUNTIF(PresençaemFevereiro[[#This Row],[1]:[31]],Código3)</f>
        <v>0</v>
      </c>
      <c r="AL10" s="36">
        <f>COUNTIF(PresençaemFevereiro[[#This Row],[1]:[31]],Código4)</f>
        <v>0</v>
      </c>
      <c r="AM10" s="6">
        <f>SUM(PresençaemFevereiro[[#This Row],[E]:[U]])</f>
        <v>0</v>
      </c>
    </row>
    <row r="11" spans="1:39" ht="16.5" customHeight="1" x14ac:dyDescent="0.25">
      <c r="B11" s="26"/>
      <c r="C11" s="22" t="str">
        <f>IFERROR(VLOOKUP(PresençaemFevereiro[[#This Row],[ID do Aluno]],ListadeAlunos[],18,FALSE),"")</f>
        <v/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5"/>
      <c r="AG11" s="3"/>
      <c r="AH11" s="3"/>
      <c r="AI11" s="36">
        <f>COUNTIF(PresençaemFevereiro[[#This Row],[1]:[31]],Código1)</f>
        <v>0</v>
      </c>
      <c r="AJ11" s="36">
        <f>COUNTIF(PresençaemFevereiro[[#This Row],[1]:[31]],Código2)</f>
        <v>0</v>
      </c>
      <c r="AK11" s="36">
        <f>COUNTIF(PresençaemFevereiro[[#This Row],[1]:[31]],Código3)</f>
        <v>0</v>
      </c>
      <c r="AL11" s="36">
        <f>COUNTIF(PresençaemFevereiro[[#This Row],[1]:[31]],Código4)</f>
        <v>0</v>
      </c>
      <c r="AM11" s="6">
        <f>SUM(PresençaemFevereiro[[#This Row],[E]:[U]])</f>
        <v>0</v>
      </c>
    </row>
    <row r="12" spans="1:39" ht="16.5" customHeight="1" x14ac:dyDescent="0.25">
      <c r="B12" s="118"/>
      <c r="C12" s="119" t="s">
        <v>115</v>
      </c>
      <c r="D12" s="120">
        <f>COUNTIF(PresençaemFevereiro[1],"U")+COUNTIF(PresençaemFevereiro[1],"E")</f>
        <v>0</v>
      </c>
      <c r="E12" s="120">
        <f>COUNTIF(PresençaemFevereiro[2],"U")+COUNTIF(PresençaemFevereiro[2],"E")</f>
        <v>0</v>
      </c>
      <c r="F12" s="120">
        <f>COUNTIF(PresençaemFevereiro[3],"U")+COUNTIF(PresençaemFevereiro[3],"E")</f>
        <v>0</v>
      </c>
      <c r="G12" s="120">
        <f>COUNTIF(PresençaemFevereiro[4],"U")+COUNTIF(PresençaemFevereiro[4],"E")</f>
        <v>0</v>
      </c>
      <c r="H12" s="120">
        <f>COUNTIF(PresençaemFevereiro[5],"U")+COUNTIF(PresençaemFevereiro[5],"E")</f>
        <v>0</v>
      </c>
      <c r="I12" s="120">
        <f>COUNTIF(PresençaemFevereiro[6],"U")+COUNTIF(PresençaemFevereiro[6],"E")</f>
        <v>0</v>
      </c>
      <c r="J12" s="120">
        <f>COUNTIF(PresençaemFevereiro[7],"U")+COUNTIF(PresençaemFevereiro[7],"E")</f>
        <v>0</v>
      </c>
      <c r="K12" s="120">
        <f>COUNTIF(PresençaemFevereiro[8],"U")+COUNTIF(PresençaemFevereiro[8],"E")</f>
        <v>0</v>
      </c>
      <c r="L12" s="120">
        <f>COUNTIF(PresençaemFevereiro[9],"U")+COUNTIF(PresençaemFevereiro[9],"E")</f>
        <v>0</v>
      </c>
      <c r="M12" s="120">
        <f>COUNTIF(PresençaemFevereiro[10],"U")+COUNTIF(PresençaemFevereiro[10],"E")</f>
        <v>0</v>
      </c>
      <c r="N12" s="120">
        <f>COUNTIF(PresençaemFevereiro[11],"U")+COUNTIF(PresençaemFevereiro[11],"E")</f>
        <v>0</v>
      </c>
      <c r="O12" s="120">
        <f>COUNTIF(PresençaemFevereiro[12],"U")+COUNTIF(PresençaemFevereiro[12],"E")</f>
        <v>0</v>
      </c>
      <c r="P12" s="120">
        <f>COUNTIF(PresençaemFevereiro[13],"U")+COUNTIF(PresençaemFevereiro[13],"E")</f>
        <v>0</v>
      </c>
      <c r="Q12" s="120">
        <f>COUNTIF(PresençaemFevereiro[14],"U")+COUNTIF(PresençaemFevereiro[14],"E")</f>
        <v>0</v>
      </c>
      <c r="R12" s="120">
        <f>COUNTIF(PresençaemFevereiro[15],"U")+COUNTIF(PresençaemFevereiro[15],"E")</f>
        <v>0</v>
      </c>
      <c r="S12" s="120">
        <f>COUNTIF(PresençaemFevereiro[16],"U")+COUNTIF(PresençaemFevereiro[16],"E")</f>
        <v>0</v>
      </c>
      <c r="T12" s="120">
        <f>COUNTIF(PresençaemFevereiro[17],"U")+COUNTIF(PresençaemFevereiro[17],"E")</f>
        <v>0</v>
      </c>
      <c r="U12" s="120">
        <f>COUNTIF(PresençaemFevereiro[18],"U")+COUNTIF(PresençaemFevereiro[18],"E")</f>
        <v>0</v>
      </c>
      <c r="V12" s="120">
        <f>COUNTIF(PresençaemFevereiro[19],"U")+COUNTIF(PresençaemFevereiro[19],"E")</f>
        <v>0</v>
      </c>
      <c r="W12" s="120">
        <f>COUNTIF(PresençaemFevereiro[20],"U")+COUNTIF(PresençaemFevereiro[20],"E")</f>
        <v>0</v>
      </c>
      <c r="X12" s="120">
        <f>COUNTIF(PresençaemFevereiro[21],"U")+COUNTIF(PresençaemFevereiro[21],"E")</f>
        <v>0</v>
      </c>
      <c r="Y12" s="120">
        <f>COUNTIF(PresençaemFevereiro[22],"U")+COUNTIF(PresençaemFevereiro[22],"E")</f>
        <v>0</v>
      </c>
      <c r="Z12" s="120">
        <f>COUNTIF(PresençaemFevereiro[23],"U")+COUNTIF(PresençaemFevereiro[23],"E")</f>
        <v>0</v>
      </c>
      <c r="AA12" s="120">
        <f>COUNTIF(PresençaemFevereiro[24],"U")+COUNTIF(PresençaemFevereiro[24],"E")</f>
        <v>0</v>
      </c>
      <c r="AB12" s="120">
        <f>COUNTIF(PresençaemFevereiro[25],"U")+COUNTIF(PresençaemFevereiro[25],"E")</f>
        <v>0</v>
      </c>
      <c r="AC12" s="120">
        <f>COUNTIF(PresençaemFevereiro[26],"U")+COUNTIF(PresençaemFevereiro[26],"E")</f>
        <v>0</v>
      </c>
      <c r="AD12" s="120">
        <f>COUNTIF(PresençaemFevereiro[27],"U")+COUNTIF(PresençaemFevereiro[27],"E")</f>
        <v>0</v>
      </c>
      <c r="AE12" s="120">
        <f>COUNTIF(PresençaemFevereiro[28],"U")+COUNTIF(PresençaemFevereiro[28],"E")</f>
        <v>0</v>
      </c>
      <c r="AF12" s="120">
        <f>COUNTIF(PresençaemFevereiro[29],"U")+COUNTIF(PresençaemFevereiro[29],"E")</f>
        <v>0</v>
      </c>
      <c r="AG12" s="120"/>
      <c r="AH12" s="120"/>
      <c r="AI12" s="120">
        <f>SUBTOTAL(109,PresençaemFevereiro[T])</f>
        <v>0</v>
      </c>
      <c r="AJ12" s="120">
        <f>SUBTOTAL(109,PresençaemFevereiro[E])</f>
        <v>0</v>
      </c>
      <c r="AK12" s="120">
        <f>SUBTOTAL(109,PresençaemFevereiro[U])</f>
        <v>0</v>
      </c>
      <c r="AL12" s="120">
        <f>SUBTOTAL(109,PresençaemFevereiro[P])</f>
        <v>0</v>
      </c>
      <c r="AM12" s="120">
        <f>SUBTOTAL(109,PresençaemFevereiro[Dias de Ausência])</f>
        <v>0</v>
      </c>
    </row>
    <row r="13" spans="1:39" ht="16.5" customHeight="1" x14ac:dyDescent="0.25"/>
    <row r="14" spans="1:39" ht="16.5" customHeight="1" x14ac:dyDescent="0.25"/>
    <row r="15" spans="1:39" ht="16.5" customHeight="1" x14ac:dyDescent="0.25"/>
    <row r="16" spans="1:39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6.5" customHeight="1" x14ac:dyDescent="0.25"/>
    <row r="25" ht="16.5" customHeight="1" x14ac:dyDescent="0.25"/>
    <row r="26" ht="16.5" customHeight="1" x14ac:dyDescent="0.25"/>
    <row r="27" ht="16.5" customHeight="1" x14ac:dyDescent="0.25"/>
    <row r="28" ht="16.5" customHeight="1" x14ac:dyDescent="0.25"/>
    <row r="29" ht="16.5" customHeight="1" x14ac:dyDescent="0.25"/>
    <row r="30" ht="16.5" customHeight="1" x14ac:dyDescent="0.25"/>
    <row r="31" ht="16.5" customHeight="1" x14ac:dyDescent="0.25"/>
    <row r="32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I5:AM5"/>
  </mergeCells>
  <conditionalFormatting sqref="AM7:AM11">
    <cfRule type="dataBar" priority="3">
      <dataBar>
        <cfvo type="min"/>
        <cfvo type="num" val="DATEDIF(DATE(AnoCalendário,2,1),DATE(AnoCalendário,3,1),&quot;d&quot;)"/>
        <color theme="4"/>
      </dataBar>
      <extLst>
        <ext xmlns:x14="http://schemas.microsoft.com/office/spreadsheetml/2009/9/main" uri="{B025F937-C7B1-47D3-B67F-A62EFF666E3E}">
          <x14:id>{AB18F5F5-27F6-438D-8C1C-359FFE3EF7E4}</x14:id>
        </ext>
      </extLst>
    </cfRule>
  </conditionalFormatting>
  <conditionalFormatting sqref="AF5:AH5">
    <cfRule type="expression" dxfId="505" priority="2">
      <formula>DATE(AnoCalendário+1,2,AF6)&gt;EOMONTH(DATE(AnoCalendário+1,1,1),1)</formula>
    </cfRule>
  </conditionalFormatting>
  <conditionalFormatting sqref="D7:AF11">
    <cfRule type="expression" dxfId="504" priority="5" stopIfTrue="1">
      <formula>D7=Código2</formula>
    </cfRule>
  </conditionalFormatting>
  <conditionalFormatting sqref="D7:AF11">
    <cfRule type="expression" dxfId="503" priority="6" stopIfTrue="1">
      <formula>D7=Código5</formula>
    </cfRule>
    <cfRule type="expression" dxfId="502" priority="7" stopIfTrue="1">
      <formula>D7=Código4</formula>
    </cfRule>
    <cfRule type="expression" dxfId="501" priority="8" stopIfTrue="1">
      <formula>D7=Código3</formula>
    </cfRule>
    <cfRule type="expression" dxfId="500" priority="9" stopIfTrue="1">
      <formula>D7=Código1</formula>
    </cfRule>
  </conditionalFormatting>
  <conditionalFormatting sqref="AF6:AH6">
    <cfRule type="expression" dxfId="499" priority="1">
      <formula>DATE(AnoCalendário+1,2,AF6)&gt;EOMONTH(DATE(AnoCalendário+1,1,1),1)</formula>
    </cfRule>
  </conditionalFormatting>
  <dataValidations count="1">
    <dataValidation type="list" errorStyle="warning" allowBlank="1" showInputMessage="1" showErrorMessage="1" errorTitle="Ops!" error="A ID de Aluno que você inseriu não está na planilha Lista de Alunos. Você pode clicar em Sim para usar a ID de Aluno inserida, mas ela não estará disponível na planilha Relatório de Presença dos Alunos." sqref="B7:B11">
      <formula1>IDAluno</formula1>
    </dataValidation>
  </dataValidations>
  <printOptions horizontalCentered="1"/>
  <pageMargins left="0.5" right="0.5" top="0.75" bottom="0.75" header="0.3" footer="0.3"/>
  <pageSetup paperSize="9" scale="59" fitToHeight="0" orientation="landscape" verticalDpi="1200" r:id="rId1"/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B18F5F5-27F6-438D-8C1C-359FFE3EF7E4}">
            <x14:dataBar minLength="0" maxLength="100" border="1" negativeBarBorderColorSameAsPositive="0">
              <x14:cfvo type="autoMin"/>
              <x14:cfvo type="num">
                <xm:f>DATEDIF(DATE(AnoCalendário,2,1),DATE(AnoCalendário,3,1),"d")</xm:f>
              </x14:cfvo>
              <x14:borderColor theme="4"/>
              <x14:negativeFillColor rgb="FFFF0000"/>
              <x14:negativeBorderColor rgb="FFFF0000"/>
              <x14:axisColor rgb="FF000000"/>
            </x14:dataBar>
          </x14:cfRule>
          <xm:sqref>AM7:AM11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e5d022ff-4ce9-4922-b5a4-f245e35e2aac">english</DirectSourceMarket>
    <ApprovalStatus xmlns="e5d022ff-4ce9-4922-b5a4-f245e35e2aac">InProgress</ApprovalStatus>
    <MarketSpecific xmlns="e5d022ff-4ce9-4922-b5a4-f245e35e2aac">false</MarketSpecific>
    <LocComments xmlns="e5d022ff-4ce9-4922-b5a4-f245e35e2aac" xsi:nil="true"/>
    <ThumbnailAssetId xmlns="e5d022ff-4ce9-4922-b5a4-f245e35e2aac" xsi:nil="true"/>
    <PrimaryImageGen xmlns="e5d022ff-4ce9-4922-b5a4-f245e35e2aac">true</PrimaryImageGen>
    <LegacyData xmlns="e5d022ff-4ce9-4922-b5a4-f245e35e2aac" xsi:nil="true"/>
    <LocRecommendedHandoff xmlns="e5d022ff-4ce9-4922-b5a4-f245e35e2aac" xsi:nil="true"/>
    <BusinessGroup xmlns="e5d022ff-4ce9-4922-b5a4-f245e35e2aac" xsi:nil="true"/>
    <BlockPublish xmlns="e5d022ff-4ce9-4922-b5a4-f245e35e2aac">false</BlockPublish>
    <TPFriendlyName xmlns="e5d022ff-4ce9-4922-b5a4-f245e35e2aac" xsi:nil="true"/>
    <NumericId xmlns="e5d022ff-4ce9-4922-b5a4-f245e35e2aac" xsi:nil="true"/>
    <APEditor xmlns="e5d022ff-4ce9-4922-b5a4-f245e35e2aac">
      <UserInfo>
        <DisplayName/>
        <AccountId xsi:nil="true"/>
        <AccountType/>
      </UserInfo>
    </APEditor>
    <SourceTitle xmlns="e5d022ff-4ce9-4922-b5a4-f245e35e2aac" xsi:nil="true"/>
    <OpenTemplate xmlns="e5d022ff-4ce9-4922-b5a4-f245e35e2aac">true</OpenTemplate>
    <UALocComments xmlns="e5d022ff-4ce9-4922-b5a4-f245e35e2aac" xsi:nil="true"/>
    <ParentAssetId xmlns="e5d022ff-4ce9-4922-b5a4-f245e35e2aac" xsi:nil="true"/>
    <IntlLangReviewDate xmlns="e5d022ff-4ce9-4922-b5a4-f245e35e2aac" xsi:nil="true"/>
    <FeatureTagsTaxHTField0 xmlns="e5d022ff-4ce9-4922-b5a4-f245e35e2aac">
      <Terms xmlns="http://schemas.microsoft.com/office/infopath/2007/PartnerControls"/>
    </FeatureTagsTaxHTField0>
    <PublishStatusLookup xmlns="e5d022ff-4ce9-4922-b5a4-f245e35e2aac">
      <Value>425383</Value>
    </PublishStatusLookup>
    <Providers xmlns="e5d022ff-4ce9-4922-b5a4-f245e35e2aac" xsi:nil="true"/>
    <MachineTranslated xmlns="e5d022ff-4ce9-4922-b5a4-f245e35e2aac">false</MachineTranslated>
    <OriginalSourceMarket xmlns="e5d022ff-4ce9-4922-b5a4-f245e35e2aac">english</OriginalSourceMarket>
    <APDescription xmlns="e5d022ff-4ce9-4922-b5a4-f245e35e2aac">Teachers can use this handy template to track the attendance of all their students by month and year. Detailed instructions are included.
</APDescription>
    <ClipArtFilename xmlns="e5d022ff-4ce9-4922-b5a4-f245e35e2aac" xsi:nil="true"/>
    <ContentItem xmlns="e5d022ff-4ce9-4922-b5a4-f245e35e2aac" xsi:nil="true"/>
    <TPInstallLocation xmlns="e5d022ff-4ce9-4922-b5a4-f245e35e2aac" xsi:nil="true"/>
    <PublishTargets xmlns="e5d022ff-4ce9-4922-b5a4-f245e35e2aac">OfficeOnlineVNext</PublishTargets>
    <TimesCloned xmlns="e5d022ff-4ce9-4922-b5a4-f245e35e2aac" xsi:nil="true"/>
    <AssetStart xmlns="e5d022ff-4ce9-4922-b5a4-f245e35e2aac">2011-12-15T00:32:00+00:00</AssetStart>
    <Provider xmlns="e5d022ff-4ce9-4922-b5a4-f245e35e2aac" xsi:nil="true"/>
    <AcquiredFrom xmlns="e5d022ff-4ce9-4922-b5a4-f245e35e2aac">Internal MS</AcquiredFrom>
    <FriendlyTitle xmlns="e5d022ff-4ce9-4922-b5a4-f245e35e2aac" xsi:nil="true"/>
    <LastHandOff xmlns="e5d022ff-4ce9-4922-b5a4-f245e35e2aac" xsi:nil="true"/>
    <TPClientViewer xmlns="e5d022ff-4ce9-4922-b5a4-f245e35e2aac" xsi:nil="true"/>
    <UACurrentWords xmlns="e5d022ff-4ce9-4922-b5a4-f245e35e2aac" xsi:nil="true"/>
    <ArtSampleDocs xmlns="e5d022ff-4ce9-4922-b5a4-f245e35e2aac" xsi:nil="true"/>
    <UALocRecommendation xmlns="e5d022ff-4ce9-4922-b5a4-f245e35e2aac">Localize</UALocRecommendation>
    <Manager xmlns="e5d022ff-4ce9-4922-b5a4-f245e35e2aac" xsi:nil="true"/>
    <ShowIn xmlns="e5d022ff-4ce9-4922-b5a4-f245e35e2aac">Show everywhere</ShowIn>
    <UANotes xmlns="e5d022ff-4ce9-4922-b5a4-f245e35e2aac" xsi:nil="true"/>
    <TemplateStatus xmlns="e5d022ff-4ce9-4922-b5a4-f245e35e2aac">Complete</TemplateStatus>
    <InternalTagsTaxHTField0 xmlns="e5d022ff-4ce9-4922-b5a4-f245e35e2aac">
      <Terms xmlns="http://schemas.microsoft.com/office/infopath/2007/PartnerControls"/>
    </InternalTagsTaxHTField0>
    <CSXHash xmlns="e5d022ff-4ce9-4922-b5a4-f245e35e2aac" xsi:nil="true"/>
    <Downloads xmlns="e5d022ff-4ce9-4922-b5a4-f245e35e2aac">0</Downloads>
    <VoteCount xmlns="e5d022ff-4ce9-4922-b5a4-f245e35e2aac" xsi:nil="true"/>
    <OOCacheId xmlns="e5d022ff-4ce9-4922-b5a4-f245e35e2aac" xsi:nil="true"/>
    <IsDeleted xmlns="e5d022ff-4ce9-4922-b5a4-f245e35e2aac">false</IsDeleted>
    <AssetExpire xmlns="e5d022ff-4ce9-4922-b5a4-f245e35e2aac">2035-01-01T08:00:00+00:00</AssetExpire>
    <DSATActionTaken xmlns="e5d022ff-4ce9-4922-b5a4-f245e35e2aac" xsi:nil="true"/>
    <CSXSubmissionMarket xmlns="e5d022ff-4ce9-4922-b5a4-f245e35e2aac" xsi:nil="true"/>
    <TPExecutable xmlns="e5d022ff-4ce9-4922-b5a4-f245e35e2aac" xsi:nil="true"/>
    <SubmitterId xmlns="e5d022ff-4ce9-4922-b5a4-f245e35e2aac" xsi:nil="true"/>
    <EditorialTags xmlns="e5d022ff-4ce9-4922-b5a4-f245e35e2aac" xsi:nil="true"/>
    <ApprovalLog xmlns="e5d022ff-4ce9-4922-b5a4-f245e35e2aac" xsi:nil="true"/>
    <AssetType xmlns="e5d022ff-4ce9-4922-b5a4-f245e35e2aac">TP</AssetType>
    <BugNumber xmlns="e5d022ff-4ce9-4922-b5a4-f245e35e2aac" xsi:nil="true"/>
    <CSXSubmissionDate xmlns="e5d022ff-4ce9-4922-b5a4-f245e35e2aac" xsi:nil="true"/>
    <CSXUpdate xmlns="e5d022ff-4ce9-4922-b5a4-f245e35e2aac">false</CSXUpdate>
    <Milestone xmlns="e5d022ff-4ce9-4922-b5a4-f245e35e2aac" xsi:nil="true"/>
    <RecommendationsModifier xmlns="e5d022ff-4ce9-4922-b5a4-f245e35e2aac" xsi:nil="true"/>
    <OriginAsset xmlns="e5d022ff-4ce9-4922-b5a4-f245e35e2aac" xsi:nil="true"/>
    <TPComponent xmlns="e5d022ff-4ce9-4922-b5a4-f245e35e2aac" xsi:nil="true"/>
    <AssetId xmlns="e5d022ff-4ce9-4922-b5a4-f245e35e2aac">TP102802368</AssetId>
    <IntlLocPriority xmlns="e5d022ff-4ce9-4922-b5a4-f245e35e2aac" xsi:nil="true"/>
    <PolicheckWords xmlns="e5d022ff-4ce9-4922-b5a4-f245e35e2aac" xsi:nil="true"/>
    <TPLaunchHelpLink xmlns="e5d022ff-4ce9-4922-b5a4-f245e35e2aac" xsi:nil="true"/>
    <TPApplication xmlns="e5d022ff-4ce9-4922-b5a4-f245e35e2aac" xsi:nil="true"/>
    <CrawlForDependencies xmlns="e5d022ff-4ce9-4922-b5a4-f245e35e2aac">false</CrawlForDependencies>
    <HandoffToMSDN xmlns="e5d022ff-4ce9-4922-b5a4-f245e35e2aac" xsi:nil="true"/>
    <PlannedPubDate xmlns="e5d022ff-4ce9-4922-b5a4-f245e35e2aac" xsi:nil="true"/>
    <IntlLangReviewer xmlns="e5d022ff-4ce9-4922-b5a4-f245e35e2aac" xsi:nil="true"/>
    <TrustLevel xmlns="e5d022ff-4ce9-4922-b5a4-f245e35e2aac">1 Microsoft Managed Content</TrustLevel>
    <LocLastLocAttemptVersionLookup xmlns="e5d022ff-4ce9-4922-b5a4-f245e35e2aac">712809</LocLastLocAttemptVersionLookup>
    <IsSearchable xmlns="e5d022ff-4ce9-4922-b5a4-f245e35e2aac">true</IsSearchable>
    <TemplateTemplateType xmlns="e5d022ff-4ce9-4922-b5a4-f245e35e2aac">Excel 2007 Default</TemplateTemplateType>
    <CampaignTagsTaxHTField0 xmlns="e5d022ff-4ce9-4922-b5a4-f245e35e2aac">
      <Terms xmlns="http://schemas.microsoft.com/office/infopath/2007/PartnerControls"/>
    </CampaignTagsTaxHTField0>
    <TPNamespace xmlns="e5d022ff-4ce9-4922-b5a4-f245e35e2aac" xsi:nil="true"/>
    <TaxCatchAll xmlns="e5d022ff-4ce9-4922-b5a4-f245e35e2aac"/>
    <Markets xmlns="e5d022ff-4ce9-4922-b5a4-f245e35e2aac"/>
    <UAProjectedTotalWords xmlns="e5d022ff-4ce9-4922-b5a4-f245e35e2aac" xsi:nil="true"/>
    <IntlLangReview xmlns="e5d022ff-4ce9-4922-b5a4-f245e35e2aac">false</IntlLangReview>
    <OutputCachingOn xmlns="e5d022ff-4ce9-4922-b5a4-f245e35e2aac">false</OutputCachingOn>
    <APAuthor xmlns="e5d022ff-4ce9-4922-b5a4-f245e35e2aac">
      <UserInfo>
        <DisplayName>REDMOND\v-aptall</DisplayName>
        <AccountId>2566</AccountId>
        <AccountType/>
      </UserInfo>
    </APAuthor>
    <LocManualTestRequired xmlns="e5d022ff-4ce9-4922-b5a4-f245e35e2aac">false</LocManualTestRequired>
    <TPCommandLine xmlns="e5d022ff-4ce9-4922-b5a4-f245e35e2aac" xsi:nil="true"/>
    <TPAppVersion xmlns="e5d022ff-4ce9-4922-b5a4-f245e35e2aac" xsi:nil="true"/>
    <EditorialStatus xmlns="e5d022ff-4ce9-4922-b5a4-f245e35e2aac">Complete</EditorialStatus>
    <LastModifiedDateTime xmlns="e5d022ff-4ce9-4922-b5a4-f245e35e2aac" xsi:nil="true"/>
    <ScenarioTagsTaxHTField0 xmlns="e5d022ff-4ce9-4922-b5a4-f245e35e2aac">
      <Terms xmlns="http://schemas.microsoft.com/office/infopath/2007/PartnerControls"/>
    </ScenarioTagsTaxHTField0>
    <OriginalRelease xmlns="e5d022ff-4ce9-4922-b5a4-f245e35e2aac">14</OriginalRelease>
    <TPLaunchHelpLinkType xmlns="e5d022ff-4ce9-4922-b5a4-f245e35e2aac">Template</TPLaunchHelpLinkType>
    <LocalizationTagsTaxHTField0 xmlns="e5d022ff-4ce9-4922-b5a4-f245e35e2aac">
      <Terms xmlns="http://schemas.microsoft.com/office/infopath/2007/PartnerControls"/>
    </LocalizationTagsTaxHTField0>
    <LocMarketGroupTiers2 xmlns="e5d022ff-4ce9-4922-b5a4-f245e35e2aa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F49177-07E4-4945-8B2E-E6385401DEBD}"/>
</file>

<file path=customXml/itemProps2.xml><?xml version="1.0" encoding="utf-8"?>
<ds:datastoreItem xmlns:ds="http://schemas.openxmlformats.org/officeDocument/2006/customXml" ds:itemID="{06CD18CD-13F4-472B-B1AB-DDBE2AC449C0}"/>
</file>

<file path=customXml/itemProps3.xml><?xml version="1.0" encoding="utf-8"?>
<ds:datastoreItem xmlns:ds="http://schemas.openxmlformats.org/officeDocument/2006/customXml" ds:itemID="{5D2363AF-9DFA-4E9A-B753-424F89BE964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16</vt:i4>
      </vt:variant>
    </vt:vector>
  </HeadingPairs>
  <TitlesOfParts>
    <vt:vector size="31" baseType="lpstr">
      <vt:lpstr>Como usar este modelo</vt:lpstr>
      <vt:lpstr>Lista de Alunos</vt:lpstr>
      <vt:lpstr>Agosto</vt:lpstr>
      <vt:lpstr>Setembro</vt:lpstr>
      <vt:lpstr>Outubro</vt:lpstr>
      <vt:lpstr>Novembro</vt:lpstr>
      <vt:lpstr>Dezembro</vt:lpstr>
      <vt:lpstr>Janeiro</vt:lpstr>
      <vt:lpstr>Fevereiro</vt:lpstr>
      <vt:lpstr>Março</vt:lpstr>
      <vt:lpstr>Abril</vt:lpstr>
      <vt:lpstr>Maio</vt:lpstr>
      <vt:lpstr>Junho</vt:lpstr>
      <vt:lpstr>Julho</vt:lpstr>
      <vt:lpstr>Relatório de Presença do Aluno</vt:lpstr>
      <vt:lpstr>AnoCalendário</vt:lpstr>
      <vt:lpstr>Código1</vt:lpstr>
      <vt:lpstr>Código2</vt:lpstr>
      <vt:lpstr>Código3</vt:lpstr>
      <vt:lpstr>Código4</vt:lpstr>
      <vt:lpstr>Código5</vt:lpstr>
      <vt:lpstr>IDAluno</vt:lpstr>
      <vt:lpstr>'Lista de Alunos'!Imprimir_Títulos</vt:lpstr>
      <vt:lpstr>NomedoAluno</vt:lpstr>
      <vt:lpstr>PesquisadeAlunos</vt:lpstr>
      <vt:lpstr>TextodaChavedeCor</vt:lpstr>
      <vt:lpstr>TextodeCódigo1</vt:lpstr>
      <vt:lpstr>TextodeCódigo2</vt:lpstr>
      <vt:lpstr>TextodeCódigo3</vt:lpstr>
      <vt:lpstr>TextodeCódigo4</vt:lpstr>
      <vt:lpstr>TextodeCódigo5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Server Administrator</cp:lastModifiedBy>
  <dcterms:created xsi:type="dcterms:W3CDTF">2011-04-01T16:06:21Z</dcterms:created>
  <dcterms:modified xsi:type="dcterms:W3CDTF">2013-04-19T13:37:30Z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0x01010062057737089D604C8995D725789FFFFD0400C05BDBFCDB0BE84BA6AEC1D1A4F5E4CE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