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91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845"/>
  </bookViews>
  <sheets>
    <sheet name="Receitas (Vendas)" sheetId="2" r:id="rId1"/>
    <sheet name="Custo de vendas" sheetId="3" r:id="rId2"/>
    <sheet name="Despesas" sheetId="4" r:id="rId3"/>
  </sheets>
  <definedNames>
    <definedName name="AnoInícioAF">'Receitas (Vendas)'!$AD$2</definedName>
    <definedName name="InícioMêsAF">'Receitas (Vendas)'!$AC$2</definedName>
    <definedName name="Nome_Empresa">'Receitas (Vendas)'!$AD$1</definedName>
    <definedName name="NúmMêsAF">IF(InícioMêsAF="JAN",1,IF(InícioMêsAF="FEV",2,IF(InícioMêsAF="MAR",3,IF(InícioMêsAF="ABR",4,IF(InícioMêsAF="MAI",5,IF(InícioMêsAF="JUN",6,IF(InícioMêsAF="JUL",7,IF(InícioMêsAF="AGO",8,IF(InícioMêsAF="SET",9,IF(InícioMêsAF="OUT",10,IF(InícioMêsAF="NOV",11,12)))))))))))</definedName>
    <definedName name="Título_Período_Projeção">'Receitas (Vendas)'!$B$1</definedName>
    <definedName name="Título_Planilha">'Receitas (Vendas)'!$B$2</definedName>
    <definedName name="Título1">Receita[[#Headers],[RECEITAS (VENDAS)]]</definedName>
    <definedName name="Título2">CustodeVendas[[#Headers],[CUSTO DE VENDAS]]</definedName>
    <definedName name="Título3">tblDespesas[[#Headers],[DESPESAS]]</definedName>
    <definedName name="_xlnm.Print_Titles" localSheetId="1">'Custo de vendas'!$3:$4</definedName>
    <definedName name="_xlnm.Print_Titles" localSheetId="2">Despesas!$3:$4</definedName>
    <definedName name="_xlnm.Print_Titles" localSheetId="0">'Receitas (Vendas)'!$3:$4</definedName>
  </definedNames>
  <calcPr calcId="162913"/>
</workbook>
</file>

<file path=xl/calcChain.xml><?xml version="1.0" encoding="utf-8"?>
<calcChain xmlns="http://schemas.openxmlformats.org/spreadsheetml/2006/main">
  <c r="B2" i="4" l="1"/>
  <c r="B2" i="3"/>
  <c r="B1" i="3"/>
  <c r="B1" i="4"/>
  <c r="AD1" i="4"/>
  <c r="AC2" i="4"/>
  <c r="AC24" i="4"/>
  <c r="AB24" i="4"/>
  <c r="AA24" i="4"/>
  <c r="Z24" i="4"/>
  <c r="Y24" i="4"/>
  <c r="X24" i="4"/>
  <c r="W24" i="4"/>
  <c r="V24" i="4"/>
  <c r="U24" i="4"/>
  <c r="T24" i="4"/>
  <c r="S24" i="4"/>
  <c r="R24" i="4"/>
  <c r="R6" i="4"/>
  <c r="S6" i="4"/>
  <c r="T6" i="4"/>
  <c r="U6" i="4"/>
  <c r="V6" i="4"/>
  <c r="W6" i="4"/>
  <c r="X6" i="4"/>
  <c r="Y6" i="4"/>
  <c r="Z6" i="4"/>
  <c r="AA6" i="4"/>
  <c r="AB6" i="4"/>
  <c r="AC6" i="4"/>
  <c r="R7" i="4"/>
  <c r="S7" i="4"/>
  <c r="T7" i="4"/>
  <c r="U7" i="4"/>
  <c r="V7" i="4"/>
  <c r="W7" i="4"/>
  <c r="X7" i="4"/>
  <c r="Y7" i="4"/>
  <c r="Z7" i="4"/>
  <c r="AA7" i="4"/>
  <c r="AB7" i="4"/>
  <c r="AC7" i="4"/>
  <c r="R8" i="4"/>
  <c r="S8" i="4"/>
  <c r="T8" i="4"/>
  <c r="U8" i="4"/>
  <c r="V8" i="4"/>
  <c r="W8" i="4"/>
  <c r="X8" i="4"/>
  <c r="Y8" i="4"/>
  <c r="Z8" i="4"/>
  <c r="AA8" i="4"/>
  <c r="AB8" i="4"/>
  <c r="AC8" i="4"/>
  <c r="R9" i="4"/>
  <c r="S9" i="4"/>
  <c r="T9" i="4"/>
  <c r="U9" i="4"/>
  <c r="V9" i="4"/>
  <c r="W9" i="4"/>
  <c r="X9" i="4"/>
  <c r="Y9" i="4"/>
  <c r="Z9" i="4"/>
  <c r="AA9" i="4"/>
  <c r="AB9" i="4"/>
  <c r="AC9" i="4"/>
  <c r="R10" i="4"/>
  <c r="S10" i="4"/>
  <c r="T10" i="4"/>
  <c r="U10" i="4"/>
  <c r="V10" i="4"/>
  <c r="W10" i="4"/>
  <c r="X10" i="4"/>
  <c r="Y10" i="4"/>
  <c r="Z10" i="4"/>
  <c r="AA10" i="4"/>
  <c r="AB10" i="4"/>
  <c r="AC10" i="4"/>
  <c r="R11" i="4"/>
  <c r="S11" i="4"/>
  <c r="T11" i="4"/>
  <c r="U11" i="4"/>
  <c r="V11" i="4"/>
  <c r="W11" i="4"/>
  <c r="X11" i="4"/>
  <c r="Y11" i="4"/>
  <c r="Z11" i="4"/>
  <c r="AA11" i="4"/>
  <c r="AB11" i="4"/>
  <c r="AC11" i="4"/>
  <c r="R12" i="4"/>
  <c r="S12" i="4"/>
  <c r="T12" i="4"/>
  <c r="U12" i="4"/>
  <c r="V12" i="4"/>
  <c r="W12" i="4"/>
  <c r="X12" i="4"/>
  <c r="Y12" i="4"/>
  <c r="Z12" i="4"/>
  <c r="AA12" i="4"/>
  <c r="AB12" i="4"/>
  <c r="AC12" i="4"/>
  <c r="R13" i="4"/>
  <c r="S13" i="4"/>
  <c r="T13" i="4"/>
  <c r="U13" i="4"/>
  <c r="V13" i="4"/>
  <c r="W13" i="4"/>
  <c r="X13" i="4"/>
  <c r="Y13" i="4"/>
  <c r="Z13" i="4"/>
  <c r="AA13" i="4"/>
  <c r="AB13" i="4"/>
  <c r="AC13" i="4"/>
  <c r="R14" i="4"/>
  <c r="S14" i="4"/>
  <c r="T14" i="4"/>
  <c r="U14" i="4"/>
  <c r="V14" i="4"/>
  <c r="W14" i="4"/>
  <c r="X14" i="4"/>
  <c r="Y14" i="4"/>
  <c r="Z14" i="4"/>
  <c r="AA14" i="4"/>
  <c r="AB14" i="4"/>
  <c r="AC14" i="4"/>
  <c r="R15" i="4"/>
  <c r="S15" i="4"/>
  <c r="T15" i="4"/>
  <c r="U15" i="4"/>
  <c r="V15" i="4"/>
  <c r="W15" i="4"/>
  <c r="X15" i="4"/>
  <c r="Y15" i="4"/>
  <c r="Z15" i="4"/>
  <c r="AA15" i="4"/>
  <c r="AB15" i="4"/>
  <c r="AC15" i="4"/>
  <c r="R16" i="4"/>
  <c r="S16" i="4"/>
  <c r="T16" i="4"/>
  <c r="U16" i="4"/>
  <c r="V16" i="4"/>
  <c r="W16" i="4"/>
  <c r="X16" i="4"/>
  <c r="Y16" i="4"/>
  <c r="Z16" i="4"/>
  <c r="AA16" i="4"/>
  <c r="AB16" i="4"/>
  <c r="AC16" i="4"/>
  <c r="R17" i="4"/>
  <c r="S17" i="4"/>
  <c r="T17" i="4"/>
  <c r="U17" i="4"/>
  <c r="V17" i="4"/>
  <c r="W17" i="4"/>
  <c r="X17" i="4"/>
  <c r="Y17" i="4"/>
  <c r="Z17" i="4"/>
  <c r="AA17" i="4"/>
  <c r="AB17" i="4"/>
  <c r="AC17" i="4"/>
  <c r="R18" i="4"/>
  <c r="S18" i="4"/>
  <c r="T18" i="4"/>
  <c r="U18" i="4"/>
  <c r="V18" i="4"/>
  <c r="W18" i="4"/>
  <c r="X18" i="4"/>
  <c r="Y18" i="4"/>
  <c r="Z18" i="4"/>
  <c r="AA18" i="4"/>
  <c r="AB18" i="4"/>
  <c r="AC18" i="4"/>
  <c r="R19" i="4"/>
  <c r="S19" i="4"/>
  <c r="T19" i="4"/>
  <c r="U19" i="4"/>
  <c r="V19" i="4"/>
  <c r="W19" i="4"/>
  <c r="X19" i="4"/>
  <c r="Y19" i="4"/>
  <c r="Z19" i="4"/>
  <c r="AA19" i="4"/>
  <c r="AB19" i="4"/>
  <c r="AC19" i="4"/>
  <c r="R20" i="4"/>
  <c r="S20" i="4"/>
  <c r="T20" i="4"/>
  <c r="U20" i="4"/>
  <c r="V20" i="4"/>
  <c r="W20" i="4"/>
  <c r="X20" i="4"/>
  <c r="Y20" i="4"/>
  <c r="Z20" i="4"/>
  <c r="AA20" i="4"/>
  <c r="AB20" i="4"/>
  <c r="AC20" i="4"/>
  <c r="R21" i="4"/>
  <c r="S21" i="4"/>
  <c r="T21" i="4"/>
  <c r="U21" i="4"/>
  <c r="V21" i="4"/>
  <c r="W21" i="4"/>
  <c r="X21" i="4"/>
  <c r="Y21" i="4"/>
  <c r="Z21" i="4"/>
  <c r="AA21" i="4"/>
  <c r="AB21" i="4"/>
  <c r="AC21" i="4"/>
  <c r="R22" i="4"/>
  <c r="S22" i="4"/>
  <c r="T22" i="4"/>
  <c r="U22" i="4"/>
  <c r="V22" i="4"/>
  <c r="W22" i="4"/>
  <c r="X22" i="4"/>
  <c r="Y22" i="4"/>
  <c r="Z22" i="4"/>
  <c r="AA22" i="4"/>
  <c r="AB22" i="4"/>
  <c r="AC22" i="4"/>
  <c r="R23" i="4"/>
  <c r="S23" i="4"/>
  <c r="T23" i="4"/>
  <c r="U23" i="4"/>
  <c r="V23" i="4"/>
  <c r="W23" i="4"/>
  <c r="X23" i="4"/>
  <c r="Y23" i="4"/>
  <c r="Z23" i="4"/>
  <c r="AA23" i="4"/>
  <c r="AB23" i="4"/>
  <c r="AC23" i="4"/>
  <c r="S5" i="4"/>
  <c r="T5" i="4"/>
  <c r="U5" i="4"/>
  <c r="V5" i="4"/>
  <c r="W5" i="4"/>
  <c r="X5" i="4"/>
  <c r="Y5" i="4"/>
  <c r="Z5" i="4"/>
  <c r="AA5" i="4"/>
  <c r="AB5" i="4"/>
  <c r="AC5" i="4"/>
  <c r="R5" i="4"/>
  <c r="Q24" i="4"/>
  <c r="P5" i="4"/>
  <c r="P6" i="4"/>
  <c r="P7" i="4"/>
  <c r="P8" i="4"/>
  <c r="P9" i="4"/>
  <c r="P10" i="4"/>
  <c r="P11" i="4"/>
  <c r="P12" i="4"/>
  <c r="P13" i="4"/>
  <c r="P14" i="4"/>
  <c r="P15" i="4"/>
  <c r="P17" i="4"/>
  <c r="P18" i="4"/>
  <c r="P19" i="4"/>
  <c r="P20" i="4"/>
  <c r="P21" i="4"/>
  <c r="P22" i="4"/>
  <c r="P23" i="4"/>
  <c r="P16" i="4"/>
  <c r="O24" i="4"/>
  <c r="N24" i="4"/>
  <c r="M24" i="4"/>
  <c r="L24" i="4"/>
  <c r="K24" i="4"/>
  <c r="J24" i="4"/>
  <c r="I24" i="4"/>
  <c r="H24" i="4"/>
  <c r="G24" i="4"/>
  <c r="F24" i="4"/>
  <c r="E24" i="4"/>
  <c r="D24" i="4"/>
  <c r="H14" i="3"/>
  <c r="K14" i="3"/>
  <c r="L14" i="3"/>
  <c r="O14" i="3"/>
  <c r="D14" i="3"/>
  <c r="G26" i="4" s="1"/>
  <c r="AD1" i="3"/>
  <c r="AC2" i="3"/>
  <c r="R6" i="3"/>
  <c r="S6" i="3"/>
  <c r="T6" i="3"/>
  <c r="U6" i="3"/>
  <c r="V6" i="3"/>
  <c r="W6" i="3"/>
  <c r="X6" i="3"/>
  <c r="Y6" i="3"/>
  <c r="Z6" i="3"/>
  <c r="AA6" i="3"/>
  <c r="AB6" i="3"/>
  <c r="AC6" i="3"/>
  <c r="R7" i="3"/>
  <c r="S7" i="3"/>
  <c r="T7" i="3"/>
  <c r="U7" i="3"/>
  <c r="V7" i="3"/>
  <c r="W7" i="3"/>
  <c r="X7" i="3"/>
  <c r="Y7" i="3"/>
  <c r="Z7" i="3"/>
  <c r="AA7" i="3"/>
  <c r="AB7" i="3"/>
  <c r="AC7" i="3"/>
  <c r="R8" i="3"/>
  <c r="S8" i="3"/>
  <c r="T8" i="3"/>
  <c r="U8" i="3"/>
  <c r="V8" i="3"/>
  <c r="W8" i="3"/>
  <c r="X8" i="3"/>
  <c r="Y8" i="3"/>
  <c r="Z8" i="3"/>
  <c r="AA8" i="3"/>
  <c r="AB8" i="3"/>
  <c r="AC8" i="3"/>
  <c r="R9" i="3"/>
  <c r="S9" i="3"/>
  <c r="T9" i="3"/>
  <c r="U9" i="3"/>
  <c r="V9" i="3"/>
  <c r="W9" i="3"/>
  <c r="X9" i="3"/>
  <c r="Y9" i="3"/>
  <c r="Z9" i="3"/>
  <c r="AA9" i="3"/>
  <c r="AB9" i="3"/>
  <c r="AC9" i="3"/>
  <c r="R10" i="3"/>
  <c r="S10" i="3"/>
  <c r="T10" i="3"/>
  <c r="U10" i="3"/>
  <c r="V10" i="3"/>
  <c r="W10" i="3"/>
  <c r="X10" i="3"/>
  <c r="Y10" i="3"/>
  <c r="Z10" i="3"/>
  <c r="AA10" i="3"/>
  <c r="AB10" i="3"/>
  <c r="AC10" i="3"/>
  <c r="R11" i="3"/>
  <c r="S11" i="3"/>
  <c r="T11" i="3"/>
  <c r="U11" i="3"/>
  <c r="V11" i="3"/>
  <c r="W11" i="3"/>
  <c r="X11" i="3"/>
  <c r="Y11" i="3"/>
  <c r="Z11" i="3"/>
  <c r="AA11" i="3"/>
  <c r="AA12" i="3" s="1"/>
  <c r="AB11" i="3"/>
  <c r="AC11" i="3"/>
  <c r="S5" i="3"/>
  <c r="T5" i="3"/>
  <c r="U5" i="3"/>
  <c r="V5" i="3"/>
  <c r="V12" i="3" s="1"/>
  <c r="W5" i="3"/>
  <c r="X5" i="3"/>
  <c r="Y5" i="3"/>
  <c r="Z5" i="3"/>
  <c r="Z12" i="3" s="1"/>
  <c r="AA5" i="3"/>
  <c r="AB5" i="3"/>
  <c r="AC5" i="3"/>
  <c r="R5" i="3"/>
  <c r="P6" i="3"/>
  <c r="AD6" i="3" s="1"/>
  <c r="P7" i="3"/>
  <c r="AD7" i="3" s="1"/>
  <c r="P8" i="3"/>
  <c r="P9" i="3"/>
  <c r="P12" i="3" s="1"/>
  <c r="P10" i="3"/>
  <c r="AD10" i="3" s="1"/>
  <c r="P11" i="3"/>
  <c r="AD11" i="3" s="1"/>
  <c r="P5" i="3"/>
  <c r="AC12" i="3"/>
  <c r="AB12" i="3"/>
  <c r="Y12" i="3"/>
  <c r="X12" i="3"/>
  <c r="W12" i="3"/>
  <c r="U12" i="3"/>
  <c r="T12" i="3"/>
  <c r="S12" i="3"/>
  <c r="R12" i="3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S6" i="2"/>
  <c r="V6" i="2"/>
  <c r="W6" i="2"/>
  <c r="Z6" i="2"/>
  <c r="AA6" i="2"/>
  <c r="S7" i="2"/>
  <c r="T7" i="2"/>
  <c r="T8" i="2"/>
  <c r="Y8" i="2"/>
  <c r="AC8" i="2"/>
  <c r="V9" i="2"/>
  <c r="Y9" i="2"/>
  <c r="Z9" i="2"/>
  <c r="AC9" i="2"/>
  <c r="S10" i="2"/>
  <c r="V10" i="2"/>
  <c r="W10" i="2"/>
  <c r="Z10" i="2"/>
  <c r="AA10" i="2"/>
  <c r="S11" i="2"/>
  <c r="T11" i="2"/>
  <c r="V5" i="2"/>
  <c r="Y5" i="2"/>
  <c r="Z5" i="2"/>
  <c r="AC5" i="2"/>
  <c r="S5" i="2"/>
  <c r="R9" i="2"/>
  <c r="P6" i="2"/>
  <c r="P7" i="2"/>
  <c r="P8" i="2"/>
  <c r="P9" i="2"/>
  <c r="P10" i="2"/>
  <c r="P11" i="2"/>
  <c r="P5" i="2"/>
  <c r="H12" i="2"/>
  <c r="V8" i="2" s="1"/>
  <c r="I12" i="2"/>
  <c r="I14" i="3" s="1"/>
  <c r="J12" i="2"/>
  <c r="X6" i="2" s="1"/>
  <c r="K12" i="2"/>
  <c r="Y7" i="2" s="1"/>
  <c r="L12" i="2"/>
  <c r="Z8" i="2" s="1"/>
  <c r="M12" i="2"/>
  <c r="M14" i="3" s="1"/>
  <c r="N12" i="2"/>
  <c r="AB6" i="2" s="1"/>
  <c r="O12" i="2"/>
  <c r="AC7" i="2" s="1"/>
  <c r="Q12" i="2"/>
  <c r="G12" i="2"/>
  <c r="U7" i="2" s="1"/>
  <c r="F12" i="2"/>
  <c r="T6" i="2" s="1"/>
  <c r="E12" i="2"/>
  <c r="E14" i="3" s="1"/>
  <c r="D12" i="2"/>
  <c r="R5" i="2" s="1"/>
  <c r="X11" i="2" l="1"/>
  <c r="U8" i="2"/>
  <c r="AB7" i="2"/>
  <c r="N26" i="4"/>
  <c r="U5" i="2"/>
  <c r="W11" i="2"/>
  <c r="U9" i="2"/>
  <c r="X8" i="2"/>
  <c r="AA7" i="2"/>
  <c r="G14" i="3"/>
  <c r="R11" i="2"/>
  <c r="R7" i="2"/>
  <c r="AB5" i="2"/>
  <c r="X5" i="2"/>
  <c r="T5" i="2"/>
  <c r="Z11" i="2"/>
  <c r="Z12" i="2" s="1"/>
  <c r="V11" i="2"/>
  <c r="AC10" i="2"/>
  <c r="Y10" i="2"/>
  <c r="U10" i="2"/>
  <c r="AB9" i="2"/>
  <c r="X9" i="2"/>
  <c r="T9" i="2"/>
  <c r="AA8" i="2"/>
  <c r="W8" i="2"/>
  <c r="S8" i="2"/>
  <c r="S12" i="2" s="1"/>
  <c r="Z7" i="2"/>
  <c r="V7" i="2"/>
  <c r="V12" i="2" s="1"/>
  <c r="AC6" i="2"/>
  <c r="Y6" i="2"/>
  <c r="U6" i="2"/>
  <c r="N14" i="3"/>
  <c r="J14" i="3"/>
  <c r="F14" i="3"/>
  <c r="D26" i="4"/>
  <c r="L26" i="4"/>
  <c r="H26" i="4"/>
  <c r="AB11" i="2"/>
  <c r="X7" i="2"/>
  <c r="J26" i="4"/>
  <c r="F26" i="4"/>
  <c r="R8" i="2"/>
  <c r="AA11" i="2"/>
  <c r="AB8" i="2"/>
  <c r="W7" i="2"/>
  <c r="M26" i="4"/>
  <c r="I26" i="4"/>
  <c r="E26" i="4"/>
  <c r="R10" i="2"/>
  <c r="R6" i="2"/>
  <c r="R12" i="2" s="1"/>
  <c r="AA5" i="2"/>
  <c r="W5" i="2"/>
  <c r="AC11" i="2"/>
  <c r="Y11" i="2"/>
  <c r="U11" i="2"/>
  <c r="AB10" i="2"/>
  <c r="X10" i="2"/>
  <c r="T10" i="2"/>
  <c r="AA9" i="2"/>
  <c r="W9" i="2"/>
  <c r="S9" i="2"/>
  <c r="O26" i="4"/>
  <c r="K26" i="4"/>
  <c r="P24" i="4"/>
  <c r="AD5" i="3"/>
  <c r="AD8" i="3"/>
  <c r="AD9" i="3"/>
  <c r="P12" i="2"/>
  <c r="AD2" i="2"/>
  <c r="AD2" i="4" s="1"/>
  <c r="Y12" i="2" l="1"/>
  <c r="X12" i="2"/>
  <c r="AC12" i="2"/>
  <c r="AB12" i="2"/>
  <c r="W12" i="2"/>
  <c r="AA12" i="2"/>
  <c r="U12" i="2"/>
  <c r="T12" i="2"/>
  <c r="AD5" i="2"/>
  <c r="P14" i="3"/>
  <c r="AD5" i="4"/>
  <c r="AD19" i="4"/>
  <c r="AD23" i="4"/>
  <c r="AD17" i="4"/>
  <c r="AD21" i="4"/>
  <c r="AD14" i="4"/>
  <c r="AD20" i="4"/>
  <c r="AD18" i="4"/>
  <c r="AD7" i="4"/>
  <c r="AD16" i="4"/>
  <c r="AD13" i="4"/>
  <c r="AD11" i="4"/>
  <c r="AD12" i="4"/>
  <c r="AD6" i="4"/>
  <c r="AD10" i="4"/>
  <c r="AD15" i="4"/>
  <c r="AD9" i="4"/>
  <c r="AD8" i="4"/>
  <c r="AD22" i="4"/>
  <c r="N3" i="4"/>
  <c r="O3" i="4"/>
  <c r="AC3" i="4" s="1"/>
  <c r="L3" i="4"/>
  <c r="Z3" i="4" s="1"/>
  <c r="M3" i="4"/>
  <c r="AA3" i="4" s="1"/>
  <c r="J3" i="4"/>
  <c r="X3" i="4" s="1"/>
  <c r="K3" i="4"/>
  <c r="Y3" i="4" s="1"/>
  <c r="H3" i="4"/>
  <c r="V3" i="4" s="1"/>
  <c r="I3" i="4"/>
  <c r="W3" i="4" s="1"/>
  <c r="F3" i="4"/>
  <c r="T3" i="4" s="1"/>
  <c r="G3" i="4"/>
  <c r="U3" i="4" s="1"/>
  <c r="D3" i="4"/>
  <c r="R3" i="4" s="1"/>
  <c r="E3" i="4"/>
  <c r="S3" i="4" s="1"/>
  <c r="AB3" i="4"/>
  <c r="AD2" i="3"/>
  <c r="AD12" i="3"/>
  <c r="N3" i="3"/>
  <c r="AB3" i="3" s="1"/>
  <c r="O3" i="3"/>
  <c r="AC3" i="3" s="1"/>
  <c r="L3" i="3"/>
  <c r="Z3" i="3" s="1"/>
  <c r="M3" i="3"/>
  <c r="AA3" i="3" s="1"/>
  <c r="J3" i="3"/>
  <c r="X3" i="3" s="1"/>
  <c r="K3" i="3"/>
  <c r="Y3" i="3" s="1"/>
  <c r="H3" i="3"/>
  <c r="V3" i="3" s="1"/>
  <c r="I3" i="3"/>
  <c r="W3" i="3" s="1"/>
  <c r="F3" i="3"/>
  <c r="T3" i="3" s="1"/>
  <c r="G3" i="3"/>
  <c r="U3" i="3" s="1"/>
  <c r="E3" i="3"/>
  <c r="S3" i="3" s="1"/>
  <c r="D3" i="3"/>
  <c r="R3" i="3" s="1"/>
  <c r="O3" i="2"/>
  <c r="AD7" i="2"/>
  <c r="AD8" i="2"/>
  <c r="AD11" i="2"/>
  <c r="AD6" i="2"/>
  <c r="AD10" i="2"/>
  <c r="AD9" i="2"/>
  <c r="M3" i="2"/>
  <c r="N3" i="2"/>
  <c r="K3" i="2"/>
  <c r="L3" i="2"/>
  <c r="I3" i="2"/>
  <c r="J3" i="2"/>
  <c r="G3" i="2"/>
  <c r="H3" i="2"/>
  <c r="E3" i="2"/>
  <c r="F3" i="2"/>
  <c r="D3" i="2"/>
  <c r="AC3" i="2" l="1"/>
  <c r="AB3" i="2"/>
  <c r="AA3" i="2"/>
  <c r="Z3" i="2"/>
  <c r="Y3" i="2"/>
  <c r="X3" i="2"/>
  <c r="W3" i="2"/>
  <c r="V3" i="2"/>
  <c r="U3" i="2"/>
  <c r="T3" i="2"/>
  <c r="S3" i="2"/>
  <c r="R3" i="2"/>
  <c r="AD24" i="4" l="1"/>
  <c r="P26" i="4"/>
  <c r="X26" i="4" s="1"/>
  <c r="Z14" i="3"/>
  <c r="AD12" i="2" l="1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<sst xmlns="http://schemas.openxmlformats.org/spreadsheetml/2006/main" count="160" uniqueCount="78">
  <si>
    <t>Doze meses</t>
  </si>
  <si>
    <t>PROJEÇÃO DE LUCROS E PERDAS</t>
  </si>
  <si>
    <t>RECEITAS (VENDAS)</t>
  </si>
  <si>
    <t>Receita 1</t>
  </si>
  <si>
    <t>Receita 2</t>
  </si>
  <si>
    <t>Receita 3</t>
  </si>
  <si>
    <t>Receita 4</t>
  </si>
  <si>
    <t>Receita 5</t>
  </si>
  <si>
    <t>Receita 6</t>
  </si>
  <si>
    <t>Receita 7</t>
  </si>
  <si>
    <t>TOTAL DE VENDAS</t>
  </si>
  <si>
    <t>TENDÊNCIA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</si>
  <si>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</si>
  <si>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</si>
  <si>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</si>
  <si>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</si>
  <si>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</si>
  <si>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</si>
  <si>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</si>
  <si>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</si>
  <si>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</si>
  <si>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</si>
  <si>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</si>
  <si>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</si>
  <si>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ANUALMENTE</t>
  </si>
  <si>
    <t>Anualmente</t>
  </si>
  <si>
    <t>ÍND %</t>
  </si>
  <si>
    <t>Índice %</t>
  </si>
  <si>
    <t>Jan %</t>
  </si>
  <si>
    <t>Fev %</t>
  </si>
  <si>
    <t>Mar %</t>
  </si>
  <si>
    <t>Abr %</t>
  </si>
  <si>
    <t>Mai %</t>
  </si>
  <si>
    <t>Jun %</t>
  </si>
  <si>
    <t>Jul %</t>
  </si>
  <si>
    <t>Ago %</t>
  </si>
  <si>
    <t>Set %</t>
  </si>
  <si>
    <t>Out %</t>
  </si>
  <si>
    <t>INÍCIO DO ANO FISCAL:</t>
  </si>
  <si>
    <t>Nov %</t>
  </si>
  <si>
    <t>JAN</t>
  </si>
  <si>
    <t>Dez %</t>
  </si>
  <si>
    <t>Nome da Empresa</t>
  </si>
  <si>
    <t>ANO %</t>
  </si>
  <si>
    <t>Ano %</t>
  </si>
  <si>
    <t>CUSTO DE VENDAS</t>
  </si>
  <si>
    <t>Custo 1</t>
  </si>
  <si>
    <t>Custo 2</t>
  </si>
  <si>
    <t>Custo 3</t>
  </si>
  <si>
    <t>Custo 4</t>
  </si>
  <si>
    <t>Custo 5</t>
  </si>
  <si>
    <t>Custo 6</t>
  </si>
  <si>
    <t>Custo 7</t>
  </si>
  <si>
    <t>CUSTO TOTAL DE VENDAS</t>
  </si>
  <si>
    <t>Lucro Bruto</t>
  </si>
  <si>
    <t>ANO FISCAL:</t>
  </si>
  <si>
    <t>DESPESAS</t>
  </si>
  <si>
    <t xml:space="preserve">Despesas com salário </t>
  </si>
  <si>
    <t xml:space="preserve">Descontos na folha de pagamento </t>
  </si>
  <si>
    <t>Serviços externos</t>
  </si>
  <si>
    <t>Suprimentos (escritório e operações)</t>
  </si>
  <si>
    <t>Reparos e manutenção</t>
  </si>
  <si>
    <t>Publicidade</t>
  </si>
  <si>
    <t>Carro, viagens e entregas</t>
  </si>
  <si>
    <t>Contabilidade e jurídico</t>
  </si>
  <si>
    <t>Aluguel</t>
  </si>
  <si>
    <t>Telefone</t>
  </si>
  <si>
    <t>Utilitários</t>
  </si>
  <si>
    <t>Seguro</t>
  </si>
  <si>
    <t>Impostos (imóveis, etc.)</t>
  </si>
  <si>
    <t>Juros</t>
  </si>
  <si>
    <t>Depreciação</t>
  </si>
  <si>
    <t>Outras despesas (especificar)</t>
  </si>
  <si>
    <t>Diversos (não especificado)</t>
  </si>
  <si>
    <t>DESPESAS TOTAIS</t>
  </si>
  <si>
    <t>Lucro Líquido</t>
  </si>
  <si>
    <t xml:space="preserve"> </t>
  </si>
  <si>
    <t>Coluna1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</si>
</sst>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R$&quot;\ * #,##0_-;\-&quot;R$&quot;\ * #,##0_-;_-&quot;R$&quot;\ 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4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12" fillId="3" borderId="4" applyNumberFormat="0" applyFont="0" applyAlignment="0"/>
    <xf numFmtId="164" fontId="12" fillId="6" borderId="4" applyNumberFormat="0" applyFont="0" applyAlignment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42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42" fontId="12" fillId="0" borderId="0" xfId="6" applyFill="1" applyBorder="1"/>
    <xf numFmtId="0" fontId="0" fillId="0" borderId="0" xfId="0" applyAlignment="1">
      <alignment horizontal="center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4" fontId="11" fillId="0" borderId="2" xfId="14">
      <alignment horizontal="center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42" fontId="12" fillId="5" borderId="4" xfId="6" applyFill="1" applyBorder="1" applyAlignment="1">
      <alignment horizontal="center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9" fontId="0" fillId="0" borderId="0" xfId="0" applyNumberFormat="1" applyFont="1" applyFill="1" applyBorder="1" applyAlignment="1" applyProtection="1"/>
    <xf numFmtId="42" fontId="0" fillId="0" borderId="0" xfId="0" applyNumberFormat="1" applyFont="1" applyFill="1" applyBorder="1"/>
    <xf numFmtId="9" fontId="10" fillId="2" borderId="0" xfId="10" applyAlignment="1">
      <alignment horizontal="right" vertical="center" indent="1"/>
    </xf>
    <xf numFmtId="9" fontId="12" fillId="0" borderId="0" xfId="1" applyFill="1" applyBorder="1">
      <alignment horizontal="right"/>
    </xf>
    <xf numFmtId="9" fontId="12" fillId="6" borderId="4" xfId="1" applyFill="1" applyBorder="1">
      <alignment horizontal="right"/>
    </xf>
    <xf numFmtId="9" fontId="12" fillId="3" borderId="4" xfId="1" applyFill="1" applyBorder="1">
      <alignment horizontal="right"/>
    </xf>
    <xf numFmtId="0" fontId="0" fillId="0" borderId="0" xfId="0" applyNumberFormat="1" applyFont="1"/>
    <xf numFmtId="42" fontId="12" fillId="3" borderId="4" xfId="6" applyFill="1" applyBorder="1"/>
  </cellXfs>
  <cellStyles count="19">
    <cellStyle name="Detalhes da Tabela" xfId="11"/>
    <cellStyle name="Lucro" xfId="8"/>
    <cellStyle name="Moeda [0]" xfId="6" builtinId="7" customBuiltin="1"/>
    <cellStyle name="Normal" xfId="0" builtinId="0" customBuiltin="1"/>
    <cellStyle name="Nota" xfId="7" builtinId="10" customBuiltin="1"/>
    <cellStyle name="Porcentagem" xfId="1" builtinId="5" customBuiltin="1"/>
    <cellStyle name="Porcentagem de lucro" xfId="10"/>
    <cellStyle name="Preenchimento de custo de vendas" xfId="17"/>
    <cellStyle name="Preenchimento de despesas" xfId="18"/>
    <cellStyle name="Preenchimento de receita" xfId="16"/>
    <cellStyle name="Separador de milhares [0]" xfId="5" builtinId="6" customBuiltin="1"/>
    <cellStyle name="Título" xfId="2" builtinId="15" customBuiltin="1"/>
    <cellStyle name="Título 1" xfId="3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ítulo da tabela 1" xfId="15"/>
    <cellStyle name="Valor de lucro" xfId="9"/>
    <cellStyle name="Vírgula" xfId="4" builtinId="3" customBuiltin="1"/>
  </cellStyles>
  <dxfs count="74"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Receita de lucros e perdas" defaultPivotStyle="PivotStyleLight16">
    <tableStyle name="Despesas de lucros e perdas" pivot="0" count="5">
      <tableStyleElement type="wholeTable" dxfId="73"/>
      <tableStyleElement type="headerRow" dxfId="72"/>
      <tableStyleElement type="totalRow" dxfId="71"/>
      <tableStyleElement type="firstRowStripe" dxfId="70"/>
      <tableStyleElement type="secondRowStripe" dxfId="69"/>
    </tableStyle>
    <tableStyle name="Receita de lucros e perdas" pivot="0" count="5">
      <tableStyleElement type="wholeTable" dxfId="68"/>
      <tableStyleElement type="headerRow" dxfId="67"/>
      <tableStyleElement type="totalRow" dxfId="66"/>
      <tableStyleElement type="firstRowStripe" dxfId="65"/>
      <tableStyleElement type="secondRowStripe" dxfId="64"/>
    </tableStyle>
    <tableStyle name="Vendas de lucros e perdas" pivot="0" count="5">
      <tableStyleElement type="wholeTable" dxfId="63"/>
      <tableStyleElement type="headerRow" dxfId="62"/>
      <tableStyleElement type="totalRow" dxfId="61"/>
      <tableStyleElement type="firstRowStripe" dxfId="60"/>
      <tableStyleElement type="secondRowStripe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id="3" name="Receita" displayName="Receita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RECEITAS (VENDAS)" totalsRowLabel="TOTAL DE VENDAS" totalsRowDxfId="58" dataCellStyle="Detalhes da Tabela"/>
    <tableColumn id="29" name="TENDÊNCIA" dataDxfId="57" dataCellStyle="Preenchimento de receita"/>
    <tableColumn id="2" name="Jan" totalsRowFunction="sum" totalsRowDxfId="56" dataCellStyle="Moeda [0]"/>
    <tableColumn id="3" name="Fev" totalsRowFunction="sum" totalsRowDxfId="55" dataCellStyle="Moeda [0]"/>
    <tableColumn id="4" name="Mar" totalsRowFunction="sum" totalsRowDxfId="54" dataCellStyle="Moeda [0]"/>
    <tableColumn id="5" name="Abr" totalsRowFunction="sum" totalsRowDxfId="53" dataCellStyle="Moeda [0]"/>
    <tableColumn id="6" name="Mai" totalsRowFunction="sum" totalsRowDxfId="52" dataCellStyle="Moeda [0]"/>
    <tableColumn id="7" name="Jun" totalsRowFunction="sum" totalsRowDxfId="51" dataCellStyle="Moeda [0]"/>
    <tableColumn id="8" name="Jul" totalsRowFunction="sum" totalsRowDxfId="50" dataCellStyle="Moeda [0]"/>
    <tableColumn id="9" name="Ago" totalsRowFunction="sum" totalsRowDxfId="49" dataCellStyle="Moeda [0]"/>
    <tableColumn id="10" name="Set" totalsRowFunction="sum" totalsRowDxfId="48" dataCellStyle="Moeda [0]"/>
    <tableColumn id="11" name="Out" totalsRowFunction="sum" totalsRowDxfId="47" dataCellStyle="Moeda [0]"/>
    <tableColumn id="12" name="Nov" totalsRowFunction="sum" totalsRowDxfId="46" dataCellStyle="Moeda [0]"/>
    <tableColumn id="13" name="Dez" totalsRowFunction="sum" totalsRowDxfId="45" dataCellStyle="Moeda [0]"/>
    <tableColumn id="14" name="Anualmente" totalsRowFunction="sum" totalsRowDxfId="44" dataCellStyle="Moeda [0]">
      <calculatedColumnFormula>SUM(Receita[[#This Row],[Jan]:[Dez]])</calculatedColumnFormula>
    </tableColumn>
    <tableColumn id="15" name="Índice %" totalsRowFunction="sum" dataCellStyle="Porcentagem"/>
    <tableColumn id="16" name="Jan %" totalsRowFunction="sum" dataCellStyle="Porcentagem">
      <calculatedColumnFormula>IFERROR(Receita[[#This Row],[Jan]]/Receita[[#Totals],[Jan]],"-")</calculatedColumnFormula>
    </tableColumn>
    <tableColumn id="17" name="Fev %" totalsRowFunction="sum" dataCellStyle="Porcentagem">
      <calculatedColumnFormula>IFERROR(Receita[[#This Row],[Fev]]/Receita[[#Totals],[Fev]],"-")</calculatedColumnFormula>
    </tableColumn>
    <tableColumn id="18" name="Mar %" totalsRowFunction="sum" dataCellStyle="Porcentagem">
      <calculatedColumnFormula>IFERROR(Receita[[#This Row],[Mar]]/Receita[[#Totals],[Mar]],"-")</calculatedColumnFormula>
    </tableColumn>
    <tableColumn id="19" name="Abr %" totalsRowFunction="sum" dataCellStyle="Porcentagem">
      <calculatedColumnFormula>IFERROR(Receita[[#This Row],[Abr]]/Receita[[#Totals],[Abr]],"-")</calculatedColumnFormula>
    </tableColumn>
    <tableColumn id="20" name="Mai %" totalsRowFunction="sum" dataCellStyle="Porcentagem">
      <calculatedColumnFormula>IFERROR(Receita[[#This Row],[Mai]]/Receita[[#Totals],[Mai]],"-")</calculatedColumnFormula>
    </tableColumn>
    <tableColumn id="21" name="Jun %" totalsRowFunction="sum" dataCellStyle="Porcentagem">
      <calculatedColumnFormula>IFERROR(Receita[[#This Row],[Jun]]/Receita[[#Totals],[Jun]],"-")</calculatedColumnFormula>
    </tableColumn>
    <tableColumn id="22" name="Jul %" totalsRowFunction="sum" dataCellStyle="Porcentagem">
      <calculatedColumnFormula>IFERROR(Receita[[#This Row],[Jul]]/Receita[[#Totals],[Jul]],"-")</calculatedColumnFormula>
    </tableColumn>
    <tableColumn id="23" name="Ago %" totalsRowFunction="sum" dataCellStyle="Porcentagem">
      <calculatedColumnFormula>IFERROR(Receita[[#This Row],[Ago]]/Receita[[#Totals],[Ago]],"-")</calculatedColumnFormula>
    </tableColumn>
    <tableColumn id="24" name="Set %" totalsRowFunction="sum" dataCellStyle="Porcentagem">
      <calculatedColumnFormula>IFERROR(Receita[[#This Row],[Set]]/Receita[[#Totals],[Set]],"-")</calculatedColumnFormula>
    </tableColumn>
    <tableColumn id="25" name="Out %" totalsRowFunction="sum" dataCellStyle="Porcentagem">
      <calculatedColumnFormula>IFERROR(Receita[[#This Row],[Out]]/Receita[[#Totals],[Out]],"-")</calculatedColumnFormula>
    </tableColumn>
    <tableColumn id="26" name="Nov %" totalsRowFunction="sum" dataCellStyle="Porcentagem">
      <calculatedColumnFormula>IFERROR(Receita[[#This Row],[Nov]]/Receita[[#Totals],[Nov]],"-")</calculatedColumnFormula>
    </tableColumn>
    <tableColumn id="27" name="Dez %" totalsRowFunction="sum" dataCellStyle="Porcentagem">
      <calculatedColumnFormula>IFERROR(Receita[[#This Row],[Dez]]/Receita[[#Totals],[Dez]],"-")</calculatedColumnFormula>
    </tableColumn>
    <tableColumn id="28" name="Ano %" totalsRowFunction="sum" dataCellStyle="Porcentagem">
      <calculatedColumnFormula>IFERROR(Receita[[#This Row],[Anualmente]]/Receita[[#Totals],[Anualmente]],"-")</calculatedColumnFormula>
    </tableColumn>
  </tableColumns>
  <tableStyleInfo name="Receita de lucros e perdas" showFirstColumn="0" showLastColumn="0" showRowStripes="1" showColumnStripes="0"/>
  <extLst>
    <ext xmlns:x14="http://schemas.microsoft.com/office/spreadsheetml/2009/9/main" uri="{504A1905-F514-4f6f-8877-14C23A59335A}">
      <x14:table altTextSummary="Resumo de vendas mensais, total anual e porcentagem mensal para cada item de receita"/>
    </ext>
  </extLst>
</table>
</file>

<file path=xl/tables/table22.xml><?xml version="1.0" encoding="utf-8"?>
<table xmlns="http://schemas.openxmlformats.org/spreadsheetml/2006/main" id="2" name="CustodeVendas" displayName="CustodeVendas" ref="B4:AD12" totalsRowCount="1">
  <tableColumns count="29">
    <tableColumn id="1" name="CUSTO DE VENDAS" totalsRowLabel="CUSTO TOTAL DE VENDAS" dataCellStyle="Detalhes da Tabela"/>
    <tableColumn id="2" name="TENDÊNCIA" totalsRowDxfId="43"/>
    <tableColumn id="3" name="Jan" totalsRowFunction="sum" dataCellStyle="Moeda [0]"/>
    <tableColumn id="4" name="Fev" totalsRowFunction="sum" dataCellStyle="Moeda [0]"/>
    <tableColumn id="5" name="Mar" totalsRowFunction="sum" dataCellStyle="Moeda [0]"/>
    <tableColumn id="6" name="Abr" totalsRowFunction="sum" dataCellStyle="Moeda [0]"/>
    <tableColumn id="7" name="Mai" totalsRowFunction="sum" dataCellStyle="Moeda [0]"/>
    <tableColumn id="8" name="Jun" totalsRowFunction="sum" dataCellStyle="Moeda [0]"/>
    <tableColumn id="9" name="Jul" totalsRowFunction="sum" dataCellStyle="Moeda [0]"/>
    <tableColumn id="10" name="Ago" totalsRowFunction="sum" dataCellStyle="Moeda [0]"/>
    <tableColumn id="11" name="Set" totalsRowFunction="sum" dataCellStyle="Moeda [0]"/>
    <tableColumn id="12" name="Out" totalsRowFunction="sum" dataCellStyle="Moeda [0]"/>
    <tableColumn id="13" name="Nov" totalsRowFunction="sum" dataCellStyle="Moeda [0]"/>
    <tableColumn id="14" name="Dez" totalsRowFunction="sum" dataCellStyle="Moeda [0]"/>
    <tableColumn id="15" name="Anualmente" totalsRowFunction="sum" dataCellStyle="Moeda [0]">
      <calculatedColumnFormula>SUM(CustodeVendas[[#This Row],[Jan]:[Dez]])</calculatedColumnFormula>
    </tableColumn>
    <tableColumn id="16" name="Índice %" totalsRowFunction="sum" totalsRowDxfId="42" dataCellStyle="Porcentagem"/>
    <tableColumn id="17" name="Jan %" totalsRowFunction="sum" totalsRowDxfId="41" dataCellStyle="Porcentagem">
      <calculatedColumnFormula>IFERROR(CustodeVendas[[#This Row],[Jan]]/CustodeVendas[[#Totals],[Jan]],"-")</calculatedColumnFormula>
    </tableColumn>
    <tableColumn id="18" name="Fev %" totalsRowFunction="sum" totalsRowDxfId="40" dataCellStyle="Porcentagem">
      <calculatedColumnFormula>IFERROR(CustodeVendas[[#This Row],[Fev]]/CustodeVendas[[#Totals],[Fev]],"-")</calculatedColumnFormula>
    </tableColumn>
    <tableColumn id="19" name="Mar %" totalsRowFunction="sum" totalsRowDxfId="39" dataCellStyle="Porcentagem">
      <calculatedColumnFormula>IFERROR(CustodeVendas[[#This Row],[Mar]]/CustodeVendas[[#Totals],[Mar]],"-")</calculatedColumnFormula>
    </tableColumn>
    <tableColumn id="20" name="Abr %" totalsRowFunction="sum" totalsRowDxfId="38" dataCellStyle="Porcentagem">
      <calculatedColumnFormula>IFERROR(CustodeVendas[[#This Row],[Abr]]/CustodeVendas[[#Totals],[Abr]],"-")</calculatedColumnFormula>
    </tableColumn>
    <tableColumn id="21" name="Mai %" totalsRowFunction="sum" totalsRowDxfId="37" dataCellStyle="Porcentagem">
      <calculatedColumnFormula>IFERROR(CustodeVendas[[#This Row],[Mai]]/CustodeVendas[[#Totals],[Mai]],"-")</calculatedColumnFormula>
    </tableColumn>
    <tableColumn id="22" name="Jun %" totalsRowFunction="sum" totalsRowDxfId="36" dataCellStyle="Porcentagem">
      <calculatedColumnFormula>IFERROR(CustodeVendas[[#This Row],[Jun]]/CustodeVendas[[#Totals],[Jun]],"-")</calculatedColumnFormula>
    </tableColumn>
    <tableColumn id="23" name="Jul %" totalsRowFunction="sum" totalsRowDxfId="35" dataCellStyle="Porcentagem">
      <calculatedColumnFormula>IFERROR(CustodeVendas[[#This Row],[Jul]]/CustodeVendas[[#Totals],[Jul]],"-")</calculatedColumnFormula>
    </tableColumn>
    <tableColumn id="24" name="Ago %" totalsRowFunction="sum" totalsRowDxfId="34" dataCellStyle="Porcentagem">
      <calculatedColumnFormula>IFERROR(CustodeVendas[[#This Row],[Ago]]/CustodeVendas[[#Totals],[Ago]],"-")</calculatedColumnFormula>
    </tableColumn>
    <tableColumn id="25" name="Set %" totalsRowFunction="sum" totalsRowDxfId="33" dataCellStyle="Porcentagem">
      <calculatedColumnFormula>IFERROR(CustodeVendas[[#This Row],[Set]]/CustodeVendas[[#Totals],[Set]],"-")</calculatedColumnFormula>
    </tableColumn>
    <tableColumn id="26" name="Out %" totalsRowFunction="sum" totalsRowDxfId="32" dataCellStyle="Porcentagem">
      <calculatedColumnFormula>IFERROR(CustodeVendas[[#This Row],[Out]]/CustodeVendas[[#Totals],[Out]],"-")</calculatedColumnFormula>
    </tableColumn>
    <tableColumn id="27" name="Nov %" totalsRowFunction="sum" totalsRowDxfId="31" dataCellStyle="Porcentagem">
      <calculatedColumnFormula>IFERROR(CustodeVendas[[#This Row],[Nov]]/CustodeVendas[[#Totals],[Nov]],"-")</calculatedColumnFormula>
    </tableColumn>
    <tableColumn id="28" name="Dez %" totalsRowFunction="sum" totalsRowDxfId="30" dataCellStyle="Porcentagem">
      <calculatedColumnFormula>IFERROR(CustodeVendas[[#This Row],[Dez]]/CustodeVendas[[#Totals],[Dez]],"-")</calculatedColumnFormula>
    </tableColumn>
    <tableColumn id="29" name="Ano %" totalsRowFunction="sum" totalsRowDxfId="29" dataCellStyle="Porcentagem">
      <calculatedColumnFormula>IFERROR(CustodeVendas[[#This Row],[Anualmente]]/CustodeVendas[[#Totals],[Anualmente]],"-")</calculatedColumnFormula>
    </tableColumn>
  </tableColumns>
  <tableStyleInfo name="Vendas de lucros e perdas" showFirstColumn="0" showLastColumn="0" showRowStripes="1" showColumnStripes="0"/>
  <extLst>
    <ext xmlns:x14="http://schemas.microsoft.com/office/spreadsheetml/2009/9/main" uri="{504A1905-F514-4f6f-8877-14C23A59335A}">
      <x14:table altTextSummary="Resumo de custo de vendas, total anual e porcentagem mensal para cada item de custo"/>
    </ext>
  </extLst>
</table>
</file>

<file path=xl/tables/table31.xml><?xml version="1.0" encoding="utf-8"?>
<table xmlns="http://schemas.openxmlformats.org/spreadsheetml/2006/main" id="8" name="tblDespesas" displayName="tblDespesas" ref="B4:AD24" totalsRowCount="1">
  <tableColumns count="29">
    <tableColumn id="1" name="DESPESAS" totalsRowLabel="DESPESAS TOTAIS" totalsRowDxfId="28" dataCellStyle="Detalhes da Tabela"/>
    <tableColumn id="2" name="TENDÊNCIA" totalsRowDxfId="27"/>
    <tableColumn id="3" name="Coluna1" totalsRowFunction="sum" totalsRowDxfId="26" dataCellStyle="Moeda [0]"/>
    <tableColumn id="4" name="Fev" totalsRowFunction="sum" totalsRowDxfId="25" dataCellStyle="Moeda [0]"/>
    <tableColumn id="5" name="Mar" totalsRowFunction="sum" totalsRowDxfId="24" dataCellStyle="Moeda [0]"/>
    <tableColumn id="6" name="Abr" totalsRowFunction="sum" totalsRowDxfId="23" dataCellStyle="Moeda [0]"/>
    <tableColumn id="7" name="Mai" totalsRowFunction="sum" totalsRowDxfId="22" dataCellStyle="Moeda [0]"/>
    <tableColumn id="8" name="Jun" totalsRowFunction="sum" totalsRowDxfId="21" dataCellStyle="Moeda [0]"/>
    <tableColumn id="9" name="Jul" totalsRowFunction="sum" totalsRowDxfId="20" dataCellStyle="Moeda [0]"/>
    <tableColumn id="10" name="Ago" totalsRowFunction="sum" totalsRowDxfId="19" dataCellStyle="Moeda [0]"/>
    <tableColumn id="11" name="Set" totalsRowFunction="sum" totalsRowDxfId="18" dataCellStyle="Moeda [0]"/>
    <tableColumn id="12" name="Out" totalsRowFunction="sum" totalsRowDxfId="17" dataCellStyle="Moeda [0]"/>
    <tableColumn id="13" name="Nov" totalsRowFunction="sum" totalsRowDxfId="16" dataCellStyle="Moeda [0]"/>
    <tableColumn id="14" name="Dez" totalsRowFunction="sum" totalsRowDxfId="15" dataCellStyle="Moeda [0]"/>
    <tableColumn id="15" name="Anualmente" totalsRowFunction="sum" totalsRowDxfId="14" dataCellStyle="Moeda [0]">
      <calculatedColumnFormula>SUM(tblDespesas[[#This Row],[Coluna1]:[Dez]])</calculatedColumnFormula>
    </tableColumn>
    <tableColumn id="16" name="Índice %" totalsRowFunction="sum" totalsRowDxfId="13" dataCellStyle="Porcentagem"/>
    <tableColumn id="17" name="Jan %" totalsRowFunction="sum" totalsRowDxfId="12" dataCellStyle="Porcentagem">
      <calculatedColumnFormula>tblDespesas[[#This Row],[Coluna1]]/tblDespesas[[#Totals],[Coluna1]]</calculatedColumnFormula>
    </tableColumn>
    <tableColumn id="18" name="Fev %" totalsRowFunction="sum" totalsRowDxfId="11" dataCellStyle="Porcentagem">
      <calculatedColumnFormula>tblDespesas[[#This Row],[Fev]]/tblDespesas[[#Totals],[Fev]]</calculatedColumnFormula>
    </tableColumn>
    <tableColumn id="19" name="Mar %" totalsRowFunction="sum" totalsRowDxfId="10" dataCellStyle="Porcentagem">
      <calculatedColumnFormula>tblDespesas[[#This Row],[Mar]]/tblDespesas[[#Totals],[Mar]]</calculatedColumnFormula>
    </tableColumn>
    <tableColumn id="20" name="Abr %" totalsRowFunction="sum" totalsRowDxfId="9" dataCellStyle="Porcentagem">
      <calculatedColumnFormula>tblDespesas[[#This Row],[Abr]]/tblDespesas[[#Totals],[Abr]]</calculatedColumnFormula>
    </tableColumn>
    <tableColumn id="21" name="Mai %" totalsRowFunction="sum" totalsRowDxfId="8" dataCellStyle="Porcentagem">
      <calculatedColumnFormula>tblDespesas[[#This Row],[Mai]]/tblDespesas[[#Totals],[Mai]]</calculatedColumnFormula>
    </tableColumn>
    <tableColumn id="22" name="Jun %" totalsRowFunction="sum" totalsRowDxfId="7" dataCellStyle="Porcentagem">
      <calculatedColumnFormula>tblDespesas[[#This Row],[Jun]]/tblDespesas[[#Totals],[Jun]]</calculatedColumnFormula>
    </tableColumn>
    <tableColumn id="23" name="Jul %" totalsRowFunction="sum" totalsRowDxfId="6" dataCellStyle="Porcentagem">
      <calculatedColumnFormula>tblDespesas[[#This Row],[Jul]]/tblDespesas[[#Totals],[Jul]]</calculatedColumnFormula>
    </tableColumn>
    <tableColumn id="24" name="Ago %" totalsRowFunction="sum" totalsRowDxfId="5" dataCellStyle="Porcentagem">
      <calculatedColumnFormula>tblDespesas[[#This Row],[Ago]]/tblDespesas[[#Totals],[Ago]]</calculatedColumnFormula>
    </tableColumn>
    <tableColumn id="25" name="Set %" totalsRowFunction="sum" totalsRowDxfId="4" dataCellStyle="Porcentagem">
      <calculatedColumnFormula>tblDespesas[[#This Row],[Set]]/tblDespesas[[#Totals],[Set]]</calculatedColumnFormula>
    </tableColumn>
    <tableColumn id="26" name="Out %" totalsRowFunction="sum" totalsRowDxfId="3" dataCellStyle="Porcentagem">
      <calculatedColumnFormula>tblDespesas[[#This Row],[Out]]/tblDespesas[[#Totals],[Out]]</calculatedColumnFormula>
    </tableColumn>
    <tableColumn id="27" name="Nov %" totalsRowFunction="sum" totalsRowDxfId="2" dataCellStyle="Porcentagem">
      <calculatedColumnFormula>tblDespesas[[#This Row],[Nov]]/tblDespesas[[#Totals],[Nov]]</calculatedColumnFormula>
    </tableColumn>
    <tableColumn id="28" name="Dez %" totalsRowFunction="sum" totalsRowDxfId="1" dataCellStyle="Porcentagem">
      <calculatedColumnFormula>tblDespesas[[#This Row],[Dez]]/tblDespesas[[#Totals],[Dez]]</calculatedColumnFormula>
    </tableColumn>
    <tableColumn id="29" name="Ano %" totalsRowFunction="sum" totalsRowDxfId="0" dataCellStyle="Porcentagem">
      <calculatedColumnFormula>tblDespesas[[#This Row],[Anualmente]]/tblDespesas[[#Totals],[Anualmente]]</calculatedColumnFormula>
    </tableColumn>
  </tableColumns>
  <tableStyleInfo name="Despesas de lucros e perdas" showFirstColumn="0" showLastColumn="0" showRowStripes="1" showColumnStripes="0"/>
  <extLst>
    <ext xmlns:x14="http://schemas.microsoft.com/office/spreadsheetml/2009/9/main" uri="{504A1905-F514-4f6f-8877-14C23A59335A}">
      <x14:table altTextSummary="Resumo de despesas, total anual e porcentagem mensal para cada item de despesa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5.5" customWidth="1"/>
    <col min="3" max="3" width="14.25" customWidth="1"/>
    <col min="4" max="15" width="9.25" customWidth="1"/>
    <col min="16" max="16" width="14.375" bestFit="1" customWidth="1"/>
    <col min="17" max="30" width="8.125" customWidth="1"/>
    <col min="31" max="31" width="2.625" customWidth="1"/>
  </cols>
  <sheetData>
    <row r="1" spans="1:30" ht="35.1" customHeight="1" x14ac:dyDescent="0.3">
      <c r="A1" s="45"/>
      <c r="B1" s="23" t="s">
        <v>0</v>
      </c>
      <c r="C1" s="12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42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">
        <v>40</v>
      </c>
      <c r="AD2" s="37">
        <f ca="1">YEAR(TODAY())</f>
        <v>2018</v>
      </c>
    </row>
    <row r="3" spans="1:30" ht="20.100000000000001" customHeight="1" x14ac:dyDescent="0.3">
      <c r="D3" s="22" t="str">
        <f ca="1">UPPER(TEXT(DATE(AnoInícioAF,NúmMêsAF,1),"mmm-aa"))</f>
        <v>JAN-18</v>
      </c>
      <c r="E3" s="22" t="str">
        <f ca="1">UPPER(TEXT(DATE(AnoInícioAF,NúmMêsAF+1,1),"mmm-aa"))</f>
        <v>FEV-18</v>
      </c>
      <c r="F3" s="22" t="str">
        <f ca="1">UPPER(TEXT(DATE(AnoInícioAF,NúmMêsAF+2,1),"mmm-aa"))</f>
        <v>MAR-18</v>
      </c>
      <c r="G3" s="22" t="str">
        <f ca="1">UPPER(TEXT(DATE(AnoInícioAF,NúmMêsAF+3,1),"mmm-aa"))</f>
        <v>ABR-18</v>
      </c>
      <c r="H3" s="22" t="str">
        <f ca="1">UPPER(TEXT(DATE(AnoInícioAF,NúmMêsAF+4,1),"mmm-aa"))</f>
        <v>MAI-18</v>
      </c>
      <c r="I3" s="22" t="str">
        <f ca="1">UPPER(TEXT(DATE(AnoInícioAF,NúmMêsAF+5,1),"mmm-aa"))</f>
        <v>JUN-18</v>
      </c>
      <c r="J3" s="22" t="str">
        <f ca="1">UPPER(TEXT(DATE(AnoInícioAF,NúmMêsAF+6,1),"mmm-aa"))</f>
        <v>JUL-18</v>
      </c>
      <c r="K3" s="22" t="str">
        <f ca="1">UPPER(TEXT(DATE(AnoInícioAF,NúmMêsAF+7,1),"mmm-aa"))</f>
        <v>AGO-18</v>
      </c>
      <c r="L3" s="22" t="str">
        <f ca="1">UPPER(TEXT(DATE(AnoInícioAF,NúmMêsAF+8,1),"mmm-aa"))</f>
        <v>SET-18</v>
      </c>
      <c r="M3" s="22" t="str">
        <f ca="1">UPPER(TEXT(DATE(AnoInícioAF,NúmMêsAF+9,1),"mmm-aa"))</f>
        <v>OUT-18</v>
      </c>
      <c r="N3" s="22" t="str">
        <f ca="1">UPPER(TEXT(DATE(AnoInícioAF,NúmMêsAF+10,1),"mmm-aa"))</f>
        <v>NOV-18</v>
      </c>
      <c r="O3" s="22" t="str">
        <f ca="1">UPPER(TEXT(DATE(AnoInícioAF,NúmMêsAF+11,1),"mmm-aa"))</f>
        <v>DEZ-18</v>
      </c>
      <c r="P3" s="22" t="s">
        <v>24</v>
      </c>
      <c r="Q3" s="22" t="s">
        <v>26</v>
      </c>
      <c r="R3" s="22" t="str">
        <f ca="1">LEFT(D3,3)&amp;" %"</f>
        <v>JAN %</v>
      </c>
      <c r="S3" s="22" t="str">
        <f t="shared" ref="S3:AC3" ca="1" si="0">LEFT(E3,3)&amp;" %"</f>
        <v>FEV %</v>
      </c>
      <c r="T3" s="22" t="str">
        <f t="shared" ca="1" si="0"/>
        <v>MAR %</v>
      </c>
      <c r="U3" s="22" t="str">
        <f t="shared" ca="1" si="0"/>
        <v>ABR %</v>
      </c>
      <c r="V3" s="22" t="str">
        <f t="shared" ca="1" si="0"/>
        <v>MAI %</v>
      </c>
      <c r="W3" s="22" t="str">
        <f t="shared" ca="1" si="0"/>
        <v>JUN %</v>
      </c>
      <c r="X3" s="22" t="str">
        <f t="shared" ca="1" si="0"/>
        <v>JUL %</v>
      </c>
      <c r="Y3" s="22" t="str">
        <f t="shared" ca="1" si="0"/>
        <v>AGO %</v>
      </c>
      <c r="Z3" s="22" t="str">
        <f t="shared" ca="1" si="0"/>
        <v>SET %</v>
      </c>
      <c r="AA3" s="22" t="str">
        <f t="shared" ca="1" si="0"/>
        <v>OUT %</v>
      </c>
      <c r="AB3" s="22" t="str">
        <f t="shared" ca="1" si="0"/>
        <v>NOV %</v>
      </c>
      <c r="AC3" s="22" t="str">
        <f t="shared" ca="1" si="0"/>
        <v>DEZ %</v>
      </c>
      <c r="AD3" s="22" t="s">
        <v>43</v>
      </c>
    </row>
    <row r="4" spans="1:30" ht="30" customHeight="1" x14ac:dyDescent="0.3">
      <c r="B4" s="29" t="s">
        <v>2</v>
      </c>
      <c r="C4" s="29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25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5" t="s">
        <v>33</v>
      </c>
      <c r="X4" s="25" t="s">
        <v>34</v>
      </c>
      <c r="Y4" s="25" t="s">
        <v>35</v>
      </c>
      <c r="Z4" s="25" t="s">
        <v>36</v>
      </c>
      <c r="AA4" s="25" t="s">
        <v>37</v>
      </c>
      <c r="AB4" s="25" t="s">
        <v>39</v>
      </c>
      <c r="AC4" s="25" t="s">
        <v>41</v>
      </c>
      <c r="AD4" s="24" t="s">
        <v>44</v>
      </c>
    </row>
    <row r="5" spans="1:30" ht="30" customHeight="1" x14ac:dyDescent="0.3">
      <c r="B5" s="17" t="s">
        <v>3</v>
      </c>
      <c r="C5" s="30"/>
      <c r="D5" s="18">
        <v>186</v>
      </c>
      <c r="E5" s="18">
        <v>108</v>
      </c>
      <c r="F5" s="18">
        <v>92</v>
      </c>
      <c r="G5" s="18">
        <v>122</v>
      </c>
      <c r="H5" s="18">
        <v>190</v>
      </c>
      <c r="I5" s="18">
        <v>71</v>
      </c>
      <c r="J5" s="18">
        <v>21</v>
      </c>
      <c r="K5" s="18">
        <v>37</v>
      </c>
      <c r="L5" s="18">
        <v>24</v>
      </c>
      <c r="M5" s="18">
        <v>178</v>
      </c>
      <c r="N5" s="18">
        <v>92</v>
      </c>
      <c r="O5" s="18">
        <v>97</v>
      </c>
      <c r="P5" s="31">
        <f>SUM(Receita[[#This Row],[Jan]:[Dez]])</f>
        <v>1218</v>
      </c>
      <c r="Q5" s="42">
        <v>0.12</v>
      </c>
      <c r="R5" s="38">
        <f>IFERROR(Receita[[#This Row],[Jan]]/Receita[[#Totals],[Jan]],"-")</f>
        <v>0.29807692307692307</v>
      </c>
      <c r="S5" s="38">
        <f>IFERROR(Receita[[#This Row],[Fev]]/Receita[[#Totals],[Fev]],"-")</f>
        <v>0.14673913043478262</v>
      </c>
      <c r="T5" s="38">
        <f>IFERROR(Receita[[#This Row],[Mar]]/Receita[[#Totals],[Mar]],"-")</f>
        <v>0.11219512195121951</v>
      </c>
      <c r="U5" s="38">
        <f>IFERROR(Receita[[#This Row],[Abr]]/Receita[[#Totals],[Abr]],"-")</f>
        <v>0.19967266775777415</v>
      </c>
      <c r="V5" s="38">
        <f>IFERROR(Receita[[#This Row],[Mai]]/Receita[[#Totals],[Mai]],"-")</f>
        <v>0.23399014778325122</v>
      </c>
      <c r="W5" s="38">
        <f>IFERROR(Receita[[#This Row],[Jun]]/Receita[[#Totals],[Jun]],"-")</f>
        <v>0.12283737024221453</v>
      </c>
      <c r="X5" s="38">
        <f>IFERROR(Receita[[#This Row],[Jul]]/Receita[[#Totals],[Jul]],"-")</f>
        <v>3.5175879396984924E-2</v>
      </c>
      <c r="Y5" s="38">
        <f>IFERROR(Receita[[#This Row],[Ago]]/Receita[[#Totals],[Ago]],"-")</f>
        <v>5.4814814814814816E-2</v>
      </c>
      <c r="Z5" s="38">
        <f>IFERROR(Receita[[#This Row],[Set]]/Receita[[#Totals],[Set]],"-")</f>
        <v>3.2258064516129031E-2</v>
      </c>
      <c r="AA5" s="38">
        <f>IFERROR(Receita[[#This Row],[Out]]/Receita[[#Totals],[Out]],"-")</f>
        <v>0.26138032305433184</v>
      </c>
      <c r="AB5" s="38">
        <f>IFERROR(Receita[[#This Row],[Nov]]/Receita[[#Totals],[Nov]],"-")</f>
        <v>0.12449255751014884</v>
      </c>
      <c r="AC5" s="38">
        <f>IFERROR(Receita[[#This Row],[Dez]]/Receita[[#Totals],[Dez]],"-")</f>
        <v>9.3000958772770856E-2</v>
      </c>
      <c r="AD5" s="38">
        <f>IFERROR(Receita[[#This Row],[Anualmente]]/Receita[[#Totals],[Anualmente]],"-")</f>
        <v>0.14064665127020784</v>
      </c>
    </row>
    <row r="6" spans="1:30" ht="30" customHeight="1" x14ac:dyDescent="0.3">
      <c r="B6" s="17" t="s">
        <v>4</v>
      </c>
      <c r="C6" s="30"/>
      <c r="D6" s="18">
        <v>15</v>
      </c>
      <c r="E6" s="18">
        <v>16</v>
      </c>
      <c r="F6" s="18">
        <v>198</v>
      </c>
      <c r="G6" s="18">
        <v>44</v>
      </c>
      <c r="H6" s="18">
        <v>25</v>
      </c>
      <c r="I6" s="18">
        <v>68</v>
      </c>
      <c r="J6" s="18">
        <v>43</v>
      </c>
      <c r="K6" s="18">
        <v>119</v>
      </c>
      <c r="L6" s="18">
        <v>37</v>
      </c>
      <c r="M6" s="18">
        <v>118</v>
      </c>
      <c r="N6" s="18">
        <v>29</v>
      </c>
      <c r="O6" s="18">
        <v>171</v>
      </c>
      <c r="P6" s="31">
        <f>SUM(Receita[[#This Row],[Jan]:[Dez]])</f>
        <v>883</v>
      </c>
      <c r="Q6" s="42">
        <v>0.18</v>
      </c>
      <c r="R6" s="38">
        <f>IFERROR(Receita[[#This Row],[Jan]]/Receita[[#Totals],[Jan]],"-")</f>
        <v>2.403846153846154E-2</v>
      </c>
      <c r="S6" s="38">
        <f>IFERROR(Receita[[#This Row],[Fev]]/Receita[[#Totals],[Fev]],"-")</f>
        <v>2.1739130434782608E-2</v>
      </c>
      <c r="T6" s="38">
        <f>IFERROR(Receita[[#This Row],[Mar]]/Receita[[#Totals],[Mar]],"-")</f>
        <v>0.24146341463414633</v>
      </c>
      <c r="U6" s="38">
        <f>IFERROR(Receita[[#This Row],[Abr]]/Receita[[#Totals],[Abr]],"-")</f>
        <v>7.2013093289689037E-2</v>
      </c>
      <c r="V6" s="38">
        <f>IFERROR(Receita[[#This Row],[Mai]]/Receita[[#Totals],[Mai]],"-")</f>
        <v>3.0788177339901478E-2</v>
      </c>
      <c r="W6" s="38">
        <f>IFERROR(Receita[[#This Row],[Jun]]/Receita[[#Totals],[Jun]],"-")</f>
        <v>0.11764705882352941</v>
      </c>
      <c r="X6" s="38">
        <f>IFERROR(Receita[[#This Row],[Jul]]/Receita[[#Totals],[Jul]],"-")</f>
        <v>7.2026800670016752E-2</v>
      </c>
      <c r="Y6" s="38">
        <f>IFERROR(Receita[[#This Row],[Ago]]/Receita[[#Totals],[Ago]],"-")</f>
        <v>0.17629629629629628</v>
      </c>
      <c r="Z6" s="38">
        <f>IFERROR(Receita[[#This Row],[Set]]/Receita[[#Totals],[Set]],"-")</f>
        <v>4.9731182795698922E-2</v>
      </c>
      <c r="AA6" s="38">
        <f>IFERROR(Receita[[#This Row],[Out]]/Receita[[#Totals],[Out]],"-")</f>
        <v>0.17327459618208516</v>
      </c>
      <c r="AB6" s="38">
        <f>IFERROR(Receita[[#This Row],[Nov]]/Receita[[#Totals],[Nov]],"-")</f>
        <v>3.9242219215155617E-2</v>
      </c>
      <c r="AC6" s="38">
        <f>IFERROR(Receita[[#This Row],[Dez]]/Receita[[#Totals],[Dez]],"-")</f>
        <v>0.16395014381591563</v>
      </c>
      <c r="AD6" s="38">
        <f>IFERROR(Receita[[#This Row],[Anualmente]]/Receita[[#Totals],[Anualmente]],"-")</f>
        <v>0.10196304849884527</v>
      </c>
    </row>
    <row r="7" spans="1:30" ht="30" customHeight="1" x14ac:dyDescent="0.3">
      <c r="B7" s="17" t="s">
        <v>5</v>
      </c>
      <c r="C7" s="30"/>
      <c r="D7" s="18">
        <v>166</v>
      </c>
      <c r="E7" s="18">
        <v>185</v>
      </c>
      <c r="F7" s="18">
        <v>89</v>
      </c>
      <c r="G7" s="18">
        <v>170</v>
      </c>
      <c r="H7" s="18">
        <v>131</v>
      </c>
      <c r="I7" s="18">
        <v>70</v>
      </c>
      <c r="J7" s="18">
        <v>50</v>
      </c>
      <c r="K7" s="18">
        <v>149</v>
      </c>
      <c r="L7" s="18">
        <v>179</v>
      </c>
      <c r="M7" s="18">
        <v>104</v>
      </c>
      <c r="N7" s="18">
        <v>119</v>
      </c>
      <c r="O7" s="18">
        <v>187</v>
      </c>
      <c r="P7" s="31">
        <f>SUM(Receita[[#This Row],[Jan]:[Dez]])</f>
        <v>1599</v>
      </c>
      <c r="Q7" s="42">
        <v>0.19</v>
      </c>
      <c r="R7" s="38">
        <f>IFERROR(Receita[[#This Row],[Jan]]/Receita[[#Totals],[Jan]],"-")</f>
        <v>0.26602564102564102</v>
      </c>
      <c r="S7" s="38">
        <f>IFERROR(Receita[[#This Row],[Fev]]/Receita[[#Totals],[Fev]],"-")</f>
        <v>0.25135869565217389</v>
      </c>
      <c r="T7" s="38">
        <f>IFERROR(Receita[[#This Row],[Mar]]/Receita[[#Totals],[Mar]],"-")</f>
        <v>0.10853658536585366</v>
      </c>
      <c r="U7" s="38">
        <f>IFERROR(Receita[[#This Row],[Abr]]/Receita[[#Totals],[Abr]],"-")</f>
        <v>0.27823240589198034</v>
      </c>
      <c r="V7" s="38">
        <f>IFERROR(Receita[[#This Row],[Mai]]/Receita[[#Totals],[Mai]],"-")</f>
        <v>0.16133004926108374</v>
      </c>
      <c r="W7" s="38">
        <f>IFERROR(Receita[[#This Row],[Jun]]/Receita[[#Totals],[Jun]],"-")</f>
        <v>0.12110726643598616</v>
      </c>
      <c r="X7" s="38">
        <f>IFERROR(Receita[[#This Row],[Jul]]/Receita[[#Totals],[Jul]],"-")</f>
        <v>8.3752093802345065E-2</v>
      </c>
      <c r="Y7" s="38">
        <f>IFERROR(Receita[[#This Row],[Ago]]/Receita[[#Totals],[Ago]],"-")</f>
        <v>0.22074074074074074</v>
      </c>
      <c r="Z7" s="38">
        <f>IFERROR(Receita[[#This Row],[Set]]/Receita[[#Totals],[Set]],"-")</f>
        <v>0.24059139784946237</v>
      </c>
      <c r="AA7" s="38">
        <f>IFERROR(Receita[[#This Row],[Out]]/Receita[[#Totals],[Out]],"-")</f>
        <v>0.1527165932452276</v>
      </c>
      <c r="AB7" s="38">
        <f>IFERROR(Receita[[#This Row],[Nov]]/Receita[[#Totals],[Nov]],"-")</f>
        <v>0.16102841677943167</v>
      </c>
      <c r="AC7" s="38">
        <f>IFERROR(Receita[[#This Row],[Dez]]/Receita[[#Totals],[Dez]],"-")</f>
        <v>0.17929050814956854</v>
      </c>
      <c r="AD7" s="38">
        <f>IFERROR(Receita[[#This Row],[Anualmente]]/Receita[[#Totals],[Anualmente]],"-")</f>
        <v>0.18464203233256352</v>
      </c>
    </row>
    <row r="8" spans="1:30" ht="30" customHeight="1" x14ac:dyDescent="0.3">
      <c r="B8" s="17" t="s">
        <v>6</v>
      </c>
      <c r="C8" s="30"/>
      <c r="D8" s="18">
        <v>21</v>
      </c>
      <c r="E8" s="18">
        <v>113</v>
      </c>
      <c r="F8" s="18">
        <v>83</v>
      </c>
      <c r="G8" s="18">
        <v>17</v>
      </c>
      <c r="H8" s="18">
        <v>130</v>
      </c>
      <c r="I8" s="18">
        <v>26</v>
      </c>
      <c r="J8" s="18">
        <v>167</v>
      </c>
      <c r="K8" s="18">
        <v>102</v>
      </c>
      <c r="L8" s="18">
        <v>82</v>
      </c>
      <c r="M8" s="18">
        <v>33</v>
      </c>
      <c r="N8" s="18">
        <v>88</v>
      </c>
      <c r="O8" s="18">
        <v>193</v>
      </c>
      <c r="P8" s="31">
        <f>SUM(Receita[[#This Row],[Jan]:[Dez]])</f>
        <v>1055</v>
      </c>
      <c r="Q8" s="42">
        <v>0.11</v>
      </c>
      <c r="R8" s="38">
        <f>IFERROR(Receita[[#This Row],[Jan]]/Receita[[#Totals],[Jan]],"-")</f>
        <v>3.3653846153846152E-2</v>
      </c>
      <c r="S8" s="38">
        <f>IFERROR(Receita[[#This Row],[Fev]]/Receita[[#Totals],[Fev]],"-")</f>
        <v>0.15353260869565216</v>
      </c>
      <c r="T8" s="38">
        <f>IFERROR(Receita[[#This Row],[Mar]]/Receita[[#Totals],[Mar]],"-")</f>
        <v>0.10121951219512196</v>
      </c>
      <c r="U8" s="38">
        <f>IFERROR(Receita[[#This Row],[Abr]]/Receita[[#Totals],[Abr]],"-")</f>
        <v>2.7823240589198037E-2</v>
      </c>
      <c r="V8" s="38">
        <f>IFERROR(Receita[[#This Row],[Mai]]/Receita[[#Totals],[Mai]],"-")</f>
        <v>0.16009852216748768</v>
      </c>
      <c r="W8" s="38">
        <f>IFERROR(Receita[[#This Row],[Jun]]/Receita[[#Totals],[Jun]],"-")</f>
        <v>4.4982698961937718E-2</v>
      </c>
      <c r="X8" s="38">
        <f>IFERROR(Receita[[#This Row],[Jul]]/Receita[[#Totals],[Jul]],"-")</f>
        <v>0.2797319932998325</v>
      </c>
      <c r="Y8" s="38">
        <f>IFERROR(Receita[[#This Row],[Ago]]/Receita[[#Totals],[Ago]],"-")</f>
        <v>0.15111111111111111</v>
      </c>
      <c r="Z8" s="38">
        <f>IFERROR(Receita[[#This Row],[Set]]/Receita[[#Totals],[Set]],"-")</f>
        <v>0.11021505376344086</v>
      </c>
      <c r="AA8" s="38">
        <f>IFERROR(Receita[[#This Row],[Out]]/Receita[[#Totals],[Out]],"-")</f>
        <v>4.8458149779735685E-2</v>
      </c>
      <c r="AB8" s="38">
        <f>IFERROR(Receita[[#This Row],[Nov]]/Receita[[#Totals],[Nov]],"-")</f>
        <v>0.11907983761840325</v>
      </c>
      <c r="AC8" s="38">
        <f>IFERROR(Receita[[#This Row],[Dez]]/Receita[[#Totals],[Dez]],"-")</f>
        <v>0.18504314477468839</v>
      </c>
      <c r="AD8" s="38">
        <f>IFERROR(Receita[[#This Row],[Anualmente]]/Receita[[#Totals],[Anualmente]],"-")</f>
        <v>0.12182448036951501</v>
      </c>
    </row>
    <row r="9" spans="1:30" ht="30" customHeight="1" x14ac:dyDescent="0.3">
      <c r="B9" s="17" t="s">
        <v>7</v>
      </c>
      <c r="C9" s="30"/>
      <c r="D9" s="18">
        <v>70</v>
      </c>
      <c r="E9" s="18">
        <v>160</v>
      </c>
      <c r="F9" s="18">
        <v>125</v>
      </c>
      <c r="G9" s="18">
        <v>84</v>
      </c>
      <c r="H9" s="18">
        <v>191</v>
      </c>
      <c r="I9" s="18">
        <v>97</v>
      </c>
      <c r="J9" s="18">
        <v>52</v>
      </c>
      <c r="K9" s="18">
        <v>45</v>
      </c>
      <c r="L9" s="18">
        <v>173</v>
      </c>
      <c r="M9" s="18">
        <v>136</v>
      </c>
      <c r="N9" s="18">
        <v>144</v>
      </c>
      <c r="O9" s="18">
        <v>167</v>
      </c>
      <c r="P9" s="31">
        <f>SUM(Receita[[#This Row],[Jan]:[Dez]])</f>
        <v>1444</v>
      </c>
      <c r="Q9" s="42">
        <v>0.2</v>
      </c>
      <c r="R9" s="38">
        <f>IFERROR(Receita[[#This Row],[Jan]]/Receita[[#Totals],[Jan]],"-")</f>
        <v>0.11217948717948718</v>
      </c>
      <c r="S9" s="38">
        <f>IFERROR(Receita[[#This Row],[Fev]]/Receita[[#Totals],[Fev]],"-")</f>
        <v>0.21739130434782608</v>
      </c>
      <c r="T9" s="38">
        <f>IFERROR(Receita[[#This Row],[Mar]]/Receita[[#Totals],[Mar]],"-")</f>
        <v>0.1524390243902439</v>
      </c>
      <c r="U9" s="38">
        <f>IFERROR(Receita[[#This Row],[Abr]]/Receita[[#Totals],[Abr]],"-")</f>
        <v>0.13747954173486088</v>
      </c>
      <c r="V9" s="38">
        <f>IFERROR(Receita[[#This Row],[Mai]]/Receita[[#Totals],[Mai]],"-")</f>
        <v>0.23522167487684728</v>
      </c>
      <c r="W9" s="38">
        <f>IFERROR(Receita[[#This Row],[Jun]]/Receita[[#Totals],[Jun]],"-")</f>
        <v>0.16782006920415224</v>
      </c>
      <c r="X9" s="38">
        <f>IFERROR(Receita[[#This Row],[Jul]]/Receita[[#Totals],[Jul]],"-")</f>
        <v>8.7102177554438859E-2</v>
      </c>
      <c r="Y9" s="38">
        <f>IFERROR(Receita[[#This Row],[Ago]]/Receita[[#Totals],[Ago]],"-")</f>
        <v>6.6666666666666666E-2</v>
      </c>
      <c r="Z9" s="38">
        <f>IFERROR(Receita[[#This Row],[Set]]/Receita[[#Totals],[Set]],"-")</f>
        <v>0.2325268817204301</v>
      </c>
      <c r="AA9" s="38">
        <f>IFERROR(Receita[[#This Row],[Out]]/Receita[[#Totals],[Out]],"-")</f>
        <v>0.19970631424375918</v>
      </c>
      <c r="AB9" s="38">
        <f>IFERROR(Receita[[#This Row],[Nov]]/Receita[[#Totals],[Nov]],"-")</f>
        <v>0.19485791610284167</v>
      </c>
      <c r="AC9" s="38">
        <f>IFERROR(Receita[[#This Row],[Dez]]/Receita[[#Totals],[Dez]],"-")</f>
        <v>0.1601150527325024</v>
      </c>
      <c r="AD9" s="38">
        <f>IFERROR(Receita[[#This Row],[Anualmente]]/Receita[[#Totals],[Anualmente]],"-")</f>
        <v>0.16674364896073904</v>
      </c>
    </row>
    <row r="10" spans="1:30" ht="30" customHeight="1" x14ac:dyDescent="0.3">
      <c r="B10" s="17" t="s">
        <v>8</v>
      </c>
      <c r="C10" s="30"/>
      <c r="D10" s="18">
        <v>61</v>
      </c>
      <c r="E10" s="18">
        <v>99</v>
      </c>
      <c r="F10" s="18">
        <v>70</v>
      </c>
      <c r="G10" s="18">
        <v>162</v>
      </c>
      <c r="H10" s="18">
        <v>28</v>
      </c>
      <c r="I10" s="18">
        <v>163</v>
      </c>
      <c r="J10" s="18">
        <v>101</v>
      </c>
      <c r="K10" s="18">
        <v>103</v>
      </c>
      <c r="L10" s="18">
        <v>78</v>
      </c>
      <c r="M10" s="18">
        <v>33</v>
      </c>
      <c r="N10" s="18">
        <v>162</v>
      </c>
      <c r="O10" s="18">
        <v>159</v>
      </c>
      <c r="P10" s="31">
        <f>SUM(Receita[[#This Row],[Jan]:[Dez]])</f>
        <v>1219</v>
      </c>
      <c r="Q10" s="42">
        <v>0.1</v>
      </c>
      <c r="R10" s="38">
        <f>IFERROR(Receita[[#This Row],[Jan]]/Receita[[#Totals],[Jan]],"-")</f>
        <v>9.7756410256410256E-2</v>
      </c>
      <c r="S10" s="38">
        <f>IFERROR(Receita[[#This Row],[Fev]]/Receita[[#Totals],[Fev]],"-")</f>
        <v>0.13451086956521738</v>
      </c>
      <c r="T10" s="38">
        <f>IFERROR(Receita[[#This Row],[Mar]]/Receita[[#Totals],[Mar]],"-")</f>
        <v>8.5365853658536592E-2</v>
      </c>
      <c r="U10" s="38">
        <f>IFERROR(Receita[[#This Row],[Abr]]/Receita[[#Totals],[Abr]],"-")</f>
        <v>0.265139116202946</v>
      </c>
      <c r="V10" s="38">
        <f>IFERROR(Receita[[#This Row],[Mai]]/Receita[[#Totals],[Mai]],"-")</f>
        <v>3.4482758620689655E-2</v>
      </c>
      <c r="W10" s="38">
        <f>IFERROR(Receita[[#This Row],[Jun]]/Receita[[#Totals],[Jun]],"-")</f>
        <v>0.2820069204152249</v>
      </c>
      <c r="X10" s="38">
        <f>IFERROR(Receita[[#This Row],[Jul]]/Receita[[#Totals],[Jul]],"-")</f>
        <v>0.16917922948073702</v>
      </c>
      <c r="Y10" s="38">
        <f>IFERROR(Receita[[#This Row],[Ago]]/Receita[[#Totals],[Ago]],"-")</f>
        <v>0.15259259259259259</v>
      </c>
      <c r="Z10" s="38">
        <f>IFERROR(Receita[[#This Row],[Set]]/Receita[[#Totals],[Set]],"-")</f>
        <v>0.10483870967741936</v>
      </c>
      <c r="AA10" s="38">
        <f>IFERROR(Receita[[#This Row],[Out]]/Receita[[#Totals],[Out]],"-")</f>
        <v>4.8458149779735685E-2</v>
      </c>
      <c r="AB10" s="38">
        <f>IFERROR(Receita[[#This Row],[Nov]]/Receita[[#Totals],[Nov]],"-")</f>
        <v>0.21921515561569688</v>
      </c>
      <c r="AC10" s="38">
        <f>IFERROR(Receita[[#This Row],[Dez]]/Receita[[#Totals],[Dez]],"-")</f>
        <v>0.15244487056567593</v>
      </c>
      <c r="AD10" s="38">
        <f>IFERROR(Receita[[#This Row],[Anualmente]]/Receita[[#Totals],[Anualmente]],"-")</f>
        <v>0.14076212471131641</v>
      </c>
    </row>
    <row r="11" spans="1:30" ht="30" customHeight="1" x14ac:dyDescent="0.3">
      <c r="B11" s="17" t="s">
        <v>9</v>
      </c>
      <c r="C11" s="30"/>
      <c r="D11" s="18">
        <v>105</v>
      </c>
      <c r="E11" s="18">
        <v>55</v>
      </c>
      <c r="F11" s="18">
        <v>163</v>
      </c>
      <c r="G11" s="18">
        <v>12</v>
      </c>
      <c r="H11" s="18">
        <v>117</v>
      </c>
      <c r="I11" s="18">
        <v>83</v>
      </c>
      <c r="J11" s="18">
        <v>163</v>
      </c>
      <c r="K11" s="18">
        <v>120</v>
      </c>
      <c r="L11" s="18">
        <v>171</v>
      </c>
      <c r="M11" s="18">
        <v>79</v>
      </c>
      <c r="N11" s="18">
        <v>105</v>
      </c>
      <c r="O11" s="18">
        <v>69</v>
      </c>
      <c r="P11" s="31">
        <f>SUM(Receita[[#This Row],[Jan]:[Dez]])</f>
        <v>1242</v>
      </c>
      <c r="Q11" s="42">
        <v>0.1</v>
      </c>
      <c r="R11" s="38">
        <f>IFERROR(Receita[[#This Row],[Jan]]/Receita[[#Totals],[Jan]],"-")</f>
        <v>0.16826923076923078</v>
      </c>
      <c r="S11" s="38">
        <f>IFERROR(Receita[[#This Row],[Fev]]/Receita[[#Totals],[Fev]],"-")</f>
        <v>7.4728260869565216E-2</v>
      </c>
      <c r="T11" s="38">
        <f>IFERROR(Receita[[#This Row],[Mar]]/Receita[[#Totals],[Mar]],"-")</f>
        <v>0.19878048780487806</v>
      </c>
      <c r="U11" s="38">
        <f>IFERROR(Receita[[#This Row],[Abr]]/Receita[[#Totals],[Abr]],"-")</f>
        <v>1.9639934533551555E-2</v>
      </c>
      <c r="V11" s="38">
        <f>IFERROR(Receita[[#This Row],[Mai]]/Receita[[#Totals],[Mai]],"-")</f>
        <v>0.14408866995073891</v>
      </c>
      <c r="W11" s="38">
        <f>IFERROR(Receita[[#This Row],[Jun]]/Receita[[#Totals],[Jun]],"-")</f>
        <v>0.14359861591695502</v>
      </c>
      <c r="X11" s="38">
        <f>IFERROR(Receita[[#This Row],[Jul]]/Receita[[#Totals],[Jul]],"-")</f>
        <v>0.27303182579564489</v>
      </c>
      <c r="Y11" s="38">
        <f>IFERROR(Receita[[#This Row],[Ago]]/Receita[[#Totals],[Ago]],"-")</f>
        <v>0.17777777777777778</v>
      </c>
      <c r="Z11" s="38">
        <f>IFERROR(Receita[[#This Row],[Set]]/Receita[[#Totals],[Set]],"-")</f>
        <v>0.22983870967741934</v>
      </c>
      <c r="AA11" s="38">
        <f>IFERROR(Receita[[#This Row],[Out]]/Receita[[#Totals],[Out]],"-")</f>
        <v>0.11600587371512482</v>
      </c>
      <c r="AB11" s="38">
        <f>IFERROR(Receita[[#This Row],[Nov]]/Receita[[#Totals],[Nov]],"-")</f>
        <v>0.14208389715832206</v>
      </c>
      <c r="AC11" s="38">
        <f>IFERROR(Receita[[#This Row],[Dez]]/Receita[[#Totals],[Dez]],"-")</f>
        <v>6.6155321188878236E-2</v>
      </c>
      <c r="AD11" s="38">
        <f>IFERROR(Receita[[#This Row],[Anualmente]]/Receita[[#Totals],[Anualmente]],"-")</f>
        <v>0.14341801385681294</v>
      </c>
    </row>
    <row r="12" spans="1:30" s="13" customFormat="1" ht="30" customHeight="1" x14ac:dyDescent="0.3">
      <c r="B12" s="10" t="s">
        <v>10</v>
      </c>
      <c r="C12" s="27"/>
      <c r="D12" s="40">
        <f>SUBTOTAL(109,Receita[Jan])</f>
        <v>624</v>
      </c>
      <c r="E12" s="40">
        <f>SUBTOTAL(109,Receita[Fev])</f>
        <v>736</v>
      </c>
      <c r="F12" s="40">
        <f>SUBTOTAL(109,Receita[Mar])</f>
        <v>820</v>
      </c>
      <c r="G12" s="40">
        <f>SUBTOTAL(109,Receita[Abr])</f>
        <v>611</v>
      </c>
      <c r="H12" s="40">
        <f>SUBTOTAL(109,Receita[Mai])</f>
        <v>812</v>
      </c>
      <c r="I12" s="40">
        <f>SUBTOTAL(109,Receita[Jun])</f>
        <v>578</v>
      </c>
      <c r="J12" s="40">
        <f>SUBTOTAL(109,Receita[Jul])</f>
        <v>597</v>
      </c>
      <c r="K12" s="40">
        <f>SUBTOTAL(109,Receita[Ago])</f>
        <v>675</v>
      </c>
      <c r="L12" s="40">
        <f>SUBTOTAL(109,Receita[Set])</f>
        <v>744</v>
      </c>
      <c r="M12" s="40">
        <f>SUBTOTAL(109,Receita[Out])</f>
        <v>681</v>
      </c>
      <c r="N12" s="40">
        <f>SUBTOTAL(109,Receita[Nov])</f>
        <v>739</v>
      </c>
      <c r="O12" s="40">
        <f>SUBTOTAL(109,Receita[Dez])</f>
        <v>1043</v>
      </c>
      <c r="P12" s="40">
        <f>SUBTOTAL(109,Receita[Anualmente])</f>
        <v>8660</v>
      </c>
      <c r="Q12" s="28">
        <f>SUBTOTAL(109,Receita[Índice %])</f>
        <v>1</v>
      </c>
      <c r="R12" s="28">
        <f>SUBTOTAL(109,Receita[Jan %])</f>
        <v>1</v>
      </c>
      <c r="S12" s="28">
        <f>SUBTOTAL(109,Receita[Fev %])</f>
        <v>1</v>
      </c>
      <c r="T12" s="28">
        <f>SUBTOTAL(109,Receita[Mar %])</f>
        <v>1</v>
      </c>
      <c r="U12" s="28">
        <f>SUBTOTAL(109,Receita[Abr %])</f>
        <v>0.99999999999999989</v>
      </c>
      <c r="V12" s="28">
        <f>SUBTOTAL(109,Receita[Mai %])</f>
        <v>0.99999999999999989</v>
      </c>
      <c r="W12" s="28">
        <f>SUBTOTAL(109,Receita[Jun %])</f>
        <v>1</v>
      </c>
      <c r="X12" s="28">
        <f>SUBTOTAL(109,Receita[Jul %])</f>
        <v>1</v>
      </c>
      <c r="Y12" s="28">
        <f>SUBTOTAL(109,Receita[Ago %])</f>
        <v>1</v>
      </c>
      <c r="Z12" s="28">
        <f>SUBTOTAL(109,Receita[Set %])</f>
        <v>1</v>
      </c>
      <c r="AA12" s="28">
        <f>SUBTOTAL(109,Receita[Out %])</f>
        <v>1</v>
      </c>
      <c r="AB12" s="28">
        <f>SUBTOTAL(109,Receita[Nov %])</f>
        <v>1</v>
      </c>
      <c r="AC12" s="28">
        <f>SUBTOTAL(109,Receita[Dez %])</f>
        <v>0.99999999999999989</v>
      </c>
      <c r="AD12" s="39">
        <f>SUBTOTAL(109,Receita[Ano %])</f>
        <v>1</v>
      </c>
    </row>
  </sheetData>
  <dataValidations count="19">
    <dataValidation type="list" errorStyle="warning" allowBlank="1" showInputMessage="1" showErrorMessage="1" error="Selecione um mês na lista suspensa. Selecione CANCELAR e, em seguida, pressione Alt+Seta para baixo. Pressione Enter para selecionar um mês" prompt="Selecione o mês nesta célula. Pressione Alt+Seta para baixo para abrir a lista suspensa e Enter para selecionar um mês" sqref="AC2">
      <formula1>"JAN, FEV, MAR, ABR, MAI, JUN, JUL, AGO, SET, OUT, NOV, DEZ"</formula1>
    </dataValidation>
    <dataValidation errorStyle="information" allowBlank="1" showInputMessage="1" errorTitle="Ano Desconhecido" error="Selecione um ano na lista suspensa. Para adicionar ou remover um ano da lista, na guia Dados, no grupo Ferramentas de Dados, clique em Validação de Dados." prompt="Insira o ano nesta célula." sqref="AD2"/>
    <dataValidation allowBlank="1" showInputMessage="1" showErrorMessage="1" prompt="Selecione o mês inicial do ano fiscal na célula AC2 e insira um ano na célula AD2 no lado direito desta etiqueta" sqref="AB2"/>
    <dataValidation allowBlank="1" showInputMessage="1" showErrorMessage="1" prompt="A receita anual é calculada automaticamente nesta coluna" sqref="P3"/>
    <dataValidation allowBlank="1" showInputMessage="1" showErrorMessage="1" prompt="Digite um título para o período de projeção para o qual o total de vendas é calculado" sqref="B1"/>
    <dataValidation allowBlank="1" showInputMessage="1" showErrorMessage="1" prompt="O título da projeção está nesta célula. Insira os valores na tabela Receita abaixo para calcular o total de vendas" sqref="B2"/>
    <dataValidation allowBlank="1" showInputMessage="1" showErrorMessage="1" prompt="Insira o nome da empresa nesta célula" sqref="AD1"/>
    <dataValidation allowBlank="1" showInputMessage="1" showErrorMessage="1" prompt="As datas nesta linha são automaticamente atualizadas com base no mês inicial do ano fiscal. Para alterar o mês inicial, modifique a célula AC2" sqref="D3"/>
    <dataValidation allowBlank="1" showInputMessage="1" showErrorMessage="1" prompt="Insira o índice percentual nesta coluna" sqref="Q4"/>
    <dataValidation allowBlank="1" showInputMessage="1" showErrorMessage="1" prompt="Esta planilha calcula o total de vendas para cada mês e ano, e o total de vendas anual de fontes diferentes. Selecione o mês inicial do ano fiscal na célula AC2 e o ano na célula AD2" sqref="A2 A4:A12"/>
    <dataValidation allowBlank="1" showInputMessage="1" showErrorMessage="1" prompt="Esta planilha calcula o total de vendas para cada mês e ano, e o total de vendas anual de fontes diferentes. Insira o mês inicial do ano fiscal na célula AC2 e o ano na célula AD2" sqref="A1"/>
    <dataValidation allowBlank="1" showInputMessage="1" showErrorMessage="1" prompt="Mês atualizado_x000a_automaticamente" sqref="O3"/>
    <dataValidation allowBlank="1" showInputMessage="1" showErrorMessage="1" prompt="Calcula automaticamente a proporção de vendas de diversas fontes para o total de vendas nessa coluna para o mês nesta célula" sqref="R3:AC3"/>
    <dataValidation allowBlank="1" showInputMessage="1" showErrorMessage="1" prompt="Calcula automaticamente a proporção de vendas de diversas fontes para o total de vendas para o ano nesta coluna" sqref="AD3"/>
    <dataValidation allowBlank="1" showInputMessage="1" showErrorMessage="1" prompt="Insira a receita gerada por vendas nesta coluna" sqref="B4"/>
    <dataValidation allowBlank="1" showInputMessage="1" showErrorMessage="1" prompt="Um gráfico de tendências de receita ao longo do tempo está nesta coluna" sqref="C4"/>
    <dataValidation allowBlank="1" showInputMessage="1" showErrorMessage="1" prompt="Insira nesta coluna a receita das fontes listadas na coluna B" sqref="D4:O4"/>
    <dataValidation allowBlank="1" showInputMessage="1" showErrorMessage="1" prompt="O índice percentual está nesta coluna" sqref="Q3"/>
    <dataValidation allowBlank="1" showInputMessage="1" showErrorMessage="1" prompt="Mês atualizado_x000a_automaticamente" sqref="E3 F3 G3 H3 I3 J3 K3 L3 M3 N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'Receitas (Vendas)'!D12:O12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'Receitas (Vendas)'!$D$5:$O$5</xm:f>
              <xm:sqref>C5</xm:sqref>
            </x14:sparkline>
            <x14:sparkline>
              <xm:f>'Receitas (Vendas)'!$D$6:$O$6</xm:f>
              <xm:sqref>C6</xm:sqref>
            </x14:sparkline>
            <x14:sparkline>
              <xm:f>'Receitas (Vendas)'!$D$7:$O$7</xm:f>
              <xm:sqref>C7</xm:sqref>
            </x14:sparkline>
            <x14:sparkline>
              <xm:f>'Receitas (Vendas)'!$D$8:$O$8</xm:f>
              <xm:sqref>C8</xm:sqref>
            </x14:sparkline>
            <x14:sparkline>
              <xm:f>'Receitas (Vendas)'!$D$9:$O$9</xm:f>
              <xm:sqref>C9</xm:sqref>
            </x14:sparkline>
            <x14:sparkline>
              <xm:f>'Receitas (Vendas)'!$D$10:$O$10</xm:f>
              <xm:sqref>C10</xm:sqref>
            </x14:sparkline>
            <x14:sparkline>
              <xm:f>'Receitas (Vendas)'!$D$11:$O$11</xm:f>
              <xm:sqref>C11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5.5" customWidth="1"/>
    <col min="3" max="3" width="14.25" customWidth="1"/>
    <col min="4" max="15" width="9.25" customWidth="1"/>
    <col min="16" max="16" width="14.375" bestFit="1" customWidth="1"/>
    <col min="17" max="30" width="8.125" customWidth="1"/>
    <col min="31" max="31" width="2.625" customWidth="1"/>
  </cols>
  <sheetData>
    <row r="1" spans="1:30" ht="35.1" customHeight="1" x14ac:dyDescent="0.3">
      <c r="A1" s="7"/>
      <c r="B1" s="23" t="str">
        <f>Título_Período_Projeção</f>
        <v>Doze meses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Nome_Empresa</f>
        <v>Nome da Empresa</v>
      </c>
    </row>
    <row r="2" spans="1:30" ht="60" customHeight="1" x14ac:dyDescent="0.4">
      <c r="B2" s="32" t="str">
        <f>Título_Planilha</f>
        <v>PROJEÇÃO DE LUCROS E PERDAS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55</v>
      </c>
      <c r="AC2" s="21" t="str">
        <f>InícioMêsAF</f>
        <v>JAN</v>
      </c>
      <c r="AD2" s="21">
        <f ca="1">AnoInícioAF</f>
        <v>2018</v>
      </c>
    </row>
    <row r="3" spans="1:30" ht="20.100000000000001" customHeight="1" x14ac:dyDescent="0.3">
      <c r="D3" s="22" t="str">
        <f ca="1">UPPER(TEXT(DATE(AnoInícioAF,NúmMêsAF,1),"mmm-aa"))</f>
        <v>JAN-18</v>
      </c>
      <c r="E3" s="22" t="str">
        <f ca="1">UPPER(TEXT(DATE(AnoInícioAF,NúmMêsAF+1,1),"mmm-aa"))</f>
        <v>FEV-18</v>
      </c>
      <c r="F3" s="22" t="str">
        <f ca="1">UPPER(TEXT(DATE(AnoInícioAF,NúmMêsAF+2,1),"mmm-aa"))</f>
        <v>MAR-18</v>
      </c>
      <c r="G3" s="22" t="str">
        <f ca="1">UPPER(TEXT(DATE(AnoInícioAF,NúmMêsAF+3,1),"mmm-aa"))</f>
        <v>ABR-18</v>
      </c>
      <c r="H3" s="22" t="str">
        <f ca="1">UPPER(TEXT(DATE(AnoInícioAF,NúmMêsAF+4,1),"mmm-aa"))</f>
        <v>MAI-18</v>
      </c>
      <c r="I3" s="22" t="str">
        <f ca="1">UPPER(TEXT(DATE(AnoInícioAF,NúmMêsAF+5,1),"mmm-aa"))</f>
        <v>JUN-18</v>
      </c>
      <c r="J3" s="22" t="str">
        <f ca="1">UPPER(TEXT(DATE(AnoInícioAF,NúmMêsAF+6,1),"mmm-aa"))</f>
        <v>JUL-18</v>
      </c>
      <c r="K3" s="22" t="str">
        <f ca="1">UPPER(TEXT(DATE(AnoInícioAF,NúmMêsAF+7,1),"mmm-aa"))</f>
        <v>AGO-18</v>
      </c>
      <c r="L3" s="22" t="str">
        <f ca="1">UPPER(TEXT(DATE(AnoInícioAF,NúmMêsAF+8,1),"mmm-aa"))</f>
        <v>SET-18</v>
      </c>
      <c r="M3" s="22" t="str">
        <f ca="1">UPPER(TEXT(DATE(AnoInícioAF,NúmMêsAF+9,1),"mmm-aa"))</f>
        <v>OUT-18</v>
      </c>
      <c r="N3" s="22" t="str">
        <f ca="1">UPPER(TEXT(DATE(AnoInícioAF,NúmMêsAF+10,1),"mmm-aa"))</f>
        <v>NOV-18</v>
      </c>
      <c r="O3" s="22" t="str">
        <f ca="1">UPPER(TEXT(DATE(AnoInícioAF,NúmMêsAF+11,1),"mmm-aa"))</f>
        <v>DEZ-18</v>
      </c>
      <c r="P3" s="22" t="s">
        <v>24</v>
      </c>
      <c r="Q3" s="22" t="s">
        <v>26</v>
      </c>
      <c r="R3" s="22" t="str">
        <f ca="1">LEFT(D3,3)&amp;" %"</f>
        <v>JAN %</v>
      </c>
      <c r="S3" s="22" t="str">
        <f t="shared" ref="S3:AC3" ca="1" si="0">LEFT(E3,3)&amp;" %"</f>
        <v>FEV %</v>
      </c>
      <c r="T3" s="22" t="str">
        <f t="shared" ca="1" si="0"/>
        <v>MAR %</v>
      </c>
      <c r="U3" s="22" t="str">
        <f t="shared" ca="1" si="0"/>
        <v>ABR %</v>
      </c>
      <c r="V3" s="22" t="str">
        <f t="shared" ca="1" si="0"/>
        <v>MAI %</v>
      </c>
      <c r="W3" s="22" t="str">
        <f t="shared" ca="1" si="0"/>
        <v>JUN %</v>
      </c>
      <c r="X3" s="22" t="str">
        <f t="shared" ca="1" si="0"/>
        <v>JUL %</v>
      </c>
      <c r="Y3" s="22" t="str">
        <f t="shared" ca="1" si="0"/>
        <v>AGO %</v>
      </c>
      <c r="Z3" s="22" t="str">
        <f t="shared" ca="1" si="0"/>
        <v>SET %</v>
      </c>
      <c r="AA3" s="22" t="str">
        <f t="shared" ca="1" si="0"/>
        <v>OUT %</v>
      </c>
      <c r="AB3" s="22" t="str">
        <f t="shared" ca="1" si="0"/>
        <v>NOV %</v>
      </c>
      <c r="AC3" s="22" t="str">
        <f t="shared" ca="1" si="0"/>
        <v>DEZ %</v>
      </c>
      <c r="AD3" s="22" t="s">
        <v>43</v>
      </c>
    </row>
    <row r="4" spans="1:30" ht="30" customHeight="1" x14ac:dyDescent="0.3">
      <c r="B4" s="29" t="s">
        <v>45</v>
      </c>
      <c r="C4" s="29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25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5" t="s">
        <v>33</v>
      </c>
      <c r="X4" s="25" t="s">
        <v>34</v>
      </c>
      <c r="Y4" s="25" t="s">
        <v>35</v>
      </c>
      <c r="Z4" s="25" t="s">
        <v>36</v>
      </c>
      <c r="AA4" s="25" t="s">
        <v>37</v>
      </c>
      <c r="AB4" s="25" t="s">
        <v>39</v>
      </c>
      <c r="AC4" s="25" t="s">
        <v>41</v>
      </c>
      <c r="AD4" s="24" t="s">
        <v>44</v>
      </c>
    </row>
    <row r="5" spans="1:30" ht="30" customHeight="1" x14ac:dyDescent="0.3">
      <c r="B5" s="17" t="s">
        <v>46</v>
      </c>
      <c r="C5" s="33"/>
      <c r="D5" s="18">
        <v>61</v>
      </c>
      <c r="E5" s="18">
        <v>78</v>
      </c>
      <c r="F5" s="18">
        <v>65</v>
      </c>
      <c r="G5" s="18">
        <v>29</v>
      </c>
      <c r="H5" s="18">
        <v>125</v>
      </c>
      <c r="I5" s="18">
        <v>49</v>
      </c>
      <c r="J5" s="18">
        <v>14</v>
      </c>
      <c r="K5" s="18">
        <v>26</v>
      </c>
      <c r="L5" s="18">
        <v>14</v>
      </c>
      <c r="M5" s="18">
        <v>129</v>
      </c>
      <c r="N5" s="18">
        <v>60</v>
      </c>
      <c r="O5" s="18">
        <v>65</v>
      </c>
      <c r="P5" s="46">
        <f>SUM(CustodeVendas[[#This Row],[Jan]:[Dez]])</f>
        <v>715</v>
      </c>
      <c r="Q5" s="42">
        <v>0.12</v>
      </c>
      <c r="R5" s="44">
        <f>IFERROR(CustodeVendas[[#This Row],[Jan]]/CustodeVendas[[#Totals],[Jan]],"-")</f>
        <v>0.23018867924528302</v>
      </c>
      <c r="S5" s="44">
        <f>IFERROR(CustodeVendas[[#This Row],[Fev]]/CustodeVendas[[#Totals],[Fev]],"-")</f>
        <v>0.21910112359550563</v>
      </c>
      <c r="T5" s="44">
        <f>IFERROR(CustodeVendas[[#This Row],[Mar]]/CustodeVendas[[#Totals],[Mar]],"-")</f>
        <v>0.20634920634920634</v>
      </c>
      <c r="U5" s="44">
        <f>IFERROR(CustodeVendas[[#This Row],[Abr]]/CustodeVendas[[#Totals],[Abr]],"-")</f>
        <v>0.12033195020746888</v>
      </c>
      <c r="V5" s="44">
        <f>IFERROR(CustodeVendas[[#This Row],[Mai]]/CustodeVendas[[#Totals],[Mai]],"-")</f>
        <v>0.31328320802005011</v>
      </c>
      <c r="W5" s="44">
        <f>IFERROR(CustodeVendas[[#This Row],[Jun]]/CustodeVendas[[#Totals],[Jun]],"-")</f>
        <v>0.15705128205128205</v>
      </c>
      <c r="X5" s="44">
        <f>IFERROR(CustodeVendas[[#This Row],[Jul]]/CustodeVendas[[#Totals],[Jul]],"-")</f>
        <v>4.6822742474916385E-2</v>
      </c>
      <c r="Y5" s="44">
        <f>IFERROR(CustodeVendas[[#This Row],[Ago]]/CustodeVendas[[#Totals],[Ago]],"-")</f>
        <v>0.11504424778761062</v>
      </c>
      <c r="Z5" s="44">
        <f>IFERROR(CustodeVendas[[#This Row],[Set]]/CustodeVendas[[#Totals],[Set]],"-")</f>
        <v>3.3816425120772944E-2</v>
      </c>
      <c r="AA5" s="44">
        <f>IFERROR(CustodeVendas[[#This Row],[Out]]/CustodeVendas[[#Totals],[Out]],"-")</f>
        <v>0.47080291970802918</v>
      </c>
      <c r="AB5" s="44">
        <f>IFERROR(CustodeVendas[[#This Row],[Nov]]/CustodeVendas[[#Totals],[Nov]],"-")</f>
        <v>0.22727272727272727</v>
      </c>
      <c r="AC5" s="44">
        <f>IFERROR(CustodeVendas[[#This Row],[Dez]]/CustodeVendas[[#Totals],[Dez]],"-")</f>
        <v>0.14348785871964681</v>
      </c>
      <c r="AD5" s="44">
        <f>IFERROR(CustodeVendas[[#This Row],[Anualmente]]/CustodeVendas[[#Totals],[Anualmente]],"-")</f>
        <v>0.18727082242011525</v>
      </c>
    </row>
    <row r="6" spans="1:30" ht="30" customHeight="1" x14ac:dyDescent="0.3">
      <c r="B6" s="17" t="s">
        <v>47</v>
      </c>
      <c r="C6" s="33"/>
      <c r="D6" s="18">
        <v>7</v>
      </c>
      <c r="E6" s="18">
        <v>5</v>
      </c>
      <c r="F6" s="18">
        <v>69</v>
      </c>
      <c r="G6" s="18">
        <v>32</v>
      </c>
      <c r="H6" s="18">
        <v>11</v>
      </c>
      <c r="I6" s="18">
        <v>30</v>
      </c>
      <c r="J6" s="18">
        <v>27</v>
      </c>
      <c r="K6" s="18">
        <v>32</v>
      </c>
      <c r="L6" s="18">
        <v>10</v>
      </c>
      <c r="M6" s="18">
        <v>41</v>
      </c>
      <c r="N6" s="18">
        <v>13</v>
      </c>
      <c r="O6" s="18">
        <v>105</v>
      </c>
      <c r="P6" s="46">
        <f>SUM(CustodeVendas[[#This Row],[Jan]:[Dez]])</f>
        <v>382</v>
      </c>
      <c r="Q6" s="42">
        <v>0.18</v>
      </c>
      <c r="R6" s="44">
        <f>IFERROR(CustodeVendas[[#This Row],[Jan]]/CustodeVendas[[#Totals],[Jan]],"-")</f>
        <v>2.6415094339622643E-2</v>
      </c>
      <c r="S6" s="44">
        <f>IFERROR(CustodeVendas[[#This Row],[Fev]]/CustodeVendas[[#Totals],[Fev]],"-")</f>
        <v>1.4044943820224719E-2</v>
      </c>
      <c r="T6" s="44">
        <f>IFERROR(CustodeVendas[[#This Row],[Mar]]/CustodeVendas[[#Totals],[Mar]],"-")</f>
        <v>0.21904761904761905</v>
      </c>
      <c r="U6" s="44">
        <f>IFERROR(CustodeVendas[[#This Row],[Abr]]/CustodeVendas[[#Totals],[Abr]],"-")</f>
        <v>0.13278008298755187</v>
      </c>
      <c r="V6" s="44">
        <f>IFERROR(CustodeVendas[[#This Row],[Mai]]/CustodeVendas[[#Totals],[Mai]],"-")</f>
        <v>2.7568922305764409E-2</v>
      </c>
      <c r="W6" s="44">
        <f>IFERROR(CustodeVendas[[#This Row],[Jun]]/CustodeVendas[[#Totals],[Jun]],"-")</f>
        <v>9.6153846153846159E-2</v>
      </c>
      <c r="X6" s="44">
        <f>IFERROR(CustodeVendas[[#This Row],[Jul]]/CustodeVendas[[#Totals],[Jul]],"-")</f>
        <v>9.0301003344481601E-2</v>
      </c>
      <c r="Y6" s="44">
        <f>IFERROR(CustodeVendas[[#This Row],[Ago]]/CustodeVendas[[#Totals],[Ago]],"-")</f>
        <v>0.1415929203539823</v>
      </c>
      <c r="Z6" s="44">
        <f>IFERROR(CustodeVendas[[#This Row],[Set]]/CustodeVendas[[#Totals],[Set]],"-")</f>
        <v>2.4154589371980676E-2</v>
      </c>
      <c r="AA6" s="44">
        <f>IFERROR(CustodeVendas[[#This Row],[Out]]/CustodeVendas[[#Totals],[Out]],"-")</f>
        <v>0.14963503649635038</v>
      </c>
      <c r="AB6" s="44">
        <f>IFERROR(CustodeVendas[[#This Row],[Nov]]/CustodeVendas[[#Totals],[Nov]],"-")</f>
        <v>4.924242424242424E-2</v>
      </c>
      <c r="AC6" s="44">
        <f>IFERROR(CustodeVendas[[#This Row],[Dez]]/CustodeVendas[[#Totals],[Dez]],"-")</f>
        <v>0.23178807947019867</v>
      </c>
      <c r="AD6" s="44">
        <f>IFERROR(CustodeVendas[[#This Row],[Anualmente]]/CustodeVendas[[#Totals],[Anualmente]],"-")</f>
        <v>0.1000523834468308</v>
      </c>
    </row>
    <row r="7" spans="1:30" ht="30" customHeight="1" x14ac:dyDescent="0.3">
      <c r="B7" s="17" t="s">
        <v>48</v>
      </c>
      <c r="C7" s="33"/>
      <c r="D7" s="18">
        <v>99</v>
      </c>
      <c r="E7" s="18">
        <v>95</v>
      </c>
      <c r="F7" s="18">
        <v>51</v>
      </c>
      <c r="G7" s="18">
        <v>90</v>
      </c>
      <c r="H7" s="18">
        <v>21</v>
      </c>
      <c r="I7" s="18">
        <v>34</v>
      </c>
      <c r="J7" s="18">
        <v>30</v>
      </c>
      <c r="K7" s="18">
        <v>24</v>
      </c>
      <c r="L7" s="18">
        <v>109</v>
      </c>
      <c r="M7" s="18">
        <v>16</v>
      </c>
      <c r="N7" s="18">
        <v>21</v>
      </c>
      <c r="O7" s="18">
        <v>52</v>
      </c>
      <c r="P7" s="46">
        <f>SUM(CustodeVendas[[#This Row],[Jan]:[Dez]])</f>
        <v>642</v>
      </c>
      <c r="Q7" s="42">
        <v>0.19</v>
      </c>
      <c r="R7" s="44">
        <f>IFERROR(CustodeVendas[[#This Row],[Jan]]/CustodeVendas[[#Totals],[Jan]],"-")</f>
        <v>0.37358490566037733</v>
      </c>
      <c r="S7" s="44">
        <f>IFERROR(CustodeVendas[[#This Row],[Fev]]/CustodeVendas[[#Totals],[Fev]],"-")</f>
        <v>0.26685393258426965</v>
      </c>
      <c r="T7" s="44">
        <f>IFERROR(CustodeVendas[[#This Row],[Mar]]/CustodeVendas[[#Totals],[Mar]],"-")</f>
        <v>0.16190476190476191</v>
      </c>
      <c r="U7" s="44">
        <f>IFERROR(CustodeVendas[[#This Row],[Abr]]/CustodeVendas[[#Totals],[Abr]],"-")</f>
        <v>0.37344398340248963</v>
      </c>
      <c r="V7" s="44">
        <f>IFERROR(CustodeVendas[[#This Row],[Mai]]/CustodeVendas[[#Totals],[Mai]],"-")</f>
        <v>5.2631578947368418E-2</v>
      </c>
      <c r="W7" s="44">
        <f>IFERROR(CustodeVendas[[#This Row],[Jun]]/CustodeVendas[[#Totals],[Jun]],"-")</f>
        <v>0.10897435897435898</v>
      </c>
      <c r="X7" s="44">
        <f>IFERROR(CustodeVendas[[#This Row],[Jul]]/CustodeVendas[[#Totals],[Jul]],"-")</f>
        <v>0.10033444816053512</v>
      </c>
      <c r="Y7" s="44">
        <f>IFERROR(CustodeVendas[[#This Row],[Ago]]/CustodeVendas[[#Totals],[Ago]],"-")</f>
        <v>0.10619469026548672</v>
      </c>
      <c r="Z7" s="44">
        <f>IFERROR(CustodeVendas[[#This Row],[Set]]/CustodeVendas[[#Totals],[Set]],"-")</f>
        <v>0.26328502415458938</v>
      </c>
      <c r="AA7" s="44">
        <f>IFERROR(CustodeVendas[[#This Row],[Out]]/CustodeVendas[[#Totals],[Out]],"-")</f>
        <v>5.8394160583941604E-2</v>
      </c>
      <c r="AB7" s="44">
        <f>IFERROR(CustodeVendas[[#This Row],[Nov]]/CustodeVendas[[#Totals],[Nov]],"-")</f>
        <v>7.9545454545454544E-2</v>
      </c>
      <c r="AC7" s="44">
        <f>IFERROR(CustodeVendas[[#This Row],[Dez]]/CustodeVendas[[#Totals],[Dez]],"-")</f>
        <v>0.11479028697571744</v>
      </c>
      <c r="AD7" s="44">
        <f>IFERROR(CustodeVendas[[#This Row],[Anualmente]]/CustodeVendas[[#Totals],[Anualmente]],"-")</f>
        <v>0.16815086432687271</v>
      </c>
    </row>
    <row r="8" spans="1:30" ht="30" customHeight="1" x14ac:dyDescent="0.3">
      <c r="B8" s="17" t="s">
        <v>49</v>
      </c>
      <c r="C8" s="33"/>
      <c r="D8" s="18">
        <v>13</v>
      </c>
      <c r="E8" s="18">
        <v>28</v>
      </c>
      <c r="F8" s="18">
        <v>15</v>
      </c>
      <c r="G8" s="18">
        <v>8</v>
      </c>
      <c r="H8" s="18">
        <v>84</v>
      </c>
      <c r="I8" s="18">
        <v>12</v>
      </c>
      <c r="J8" s="18">
        <v>54</v>
      </c>
      <c r="K8" s="18">
        <v>72</v>
      </c>
      <c r="L8" s="18">
        <v>49</v>
      </c>
      <c r="M8" s="18">
        <v>24</v>
      </c>
      <c r="N8" s="18">
        <v>60</v>
      </c>
      <c r="O8" s="18">
        <v>39</v>
      </c>
      <c r="P8" s="46">
        <f>SUM(CustodeVendas[[#This Row],[Jan]:[Dez]])</f>
        <v>458</v>
      </c>
      <c r="Q8" s="42">
        <v>0.11</v>
      </c>
      <c r="R8" s="44">
        <f>IFERROR(CustodeVendas[[#This Row],[Jan]]/CustodeVendas[[#Totals],[Jan]],"-")</f>
        <v>4.9056603773584909E-2</v>
      </c>
      <c r="S8" s="44">
        <f>IFERROR(CustodeVendas[[#This Row],[Fev]]/CustodeVendas[[#Totals],[Fev]],"-")</f>
        <v>7.8651685393258425E-2</v>
      </c>
      <c r="T8" s="44">
        <f>IFERROR(CustodeVendas[[#This Row],[Mar]]/CustodeVendas[[#Totals],[Mar]],"-")</f>
        <v>4.7619047619047616E-2</v>
      </c>
      <c r="U8" s="44">
        <f>IFERROR(CustodeVendas[[#This Row],[Abr]]/CustodeVendas[[#Totals],[Abr]],"-")</f>
        <v>3.3195020746887967E-2</v>
      </c>
      <c r="V8" s="44">
        <f>IFERROR(CustodeVendas[[#This Row],[Mai]]/CustodeVendas[[#Totals],[Mai]],"-")</f>
        <v>0.21052631578947367</v>
      </c>
      <c r="W8" s="44">
        <f>IFERROR(CustodeVendas[[#This Row],[Jun]]/CustodeVendas[[#Totals],[Jun]],"-")</f>
        <v>3.8461538461538464E-2</v>
      </c>
      <c r="X8" s="44">
        <f>IFERROR(CustodeVendas[[#This Row],[Jul]]/CustodeVendas[[#Totals],[Jul]],"-")</f>
        <v>0.1806020066889632</v>
      </c>
      <c r="Y8" s="44">
        <f>IFERROR(CustodeVendas[[#This Row],[Ago]]/CustodeVendas[[#Totals],[Ago]],"-")</f>
        <v>0.31858407079646017</v>
      </c>
      <c r="Z8" s="44">
        <f>IFERROR(CustodeVendas[[#This Row],[Set]]/CustodeVendas[[#Totals],[Set]],"-")</f>
        <v>0.11835748792270531</v>
      </c>
      <c r="AA8" s="44">
        <f>IFERROR(CustodeVendas[[#This Row],[Out]]/CustodeVendas[[#Totals],[Out]],"-")</f>
        <v>8.7591240875912413E-2</v>
      </c>
      <c r="AB8" s="44">
        <f>IFERROR(CustodeVendas[[#This Row],[Nov]]/CustodeVendas[[#Totals],[Nov]],"-")</f>
        <v>0.22727272727272727</v>
      </c>
      <c r="AC8" s="44">
        <f>IFERROR(CustodeVendas[[#This Row],[Dez]]/CustodeVendas[[#Totals],[Dez]],"-")</f>
        <v>8.6092715231788075E-2</v>
      </c>
      <c r="AD8" s="44">
        <f>IFERROR(CustodeVendas[[#This Row],[Anualmente]]/CustodeVendas[[#Totals],[Anualmente]],"-")</f>
        <v>0.11995809324253535</v>
      </c>
    </row>
    <row r="9" spans="1:30" ht="30" customHeight="1" x14ac:dyDescent="0.3">
      <c r="B9" s="17" t="s">
        <v>50</v>
      </c>
      <c r="C9" s="33"/>
      <c r="D9" s="18">
        <v>34</v>
      </c>
      <c r="E9" s="18">
        <v>78</v>
      </c>
      <c r="F9" s="18">
        <v>43</v>
      </c>
      <c r="G9" s="18">
        <v>30</v>
      </c>
      <c r="H9" s="18">
        <v>77</v>
      </c>
      <c r="I9" s="18">
        <v>54</v>
      </c>
      <c r="J9" s="18">
        <v>26</v>
      </c>
      <c r="K9" s="18">
        <v>13</v>
      </c>
      <c r="L9" s="18">
        <v>56</v>
      </c>
      <c r="M9" s="18">
        <v>30</v>
      </c>
      <c r="N9" s="18">
        <v>40</v>
      </c>
      <c r="O9" s="18">
        <v>63</v>
      </c>
      <c r="P9" s="46">
        <f>SUM(CustodeVendas[[#This Row],[Jan]:[Dez]])</f>
        <v>544</v>
      </c>
      <c r="Q9" s="42">
        <v>0.2</v>
      </c>
      <c r="R9" s="44">
        <f>IFERROR(CustodeVendas[[#This Row],[Jan]]/CustodeVendas[[#Totals],[Jan]],"-")</f>
        <v>0.12830188679245283</v>
      </c>
      <c r="S9" s="44">
        <f>IFERROR(CustodeVendas[[#This Row],[Fev]]/CustodeVendas[[#Totals],[Fev]],"-")</f>
        <v>0.21910112359550563</v>
      </c>
      <c r="T9" s="44">
        <f>IFERROR(CustodeVendas[[#This Row],[Mar]]/CustodeVendas[[#Totals],[Mar]],"-")</f>
        <v>0.13650793650793649</v>
      </c>
      <c r="U9" s="44">
        <f>IFERROR(CustodeVendas[[#This Row],[Abr]]/CustodeVendas[[#Totals],[Abr]],"-")</f>
        <v>0.12448132780082988</v>
      </c>
      <c r="V9" s="44">
        <f>IFERROR(CustodeVendas[[#This Row],[Mai]]/CustodeVendas[[#Totals],[Mai]],"-")</f>
        <v>0.19298245614035087</v>
      </c>
      <c r="W9" s="44">
        <f>IFERROR(CustodeVendas[[#This Row],[Jun]]/CustodeVendas[[#Totals],[Jun]],"-")</f>
        <v>0.17307692307692307</v>
      </c>
      <c r="X9" s="44">
        <f>IFERROR(CustodeVendas[[#This Row],[Jul]]/CustodeVendas[[#Totals],[Jul]],"-")</f>
        <v>8.6956521739130432E-2</v>
      </c>
      <c r="Y9" s="44">
        <f>IFERROR(CustodeVendas[[#This Row],[Ago]]/CustodeVendas[[#Totals],[Ago]],"-")</f>
        <v>5.7522123893805309E-2</v>
      </c>
      <c r="Z9" s="44">
        <f>IFERROR(CustodeVendas[[#This Row],[Set]]/CustodeVendas[[#Totals],[Set]],"-")</f>
        <v>0.13526570048309178</v>
      </c>
      <c r="AA9" s="44">
        <f>IFERROR(CustodeVendas[[#This Row],[Out]]/CustodeVendas[[#Totals],[Out]],"-")</f>
        <v>0.10948905109489052</v>
      </c>
      <c r="AB9" s="44">
        <f>IFERROR(CustodeVendas[[#This Row],[Nov]]/CustodeVendas[[#Totals],[Nov]],"-")</f>
        <v>0.15151515151515152</v>
      </c>
      <c r="AC9" s="44">
        <f>IFERROR(CustodeVendas[[#This Row],[Dez]]/CustodeVendas[[#Totals],[Dez]],"-")</f>
        <v>0.13907284768211919</v>
      </c>
      <c r="AD9" s="44">
        <f>IFERROR(CustodeVendas[[#This Row],[Anualmente]]/CustodeVendas[[#Totals],[Anualmente]],"-")</f>
        <v>0.14248297537978</v>
      </c>
    </row>
    <row r="10" spans="1:30" ht="30" customHeight="1" x14ac:dyDescent="0.3">
      <c r="B10" s="17" t="s">
        <v>51</v>
      </c>
      <c r="C10" s="33"/>
      <c r="D10" s="18">
        <v>33</v>
      </c>
      <c r="E10" s="18">
        <v>61</v>
      </c>
      <c r="F10" s="18">
        <v>42</v>
      </c>
      <c r="G10" s="18">
        <v>43</v>
      </c>
      <c r="H10" s="18">
        <v>19</v>
      </c>
      <c r="I10" s="18">
        <v>94</v>
      </c>
      <c r="J10" s="18">
        <v>46</v>
      </c>
      <c r="K10" s="18">
        <v>15</v>
      </c>
      <c r="L10" s="18">
        <v>55</v>
      </c>
      <c r="M10" s="18">
        <v>15</v>
      </c>
      <c r="N10" s="18">
        <v>37</v>
      </c>
      <c r="O10" s="18">
        <v>89</v>
      </c>
      <c r="P10" s="46">
        <f>SUM(CustodeVendas[[#This Row],[Jan]:[Dez]])</f>
        <v>549</v>
      </c>
      <c r="Q10" s="42">
        <v>0.1</v>
      </c>
      <c r="R10" s="44">
        <f>IFERROR(CustodeVendas[[#This Row],[Jan]]/CustodeVendas[[#Totals],[Jan]],"-")</f>
        <v>0.12452830188679245</v>
      </c>
      <c r="S10" s="44">
        <f>IFERROR(CustodeVendas[[#This Row],[Fev]]/CustodeVendas[[#Totals],[Fev]],"-")</f>
        <v>0.17134831460674158</v>
      </c>
      <c r="T10" s="44">
        <f>IFERROR(CustodeVendas[[#This Row],[Mar]]/CustodeVendas[[#Totals],[Mar]],"-")</f>
        <v>0.13333333333333333</v>
      </c>
      <c r="U10" s="44">
        <f>IFERROR(CustodeVendas[[#This Row],[Abr]]/CustodeVendas[[#Totals],[Abr]],"-")</f>
        <v>0.17842323651452283</v>
      </c>
      <c r="V10" s="44">
        <f>IFERROR(CustodeVendas[[#This Row],[Mai]]/CustodeVendas[[#Totals],[Mai]],"-")</f>
        <v>4.7619047619047616E-2</v>
      </c>
      <c r="W10" s="44">
        <f>IFERROR(CustodeVendas[[#This Row],[Jun]]/CustodeVendas[[#Totals],[Jun]],"-")</f>
        <v>0.30128205128205127</v>
      </c>
      <c r="X10" s="44">
        <f>IFERROR(CustodeVendas[[#This Row],[Jul]]/CustodeVendas[[#Totals],[Jul]],"-")</f>
        <v>0.15384615384615385</v>
      </c>
      <c r="Y10" s="44">
        <f>IFERROR(CustodeVendas[[#This Row],[Ago]]/CustodeVendas[[#Totals],[Ago]],"-")</f>
        <v>6.637168141592921E-2</v>
      </c>
      <c r="Z10" s="44">
        <f>IFERROR(CustodeVendas[[#This Row],[Set]]/CustodeVendas[[#Totals],[Set]],"-")</f>
        <v>0.13285024154589373</v>
      </c>
      <c r="AA10" s="44">
        <f>IFERROR(CustodeVendas[[#This Row],[Out]]/CustodeVendas[[#Totals],[Out]],"-")</f>
        <v>5.4744525547445258E-2</v>
      </c>
      <c r="AB10" s="44">
        <f>IFERROR(CustodeVendas[[#This Row],[Nov]]/CustodeVendas[[#Totals],[Nov]],"-")</f>
        <v>0.14015151515151514</v>
      </c>
      <c r="AC10" s="44">
        <f>IFERROR(CustodeVendas[[#This Row],[Dez]]/CustodeVendas[[#Totals],[Dez]],"-")</f>
        <v>0.19646799116997793</v>
      </c>
      <c r="AD10" s="44">
        <f>IFERROR(CustodeVendas[[#This Row],[Anualmente]]/CustodeVendas[[#Totals],[Anualmente]],"-")</f>
        <v>0.14379256155055004</v>
      </c>
    </row>
    <row r="11" spans="1:30" ht="30" customHeight="1" x14ac:dyDescent="0.3">
      <c r="A11" s="3"/>
      <c r="B11" s="17" t="s">
        <v>52</v>
      </c>
      <c r="C11" s="33"/>
      <c r="D11" s="18">
        <v>18</v>
      </c>
      <c r="E11" s="18">
        <v>11</v>
      </c>
      <c r="F11" s="18">
        <v>30</v>
      </c>
      <c r="G11" s="18">
        <v>9</v>
      </c>
      <c r="H11" s="18">
        <v>62</v>
      </c>
      <c r="I11" s="18">
        <v>39</v>
      </c>
      <c r="J11" s="18">
        <v>102</v>
      </c>
      <c r="K11" s="18">
        <v>44</v>
      </c>
      <c r="L11" s="18">
        <v>121</v>
      </c>
      <c r="M11" s="18">
        <v>19</v>
      </c>
      <c r="N11" s="18">
        <v>33</v>
      </c>
      <c r="O11" s="18">
        <v>40</v>
      </c>
      <c r="P11" s="46">
        <f>SUM(CustodeVendas[[#This Row],[Jan]:[Dez]])</f>
        <v>528</v>
      </c>
      <c r="Q11" s="42">
        <v>0.1</v>
      </c>
      <c r="R11" s="44">
        <f>IFERROR(CustodeVendas[[#This Row],[Jan]]/CustodeVendas[[#Totals],[Jan]],"-")</f>
        <v>6.7924528301886791E-2</v>
      </c>
      <c r="S11" s="44">
        <f>IFERROR(CustodeVendas[[#This Row],[Fev]]/CustodeVendas[[#Totals],[Fev]],"-")</f>
        <v>3.0898876404494381E-2</v>
      </c>
      <c r="T11" s="44">
        <f>IFERROR(CustodeVendas[[#This Row],[Mar]]/CustodeVendas[[#Totals],[Mar]],"-")</f>
        <v>9.5238095238095233E-2</v>
      </c>
      <c r="U11" s="44">
        <f>IFERROR(CustodeVendas[[#This Row],[Abr]]/CustodeVendas[[#Totals],[Abr]],"-")</f>
        <v>3.7344398340248962E-2</v>
      </c>
      <c r="V11" s="44">
        <f>IFERROR(CustodeVendas[[#This Row],[Mai]]/CustodeVendas[[#Totals],[Mai]],"-")</f>
        <v>0.15538847117794485</v>
      </c>
      <c r="W11" s="44">
        <f>IFERROR(CustodeVendas[[#This Row],[Jun]]/CustodeVendas[[#Totals],[Jun]],"-")</f>
        <v>0.125</v>
      </c>
      <c r="X11" s="44">
        <f>IFERROR(CustodeVendas[[#This Row],[Jul]]/CustodeVendas[[#Totals],[Jul]],"-")</f>
        <v>0.34113712374581939</v>
      </c>
      <c r="Y11" s="44">
        <f>IFERROR(CustodeVendas[[#This Row],[Ago]]/CustodeVendas[[#Totals],[Ago]],"-")</f>
        <v>0.19469026548672566</v>
      </c>
      <c r="Z11" s="44">
        <f>IFERROR(CustodeVendas[[#This Row],[Set]]/CustodeVendas[[#Totals],[Set]],"-")</f>
        <v>0.2922705314009662</v>
      </c>
      <c r="AA11" s="44">
        <f>IFERROR(CustodeVendas[[#This Row],[Out]]/CustodeVendas[[#Totals],[Out]],"-")</f>
        <v>6.9343065693430656E-2</v>
      </c>
      <c r="AB11" s="44">
        <f>IFERROR(CustodeVendas[[#This Row],[Nov]]/CustodeVendas[[#Totals],[Nov]],"-")</f>
        <v>0.125</v>
      </c>
      <c r="AC11" s="44">
        <f>IFERROR(CustodeVendas[[#This Row],[Dez]]/CustodeVendas[[#Totals],[Dez]],"-")</f>
        <v>8.8300220750551883E-2</v>
      </c>
      <c r="AD11" s="44">
        <f>IFERROR(CustodeVendas[[#This Row],[Anualmente]]/CustodeVendas[[#Totals],[Anualmente]],"-")</f>
        <v>0.13829229963331588</v>
      </c>
    </row>
    <row r="12" spans="1:30" ht="30" customHeight="1" x14ac:dyDescent="0.3">
      <c r="A12" s="13"/>
      <c r="B12" s="10" t="s">
        <v>53</v>
      </c>
      <c r="C12" s="27"/>
      <c r="D12" s="40">
        <f>SUBTOTAL(109,CustodeVendas[Jan])</f>
        <v>265</v>
      </c>
      <c r="E12" s="40">
        <f>SUBTOTAL(109,CustodeVendas[Fev])</f>
        <v>356</v>
      </c>
      <c r="F12" s="40">
        <f>SUBTOTAL(109,CustodeVendas[Mar])</f>
        <v>315</v>
      </c>
      <c r="G12" s="40">
        <f>SUBTOTAL(109,CustodeVendas[Abr])</f>
        <v>241</v>
      </c>
      <c r="H12" s="40">
        <f>SUBTOTAL(109,CustodeVendas[Mai])</f>
        <v>399</v>
      </c>
      <c r="I12" s="40">
        <f>SUBTOTAL(109,CustodeVendas[Jun])</f>
        <v>312</v>
      </c>
      <c r="J12" s="40">
        <f>SUBTOTAL(109,CustodeVendas[Jul])</f>
        <v>299</v>
      </c>
      <c r="K12" s="40">
        <f>SUBTOTAL(109,CustodeVendas[Ago])</f>
        <v>226</v>
      </c>
      <c r="L12" s="40">
        <f>SUBTOTAL(109,CustodeVendas[Set])</f>
        <v>414</v>
      </c>
      <c r="M12" s="40">
        <f>SUBTOTAL(109,CustodeVendas[Out])</f>
        <v>274</v>
      </c>
      <c r="N12" s="40">
        <f>SUBTOTAL(109,CustodeVendas[Nov])</f>
        <v>264</v>
      </c>
      <c r="O12" s="40">
        <f>SUBTOTAL(109,CustodeVendas[Dez])</f>
        <v>453</v>
      </c>
      <c r="P12" s="40">
        <f>SUBTOTAL(109,CustodeVendas[Anualmente])</f>
        <v>3818</v>
      </c>
      <c r="Q12" s="28">
        <f>SUBTOTAL(109,CustodeVendas[Índice %])</f>
        <v>1</v>
      </c>
      <c r="R12" s="28">
        <f>SUBTOTAL(109,CustodeVendas[Jan %])</f>
        <v>0.99999999999999989</v>
      </c>
      <c r="S12" s="28">
        <f>SUBTOTAL(109,CustodeVendas[Fev %])</f>
        <v>1</v>
      </c>
      <c r="T12" s="28">
        <f>SUBTOTAL(109,CustodeVendas[Mar %])</f>
        <v>0.99999999999999989</v>
      </c>
      <c r="U12" s="28">
        <f>SUBTOTAL(109,CustodeVendas[Abr %])</f>
        <v>1</v>
      </c>
      <c r="V12" s="28">
        <f>SUBTOTAL(109,CustodeVendas[Mai %])</f>
        <v>0.99999999999999989</v>
      </c>
      <c r="W12" s="28">
        <f>SUBTOTAL(109,CustodeVendas[Jun %])</f>
        <v>1</v>
      </c>
      <c r="X12" s="28">
        <f>SUBTOTAL(109,CustodeVendas[Jul %])</f>
        <v>1</v>
      </c>
      <c r="Y12" s="28">
        <f>SUBTOTAL(109,CustodeVendas[Ago %])</f>
        <v>0.99999999999999989</v>
      </c>
      <c r="Z12" s="28">
        <f>SUBTOTAL(109,CustodeVendas[Set %])</f>
        <v>1</v>
      </c>
      <c r="AA12" s="28">
        <f>SUBTOTAL(109,CustodeVendas[Out %])</f>
        <v>1</v>
      </c>
      <c r="AB12" s="28">
        <f>SUBTOTAL(109,CustodeVendas[Nov %])</f>
        <v>0.99999999999999989</v>
      </c>
      <c r="AC12" s="28">
        <f>SUBTOTAL(109,CustodeVendas[Dez %])</f>
        <v>1</v>
      </c>
      <c r="AD12" s="28">
        <f>SUBTOTAL(109,CustodeVendas[Ano %])</f>
        <v>0.99999999999999989</v>
      </c>
    </row>
    <row r="13" spans="1:30" ht="30" customHeight="1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30" customHeight="1" x14ac:dyDescent="0.3">
      <c r="B14" s="14" t="s">
        <v>54</v>
      </c>
      <c r="C14" s="14"/>
      <c r="D14" s="15">
        <f>Receita[[#Totals],[Jan]]-CustodeVendas[[#Totals],[Jan]]</f>
        <v>359</v>
      </c>
      <c r="E14" s="15">
        <f>Receita[[#Totals],[Fev]]-CustodeVendas[[#Totals],[Fev]]</f>
        <v>380</v>
      </c>
      <c r="F14" s="15">
        <f>Receita[[#Totals],[Mar]]-CustodeVendas[[#Totals],[Mar]]</f>
        <v>505</v>
      </c>
      <c r="G14" s="15">
        <f>Receita[[#Totals],[Abr]]-CustodeVendas[[#Totals],[Abr]]</f>
        <v>370</v>
      </c>
      <c r="H14" s="15">
        <f>Receita[[#Totals],[Mai]]-CustodeVendas[[#Totals],[Mai]]</f>
        <v>413</v>
      </c>
      <c r="I14" s="15">
        <f>Receita[[#Totals],[Jun]]-CustodeVendas[[#Totals],[Jun]]</f>
        <v>266</v>
      </c>
      <c r="J14" s="15">
        <f>Receita[[#Totals],[Jul]]-CustodeVendas[[#Totals],[Jul]]</f>
        <v>298</v>
      </c>
      <c r="K14" s="15">
        <f>Receita[[#Totals],[Ago]]-CustodeVendas[[#Totals],[Ago]]</f>
        <v>449</v>
      </c>
      <c r="L14" s="15">
        <f>Receita[[#Totals],[Set]]-CustodeVendas[[#Totals],[Set]]</f>
        <v>330</v>
      </c>
      <c r="M14" s="15">
        <f>Receita[[#Totals],[Out]]-CustodeVendas[[#Totals],[Out]]</f>
        <v>407</v>
      </c>
      <c r="N14" s="15">
        <f>Receita[[#Totals],[Nov]]-CustodeVendas[[#Totals],[Nov]]</f>
        <v>475</v>
      </c>
      <c r="O14" s="15">
        <f>Receita[[#Totals],[Dez]]-CustodeVendas[[#Totals],[Dez]]</f>
        <v>590</v>
      </c>
      <c r="P14" s="15">
        <f>Receita[[#Totals],[Anualmente]]-CustodeVendas[[#Totals],[Anualmente]]</f>
        <v>4842</v>
      </c>
      <c r="Q14" s="14"/>
      <c r="R14" s="41">
        <f t="shared" ref="R14:AD14" si="1">D14/$P$14</f>
        <v>7.4142916150351096E-2</v>
      </c>
      <c r="S14" s="16">
        <f t="shared" si="1"/>
        <v>7.8479966955803393E-2</v>
      </c>
      <c r="T14" s="16">
        <f t="shared" si="1"/>
        <v>0.10429574555968608</v>
      </c>
      <c r="U14" s="16">
        <f t="shared" si="1"/>
        <v>7.6414704667492769E-2</v>
      </c>
      <c r="V14" s="16">
        <f t="shared" si="1"/>
        <v>8.5295332507228414E-2</v>
      </c>
      <c r="W14" s="16">
        <f t="shared" si="1"/>
        <v>5.4935976869062368E-2</v>
      </c>
      <c r="X14" s="16">
        <f t="shared" si="1"/>
        <v>6.1544816191656339E-2</v>
      </c>
      <c r="Y14" s="16">
        <f t="shared" si="1"/>
        <v>9.2730276745146639E-2</v>
      </c>
      <c r="Z14" s="16">
        <f t="shared" si="1"/>
        <v>6.8153655514250316E-2</v>
      </c>
      <c r="AA14" s="16">
        <f t="shared" si="1"/>
        <v>8.4056175134242045E-2</v>
      </c>
      <c r="AB14" s="16">
        <f t="shared" si="1"/>
        <v>9.8099958694754227E-2</v>
      </c>
      <c r="AC14" s="16">
        <f t="shared" si="1"/>
        <v>0.12185047501032631</v>
      </c>
      <c r="AD14" s="16">
        <f t="shared" si="1"/>
        <v>1</v>
      </c>
    </row>
  </sheetData>
  <dataValidations count="19">
    <dataValidation allowBlank="1" showInputMessage="1" showErrorMessage="1" prompt="O lucro bruto para cada mês e ano é automaticamente calculado nesta linha com base no total de vendas e custos totais de vendas" sqref="B14"/>
    <dataValidation allowBlank="1" showInputMessage="1" showErrorMessage="1" prompt="Esta planilha calcula o custo total de vendas para cada mês e ano, e os custos de vendas anuais de itens. Com base nas entradas, o lucro bruto é automaticamente calculado" sqref="A1"/>
    <dataValidation allowBlank="1" showInputMessage="1" showErrorMessage="1" prompt="Essa célula é atualizada automaticamente a partir do título do período de projeção na planilha Receita (Vendas)" sqref="B1"/>
    <dataValidation allowBlank="1" showInputMessage="1" showErrorMessage="1" prompt="O nome da empresa é atualizado automaticamente usando a entrada da planilha Receita (Vendas)" sqref="AD1"/>
    <dataValidation allowBlank="1" showInputMessage="1" showErrorMessage="1" prompt="Título atualizado automaticamente da planilha Receita (Vendas). Insira os valores na tabela Custo de Vendas abaixo para calcular o total de custo de vendas" sqref="B2"/>
    <dataValidation allowBlank="1" showInputMessage="1" showErrorMessage="1" prompt="Mês e ano são atualizados automaticamente nas células à direita. Para alterar o mês ou ano, modifique as células AC2 e AD2 na planilha Receita (Vendas)" sqref="AB2"/>
    <dataValidation allowBlank="1" showInputMessage="1" showErrorMessage="1" prompt="Insira o índice percentual nesta coluna" sqref="Q4"/>
    <dataValidation allowBlank="1" showInputMessage="1" showErrorMessage="1" prompt="Insira nesta coluna o custo das fontes listadas na coluna B" sqref="D4:O4"/>
    <dataValidation allowBlank="1" showInputMessage="1" showErrorMessage="1" prompt="Um gráfico de tendências de custos ao longo do tempo está nesta coluna" sqref="C4"/>
    <dataValidation allowBlank="1" showInputMessage="1" showErrorMessage="1" prompt="Insira o custo das vendas desta coluna" sqref="B4"/>
    <dataValidation allowBlank="1" showInputMessage="1" showErrorMessage="1" prompt="Calcula automaticamente a proporção de custo de vendas de diversas fontes para o total de vendas para o ano nesta coluna" sqref="AD3"/>
    <dataValidation allowBlank="1" showInputMessage="1" showErrorMessage="1" prompt="Calcula automaticamente a proporção de custo de vendas de diversas fontes para o total de vendas nessa coluna para o mês nesta célula" sqref="R3:AC3"/>
    <dataValidation allowBlank="1" showInputMessage="1" showErrorMessage="1" prompt="Mês atualizado_x000a_automaticamente" sqref="O3"/>
    <dataValidation allowBlank="1" showInputMessage="1" showErrorMessage="1" prompt="As datas nesta linha são automaticamente atualizadas com base no mês inicial do ano fiscal. Para alterar o mês inicial, modifique a célula AC2 na planilha Receita (Vendas)" sqref="D3"/>
    <dataValidation allowBlank="1" showInputMessage="1" showErrorMessage="1" prompt="O custo anual é calculado automaticamente nesta coluna" sqref="P3"/>
    <dataValidation allowBlank="1" showInputMessage="1" showErrorMessage="1" prompt="O índice percentual está nesta coluna" sqref="Q3"/>
    <dataValidation allowBlank="1" showInputMessage="1" showErrorMessage="1" prompt="Mês atualizado automaticamente. Para alterar, modifique a célula AC2 na planilha Receita (Vendas)" sqref="AC2"/>
    <dataValidation allowBlank="1" showInputMessage="1" showErrorMessage="1" prompt="Ano atualizado automaticamente. Para alterar, modifique a célula AD2 na planilha Receita (Vendas)" sqref="AD2"/>
    <dataValidation allowBlank="1" showInputMessage="1" showErrorMessage="1" prompt="Mês atualizado_x000a_automaticamente" sqref="E3 F3 G3 H3 I3 J3 K3 L3 M3 N3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'Custo de vendas'!D5:O5</xm:f>
              <xm:sqref>C5</xm:sqref>
            </x14:sparkline>
            <x14:sparkline>
              <xm:f>'Custo de vendas'!D6:O6</xm:f>
              <xm:sqref>C6</xm:sqref>
            </x14:sparkline>
            <x14:sparkline>
              <xm:f>'Custo de vendas'!D7:O7</xm:f>
              <xm:sqref>C7</xm:sqref>
            </x14:sparkline>
            <x14:sparkline>
              <xm:f>'Custo de vendas'!D8:O8</xm:f>
              <xm:sqref>C8</xm:sqref>
            </x14:sparkline>
            <x14:sparkline>
              <xm:f>'Custo de vendas'!D9:O9</xm:f>
              <xm:sqref>C9</xm:sqref>
            </x14:sparkline>
            <x14:sparkline>
              <xm:f>'Custo de vendas'!D10:O10</xm:f>
              <xm:sqref>C10</xm:sqref>
            </x14:sparkline>
            <x14:sparkline>
              <xm:f>'Custo de vendas'!D11:O11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'Custo de vendas'!D12:O12</xm:f>
              <xm:sqref>C12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activeCell="C10" sqref="C10"/>
      <selection pane="bottomLeft"/>
    </sheetView>
  </sheetViews>
  <sheetFormatPr defaultRowHeight="30" customHeight="1" x14ac:dyDescent="0.3"/>
  <cols>
    <col min="1" max="1" width="2.625" customWidth="1"/>
    <col min="2" max="2" width="25.5" customWidth="1"/>
    <col min="3" max="3" width="14.25" customWidth="1"/>
    <col min="4" max="15" width="9.25" customWidth="1"/>
    <col min="16" max="16" width="14.375" bestFit="1" customWidth="1"/>
    <col min="17" max="30" width="8.125" customWidth="1"/>
    <col min="31" max="31" width="2.625" customWidth="1"/>
  </cols>
  <sheetData>
    <row r="1" spans="1:30" ht="35.1" customHeight="1" x14ac:dyDescent="0.3">
      <c r="A1" s="7"/>
      <c r="B1" s="23" t="str">
        <f>Título_Período_Projeção</f>
        <v>Doze meses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Nome_Empresa</f>
        <v>Nome da Empresa</v>
      </c>
    </row>
    <row r="2" spans="1:30" ht="60" customHeight="1" x14ac:dyDescent="0.3">
      <c r="B2" s="5" t="str">
        <f>'Receitas (Vendas)'!$B$2</f>
        <v>PROJEÇÃO DE LUCROS E PERDAS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55</v>
      </c>
      <c r="AC2" s="21" t="str">
        <f>InícioMêsAF</f>
        <v>JAN</v>
      </c>
      <c r="AD2" s="21">
        <f ca="1">AnoInícioAF</f>
        <v>2018</v>
      </c>
    </row>
    <row r="3" spans="1:30" ht="20.100000000000001" customHeight="1" x14ac:dyDescent="0.3">
      <c r="D3" s="22" t="str">
        <f ca="1">UPPER(TEXT(DATE(AnoInícioAF,NúmMêsAF,1),"mmm-aa"))</f>
        <v>JAN-18</v>
      </c>
      <c r="E3" s="22" t="str">
        <f ca="1">UPPER(TEXT(DATE(AnoInícioAF,NúmMêsAF+1,1),"mmm-aa"))</f>
        <v>FEV-18</v>
      </c>
      <c r="F3" s="22" t="str">
        <f ca="1">UPPER(TEXT(DATE(AnoInícioAF,NúmMêsAF+2,1),"mmm-aa"))</f>
        <v>MAR-18</v>
      </c>
      <c r="G3" s="22" t="str">
        <f ca="1">UPPER(TEXT(DATE(AnoInícioAF,NúmMêsAF+3,1),"mmm-aa"))</f>
        <v>ABR-18</v>
      </c>
      <c r="H3" s="22" t="str">
        <f ca="1">UPPER(TEXT(DATE(AnoInícioAF,NúmMêsAF+4,1),"mmm-aa"))</f>
        <v>MAI-18</v>
      </c>
      <c r="I3" s="22" t="str">
        <f ca="1">UPPER(TEXT(DATE(AnoInícioAF,NúmMêsAF+5,1),"mmm-aa"))</f>
        <v>JUN-18</v>
      </c>
      <c r="J3" s="22" t="str">
        <f ca="1">UPPER(TEXT(DATE(AnoInícioAF,NúmMêsAF+6,1),"mmm-aa"))</f>
        <v>JUL-18</v>
      </c>
      <c r="K3" s="22" t="str">
        <f ca="1">UPPER(TEXT(DATE(AnoInícioAF,NúmMêsAF+7,1),"mmm-aa"))</f>
        <v>AGO-18</v>
      </c>
      <c r="L3" s="22" t="str">
        <f ca="1">UPPER(TEXT(DATE(AnoInícioAF,NúmMêsAF+8,1),"mmm-aa"))</f>
        <v>SET-18</v>
      </c>
      <c r="M3" s="22" t="str">
        <f ca="1">UPPER(TEXT(DATE(AnoInícioAF,NúmMêsAF+9,1),"mmm-aa"))</f>
        <v>OUT-18</v>
      </c>
      <c r="N3" s="22" t="str">
        <f ca="1">UPPER(TEXT(DATE(AnoInícioAF,NúmMêsAF+10,1),"mmm-aa"))</f>
        <v>NOV-18</v>
      </c>
      <c r="O3" s="22" t="str">
        <f ca="1">UPPER(TEXT(DATE(AnoInícioAF,NúmMêsAF+11,1),"mmm-aa"))</f>
        <v>DEZ-18</v>
      </c>
      <c r="P3" s="22" t="s">
        <v>24</v>
      </c>
      <c r="Q3" s="22" t="s">
        <v>26</v>
      </c>
      <c r="R3" s="22" t="str">
        <f ca="1">LEFT(D3,3)&amp;" %"</f>
        <v>JAN %</v>
      </c>
      <c r="S3" s="22" t="str">
        <f t="shared" ref="S3:AC3" ca="1" si="0">LEFT(E3,3)&amp;" %"</f>
        <v>FEV %</v>
      </c>
      <c r="T3" s="22" t="str">
        <f t="shared" ca="1" si="0"/>
        <v>MAR %</v>
      </c>
      <c r="U3" s="22" t="str">
        <f t="shared" ca="1" si="0"/>
        <v>ABR %</v>
      </c>
      <c r="V3" s="22" t="str">
        <f t="shared" ca="1" si="0"/>
        <v>MAI %</v>
      </c>
      <c r="W3" s="22" t="str">
        <f t="shared" ca="1" si="0"/>
        <v>JUN %</v>
      </c>
      <c r="X3" s="22" t="str">
        <f t="shared" ca="1" si="0"/>
        <v>JUL %</v>
      </c>
      <c r="Y3" s="22" t="str">
        <f t="shared" ca="1" si="0"/>
        <v>AGO %</v>
      </c>
      <c r="Z3" s="22" t="str">
        <f t="shared" ca="1" si="0"/>
        <v>SET %</v>
      </c>
      <c r="AA3" s="22" t="str">
        <f t="shared" ca="1" si="0"/>
        <v>OUT %</v>
      </c>
      <c r="AB3" s="22" t="str">
        <f t="shared" ca="1" si="0"/>
        <v>NOV %</v>
      </c>
      <c r="AC3" s="22" t="str">
        <f t="shared" ca="1" si="0"/>
        <v>DEZ %</v>
      </c>
      <c r="AD3" s="22" t="s">
        <v>43</v>
      </c>
    </row>
    <row r="4" spans="1:30" ht="30" customHeight="1" x14ac:dyDescent="0.3">
      <c r="B4" s="29" t="s">
        <v>56</v>
      </c>
      <c r="C4" s="29" t="s">
        <v>11</v>
      </c>
      <c r="D4" s="24" t="s">
        <v>77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25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5" t="s">
        <v>33</v>
      </c>
      <c r="X4" s="25" t="s">
        <v>34</v>
      </c>
      <c r="Y4" s="25" t="s">
        <v>35</v>
      </c>
      <c r="Z4" s="25" t="s">
        <v>36</v>
      </c>
      <c r="AA4" s="25" t="s">
        <v>37</v>
      </c>
      <c r="AB4" s="25" t="s">
        <v>39</v>
      </c>
      <c r="AC4" s="25" t="s">
        <v>41</v>
      </c>
      <c r="AD4" s="24" t="s">
        <v>44</v>
      </c>
    </row>
    <row r="5" spans="1:30" ht="30" customHeight="1" x14ac:dyDescent="0.3">
      <c r="B5" s="17" t="s">
        <v>57</v>
      </c>
      <c r="C5" s="34" t="s">
        <v>76</v>
      </c>
      <c r="D5" s="18">
        <v>10</v>
      </c>
      <c r="E5" s="18">
        <v>18</v>
      </c>
      <c r="F5" s="18">
        <v>13</v>
      </c>
      <c r="G5" s="18">
        <v>8</v>
      </c>
      <c r="H5" s="18">
        <v>22</v>
      </c>
      <c r="I5" s="18">
        <v>18</v>
      </c>
      <c r="J5" s="18">
        <v>8</v>
      </c>
      <c r="K5" s="18">
        <v>17</v>
      </c>
      <c r="L5" s="18">
        <v>20</v>
      </c>
      <c r="M5" s="18">
        <v>8</v>
      </c>
      <c r="N5" s="18">
        <v>4</v>
      </c>
      <c r="O5" s="18">
        <v>12</v>
      </c>
      <c r="P5" s="35">
        <f>SUM(tblDespesas[[#This Row],[Coluna1]:[Dez]])</f>
        <v>158</v>
      </c>
      <c r="Q5" s="26">
        <v>0.12</v>
      </c>
      <c r="R5" s="36">
        <f>tblDespesas[[#This Row],[Coluna1]]/tblDespesas[[#Totals],[Coluna1]]</f>
        <v>4.2372881355932202E-2</v>
      </c>
      <c r="S5" s="36">
        <f>tblDespesas[[#This Row],[Fev]]/tblDespesas[[#Totals],[Fev]]</f>
        <v>8.7804878048780483E-2</v>
      </c>
      <c r="T5" s="36">
        <f>tblDespesas[[#This Row],[Mar]]/tblDespesas[[#Totals],[Mar]]</f>
        <v>5.2208835341365459E-2</v>
      </c>
      <c r="U5" s="36">
        <f>tblDespesas[[#This Row],[Abr]]/tblDespesas[[#Totals],[Abr]]</f>
        <v>3.0651340996168581E-2</v>
      </c>
      <c r="V5" s="36">
        <f>tblDespesas[[#This Row],[Mai]]/tblDespesas[[#Totals],[Mai]]</f>
        <v>8.5603112840466927E-2</v>
      </c>
      <c r="W5" s="36">
        <f>tblDespesas[[#This Row],[Jun]]/tblDespesas[[#Totals],[Jun]]</f>
        <v>6.569343065693431E-2</v>
      </c>
      <c r="X5" s="36">
        <f>tblDespesas[[#This Row],[Jul]]/tblDespesas[[#Totals],[Jul]]</f>
        <v>3.007518796992481E-2</v>
      </c>
      <c r="Y5" s="36">
        <f>tblDespesas[[#This Row],[Ago]]/tblDespesas[[#Totals],[Ago]]</f>
        <v>7.2340425531914887E-2</v>
      </c>
      <c r="Z5" s="36">
        <f>tblDespesas[[#This Row],[Set]]/tblDespesas[[#Totals],[Set]]</f>
        <v>8.6956521739130432E-2</v>
      </c>
      <c r="AA5" s="36">
        <f>tblDespesas[[#This Row],[Out]]/tblDespesas[[#Totals],[Out]]</f>
        <v>3.0888030888030889E-2</v>
      </c>
      <c r="AB5" s="36">
        <f>tblDespesas[[#This Row],[Nov]]/tblDespesas[[#Totals],[Nov]]</f>
        <v>1.3513513513513514E-2</v>
      </c>
      <c r="AC5" s="36">
        <f>tblDespesas[[#This Row],[Dez]]/tblDespesas[[#Totals],[Dez]]</f>
        <v>5.1948051948051951E-2</v>
      </c>
      <c r="AD5" s="36">
        <f>tblDespesas[[#This Row],[Anualmente]]/tblDespesas[[#Totals],[Anualmente]]</f>
        <v>5.2684228076025338E-2</v>
      </c>
    </row>
    <row r="6" spans="1:30" ht="30" customHeight="1" x14ac:dyDescent="0.3">
      <c r="B6" s="17" t="s">
        <v>58</v>
      </c>
      <c r="C6" s="34" t="s">
        <v>76</v>
      </c>
      <c r="D6" s="18">
        <v>23</v>
      </c>
      <c r="E6" s="18">
        <v>11</v>
      </c>
      <c r="F6" s="18">
        <v>7</v>
      </c>
      <c r="G6" s="18">
        <v>14</v>
      </c>
      <c r="H6" s="18">
        <v>12</v>
      </c>
      <c r="I6" s="18">
        <v>19</v>
      </c>
      <c r="J6" s="18">
        <v>19</v>
      </c>
      <c r="K6" s="18">
        <v>4</v>
      </c>
      <c r="L6" s="18">
        <v>7</v>
      </c>
      <c r="M6" s="18">
        <v>13</v>
      </c>
      <c r="N6" s="18">
        <v>25</v>
      </c>
      <c r="O6" s="18">
        <v>5</v>
      </c>
      <c r="P6" s="35">
        <f>SUM(tblDespesas[[#This Row],[Coluna1]:[Dez]])</f>
        <v>159</v>
      </c>
      <c r="Q6" s="26">
        <v>0.09</v>
      </c>
      <c r="R6" s="36">
        <f>tblDespesas[[#This Row],[Coluna1]]/tblDespesas[[#Totals],[Coluna1]]</f>
        <v>9.7457627118644072E-2</v>
      </c>
      <c r="S6" s="36">
        <f>tblDespesas[[#This Row],[Fev]]/tblDespesas[[#Totals],[Fev]]</f>
        <v>5.3658536585365853E-2</v>
      </c>
      <c r="T6" s="36">
        <f>tblDespesas[[#This Row],[Mar]]/tblDespesas[[#Totals],[Mar]]</f>
        <v>2.8112449799196786E-2</v>
      </c>
      <c r="U6" s="36">
        <f>tblDespesas[[#This Row],[Abr]]/tblDespesas[[#Totals],[Abr]]</f>
        <v>5.3639846743295021E-2</v>
      </c>
      <c r="V6" s="36">
        <f>tblDespesas[[#This Row],[Mai]]/tblDespesas[[#Totals],[Mai]]</f>
        <v>4.6692607003891051E-2</v>
      </c>
      <c r="W6" s="36">
        <f>tblDespesas[[#This Row],[Jun]]/tblDespesas[[#Totals],[Jun]]</f>
        <v>6.9343065693430656E-2</v>
      </c>
      <c r="X6" s="36">
        <f>tblDespesas[[#This Row],[Jul]]/tblDespesas[[#Totals],[Jul]]</f>
        <v>7.1428571428571425E-2</v>
      </c>
      <c r="Y6" s="36">
        <f>tblDespesas[[#This Row],[Ago]]/tblDespesas[[#Totals],[Ago]]</f>
        <v>1.7021276595744681E-2</v>
      </c>
      <c r="Z6" s="36">
        <f>tblDespesas[[#This Row],[Set]]/tblDespesas[[#Totals],[Set]]</f>
        <v>3.0434782608695653E-2</v>
      </c>
      <c r="AA6" s="36">
        <f>tblDespesas[[#This Row],[Out]]/tblDespesas[[#Totals],[Out]]</f>
        <v>5.019305019305019E-2</v>
      </c>
      <c r="AB6" s="36">
        <f>tblDespesas[[#This Row],[Nov]]/tblDespesas[[#Totals],[Nov]]</f>
        <v>8.4459459459459457E-2</v>
      </c>
      <c r="AC6" s="36">
        <f>tblDespesas[[#This Row],[Dez]]/tblDespesas[[#Totals],[Dez]]</f>
        <v>2.1645021645021644E-2</v>
      </c>
      <c r="AD6" s="36">
        <f>tblDespesas[[#This Row],[Anualmente]]/tblDespesas[[#Totals],[Anualmente]]</f>
        <v>5.3017672557519172E-2</v>
      </c>
    </row>
    <row r="7" spans="1:30" ht="30" customHeight="1" x14ac:dyDescent="0.3">
      <c r="B7" s="17" t="s">
        <v>59</v>
      </c>
      <c r="C7" s="34" t="s">
        <v>76</v>
      </c>
      <c r="D7" s="18">
        <v>23</v>
      </c>
      <c r="E7" s="18">
        <v>20</v>
      </c>
      <c r="F7" s="18">
        <v>3</v>
      </c>
      <c r="G7" s="18">
        <v>16</v>
      </c>
      <c r="H7" s="18">
        <v>10</v>
      </c>
      <c r="I7" s="18">
        <v>5</v>
      </c>
      <c r="J7" s="18">
        <v>20</v>
      </c>
      <c r="K7" s="18">
        <v>7</v>
      </c>
      <c r="L7" s="18">
        <v>4</v>
      </c>
      <c r="M7" s="18">
        <v>22</v>
      </c>
      <c r="N7" s="18">
        <v>13</v>
      </c>
      <c r="O7" s="18">
        <v>14</v>
      </c>
      <c r="P7" s="35">
        <f>SUM(tblDespesas[[#This Row],[Coluna1]:[Dez]])</f>
        <v>157</v>
      </c>
      <c r="Q7" s="26">
        <v>0.02</v>
      </c>
      <c r="R7" s="36">
        <f>tblDespesas[[#This Row],[Coluna1]]/tblDespesas[[#Totals],[Coluna1]]</f>
        <v>9.7457627118644072E-2</v>
      </c>
      <c r="S7" s="36">
        <f>tblDespesas[[#This Row],[Fev]]/tblDespesas[[#Totals],[Fev]]</f>
        <v>9.7560975609756101E-2</v>
      </c>
      <c r="T7" s="36">
        <f>tblDespesas[[#This Row],[Mar]]/tblDespesas[[#Totals],[Mar]]</f>
        <v>1.2048192771084338E-2</v>
      </c>
      <c r="U7" s="36">
        <f>tblDespesas[[#This Row],[Abr]]/tblDespesas[[#Totals],[Abr]]</f>
        <v>6.1302681992337162E-2</v>
      </c>
      <c r="V7" s="36">
        <f>tblDespesas[[#This Row],[Mai]]/tblDespesas[[#Totals],[Mai]]</f>
        <v>3.8910505836575876E-2</v>
      </c>
      <c r="W7" s="36">
        <f>tblDespesas[[#This Row],[Jun]]/tblDespesas[[#Totals],[Jun]]</f>
        <v>1.824817518248175E-2</v>
      </c>
      <c r="X7" s="36">
        <f>tblDespesas[[#This Row],[Jul]]/tblDespesas[[#Totals],[Jul]]</f>
        <v>7.5187969924812026E-2</v>
      </c>
      <c r="Y7" s="36">
        <f>tblDespesas[[#This Row],[Ago]]/tblDespesas[[#Totals],[Ago]]</f>
        <v>2.9787234042553193E-2</v>
      </c>
      <c r="Z7" s="36">
        <f>tblDespesas[[#This Row],[Set]]/tblDespesas[[#Totals],[Set]]</f>
        <v>1.7391304347826087E-2</v>
      </c>
      <c r="AA7" s="36">
        <f>tblDespesas[[#This Row],[Out]]/tblDespesas[[#Totals],[Out]]</f>
        <v>8.4942084942084939E-2</v>
      </c>
      <c r="AB7" s="36">
        <f>tblDespesas[[#This Row],[Nov]]/tblDespesas[[#Totals],[Nov]]</f>
        <v>4.3918918918918921E-2</v>
      </c>
      <c r="AC7" s="36">
        <f>tblDespesas[[#This Row],[Dez]]/tblDespesas[[#Totals],[Dez]]</f>
        <v>6.0606060606060608E-2</v>
      </c>
      <c r="AD7" s="36">
        <f>tblDespesas[[#This Row],[Anualmente]]/tblDespesas[[#Totals],[Anualmente]]</f>
        <v>5.2350783594531512E-2</v>
      </c>
    </row>
    <row r="8" spans="1:30" ht="30" customHeight="1" x14ac:dyDescent="0.3">
      <c r="B8" s="17" t="s">
        <v>60</v>
      </c>
      <c r="C8" s="34" t="s">
        <v>76</v>
      </c>
      <c r="D8" s="18">
        <v>19</v>
      </c>
      <c r="E8" s="18">
        <v>4</v>
      </c>
      <c r="F8" s="18">
        <v>7</v>
      </c>
      <c r="G8" s="18">
        <v>14</v>
      </c>
      <c r="H8" s="18">
        <v>22</v>
      </c>
      <c r="I8" s="18">
        <v>10</v>
      </c>
      <c r="J8" s="18">
        <v>22</v>
      </c>
      <c r="K8" s="18">
        <v>5</v>
      </c>
      <c r="L8" s="18">
        <v>4</v>
      </c>
      <c r="M8" s="18">
        <v>12</v>
      </c>
      <c r="N8" s="18">
        <v>18</v>
      </c>
      <c r="O8" s="18">
        <v>24</v>
      </c>
      <c r="P8" s="35">
        <f>SUM(tblDespesas[[#This Row],[Coluna1]:[Dez]])</f>
        <v>161</v>
      </c>
      <c r="Q8" s="26">
        <v>0.08</v>
      </c>
      <c r="R8" s="36">
        <f>tblDespesas[[#This Row],[Coluna1]]/tblDespesas[[#Totals],[Coluna1]]</f>
        <v>8.050847457627118E-2</v>
      </c>
      <c r="S8" s="36">
        <f>tblDespesas[[#This Row],[Fev]]/tblDespesas[[#Totals],[Fev]]</f>
        <v>1.9512195121951219E-2</v>
      </c>
      <c r="T8" s="36">
        <f>tblDespesas[[#This Row],[Mar]]/tblDespesas[[#Totals],[Mar]]</f>
        <v>2.8112449799196786E-2</v>
      </c>
      <c r="U8" s="36">
        <f>tblDespesas[[#This Row],[Abr]]/tblDespesas[[#Totals],[Abr]]</f>
        <v>5.3639846743295021E-2</v>
      </c>
      <c r="V8" s="36">
        <f>tblDespesas[[#This Row],[Mai]]/tblDespesas[[#Totals],[Mai]]</f>
        <v>8.5603112840466927E-2</v>
      </c>
      <c r="W8" s="36">
        <f>tblDespesas[[#This Row],[Jun]]/tblDespesas[[#Totals],[Jun]]</f>
        <v>3.6496350364963501E-2</v>
      </c>
      <c r="X8" s="36">
        <f>tblDespesas[[#This Row],[Jul]]/tblDespesas[[#Totals],[Jul]]</f>
        <v>8.2706766917293228E-2</v>
      </c>
      <c r="Y8" s="36">
        <f>tblDespesas[[#This Row],[Ago]]/tblDespesas[[#Totals],[Ago]]</f>
        <v>2.1276595744680851E-2</v>
      </c>
      <c r="Z8" s="36">
        <f>tblDespesas[[#This Row],[Set]]/tblDespesas[[#Totals],[Set]]</f>
        <v>1.7391304347826087E-2</v>
      </c>
      <c r="AA8" s="36">
        <f>tblDespesas[[#This Row],[Out]]/tblDespesas[[#Totals],[Out]]</f>
        <v>4.633204633204633E-2</v>
      </c>
      <c r="AB8" s="36">
        <f>tblDespesas[[#This Row],[Nov]]/tblDespesas[[#Totals],[Nov]]</f>
        <v>6.0810810810810814E-2</v>
      </c>
      <c r="AC8" s="36">
        <f>tblDespesas[[#This Row],[Dez]]/tblDespesas[[#Totals],[Dez]]</f>
        <v>0.1038961038961039</v>
      </c>
      <c r="AD8" s="36">
        <f>tblDespesas[[#This Row],[Anualmente]]/tblDespesas[[#Totals],[Anualmente]]</f>
        <v>5.3684561520506838E-2</v>
      </c>
    </row>
    <row r="9" spans="1:30" ht="30" customHeight="1" x14ac:dyDescent="0.3">
      <c r="B9" s="17" t="s">
        <v>61</v>
      </c>
      <c r="C9" s="34" t="s">
        <v>76</v>
      </c>
      <c r="D9" s="18">
        <v>11</v>
      </c>
      <c r="E9" s="18">
        <v>11</v>
      </c>
      <c r="F9" s="18">
        <v>17</v>
      </c>
      <c r="G9" s="18">
        <v>12</v>
      </c>
      <c r="H9" s="18">
        <v>2</v>
      </c>
      <c r="I9" s="18">
        <v>14</v>
      </c>
      <c r="J9" s="18">
        <v>12</v>
      </c>
      <c r="K9" s="18">
        <v>10</v>
      </c>
      <c r="L9" s="18">
        <v>18</v>
      </c>
      <c r="M9" s="18">
        <v>11</v>
      </c>
      <c r="N9" s="18">
        <v>23</v>
      </c>
      <c r="O9" s="18">
        <v>11</v>
      </c>
      <c r="P9" s="35">
        <f>SUM(tblDespesas[[#This Row],[Coluna1]:[Dez]])</f>
        <v>152</v>
      </c>
      <c r="Q9" s="26">
        <v>0.03</v>
      </c>
      <c r="R9" s="36">
        <f>tblDespesas[[#This Row],[Coluna1]]/tblDespesas[[#Totals],[Coluna1]]</f>
        <v>4.6610169491525424E-2</v>
      </c>
      <c r="S9" s="36">
        <f>tblDespesas[[#This Row],[Fev]]/tblDespesas[[#Totals],[Fev]]</f>
        <v>5.3658536585365853E-2</v>
      </c>
      <c r="T9" s="36">
        <f>tblDespesas[[#This Row],[Mar]]/tblDespesas[[#Totals],[Mar]]</f>
        <v>6.8273092369477914E-2</v>
      </c>
      <c r="U9" s="36">
        <f>tblDespesas[[#This Row],[Abr]]/tblDespesas[[#Totals],[Abr]]</f>
        <v>4.5977011494252873E-2</v>
      </c>
      <c r="V9" s="36">
        <f>tblDespesas[[#This Row],[Mai]]/tblDespesas[[#Totals],[Mai]]</f>
        <v>7.7821011673151752E-3</v>
      </c>
      <c r="W9" s="36">
        <f>tblDespesas[[#This Row],[Jun]]/tblDespesas[[#Totals],[Jun]]</f>
        <v>5.1094890510948905E-2</v>
      </c>
      <c r="X9" s="36">
        <f>tblDespesas[[#This Row],[Jul]]/tblDespesas[[#Totals],[Jul]]</f>
        <v>4.5112781954887216E-2</v>
      </c>
      <c r="Y9" s="36">
        <f>tblDespesas[[#This Row],[Ago]]/tblDespesas[[#Totals],[Ago]]</f>
        <v>4.2553191489361701E-2</v>
      </c>
      <c r="Z9" s="36">
        <f>tblDespesas[[#This Row],[Set]]/tblDespesas[[#Totals],[Set]]</f>
        <v>7.8260869565217397E-2</v>
      </c>
      <c r="AA9" s="36">
        <f>tblDespesas[[#This Row],[Out]]/tblDespesas[[#Totals],[Out]]</f>
        <v>4.2471042471042469E-2</v>
      </c>
      <c r="AB9" s="36">
        <f>tblDespesas[[#This Row],[Nov]]/tblDespesas[[#Totals],[Nov]]</f>
        <v>7.77027027027027E-2</v>
      </c>
      <c r="AC9" s="36">
        <f>tblDespesas[[#This Row],[Dez]]/tblDespesas[[#Totals],[Dez]]</f>
        <v>4.7619047619047616E-2</v>
      </c>
      <c r="AD9" s="36">
        <f>tblDespesas[[#This Row],[Anualmente]]/tblDespesas[[#Totals],[Anualmente]]</f>
        <v>5.0683561187062354E-2</v>
      </c>
    </row>
    <row r="10" spans="1:30" ht="30" customHeight="1" x14ac:dyDescent="0.3">
      <c r="B10" s="17" t="s">
        <v>62</v>
      </c>
      <c r="C10" s="34" t="s">
        <v>76</v>
      </c>
      <c r="D10" s="18">
        <v>2</v>
      </c>
      <c r="E10" s="18">
        <v>16</v>
      </c>
      <c r="F10" s="18">
        <v>6</v>
      </c>
      <c r="G10" s="18">
        <v>13</v>
      </c>
      <c r="H10" s="18">
        <v>11</v>
      </c>
      <c r="I10" s="18">
        <v>22</v>
      </c>
      <c r="J10" s="18">
        <v>21</v>
      </c>
      <c r="K10" s="18">
        <v>3</v>
      </c>
      <c r="L10" s="18">
        <v>12</v>
      </c>
      <c r="M10" s="18">
        <v>7</v>
      </c>
      <c r="N10" s="18">
        <v>17</v>
      </c>
      <c r="O10" s="18">
        <v>20</v>
      </c>
      <c r="P10" s="35">
        <f>SUM(tblDespesas[[#This Row],[Coluna1]:[Dez]])</f>
        <v>150</v>
      </c>
      <c r="Q10" s="42">
        <v>0.15</v>
      </c>
      <c r="R10" s="43">
        <f>tblDespesas[[#This Row],[Coluna1]]/tblDespesas[[#Totals],[Coluna1]]</f>
        <v>8.4745762711864406E-3</v>
      </c>
      <c r="S10" s="43">
        <f>tblDespesas[[#This Row],[Fev]]/tblDespesas[[#Totals],[Fev]]</f>
        <v>7.8048780487804878E-2</v>
      </c>
      <c r="T10" s="43">
        <f>tblDespesas[[#This Row],[Mar]]/tblDespesas[[#Totals],[Mar]]</f>
        <v>2.4096385542168676E-2</v>
      </c>
      <c r="U10" s="43">
        <f>tblDespesas[[#This Row],[Abr]]/tblDespesas[[#Totals],[Abr]]</f>
        <v>4.9808429118773943E-2</v>
      </c>
      <c r="V10" s="43">
        <f>tblDespesas[[#This Row],[Mai]]/tblDespesas[[#Totals],[Mai]]</f>
        <v>4.2801556420233464E-2</v>
      </c>
      <c r="W10" s="43">
        <f>tblDespesas[[#This Row],[Jun]]/tblDespesas[[#Totals],[Jun]]</f>
        <v>8.0291970802919707E-2</v>
      </c>
      <c r="X10" s="43">
        <f>tblDespesas[[#This Row],[Jul]]/tblDespesas[[#Totals],[Jul]]</f>
        <v>7.8947368421052627E-2</v>
      </c>
      <c r="Y10" s="43">
        <f>tblDespesas[[#This Row],[Ago]]/tblDespesas[[#Totals],[Ago]]</f>
        <v>1.276595744680851E-2</v>
      </c>
      <c r="Z10" s="43">
        <f>tblDespesas[[#This Row],[Set]]/tblDespesas[[#Totals],[Set]]</f>
        <v>5.2173913043478258E-2</v>
      </c>
      <c r="AA10" s="43">
        <f>tblDespesas[[#This Row],[Out]]/tblDespesas[[#Totals],[Out]]</f>
        <v>2.7027027027027029E-2</v>
      </c>
      <c r="AB10" s="43">
        <f>tblDespesas[[#This Row],[Nov]]/tblDespesas[[#Totals],[Nov]]</f>
        <v>5.7432432432432436E-2</v>
      </c>
      <c r="AC10" s="43">
        <f>tblDespesas[[#This Row],[Dez]]/tblDespesas[[#Totals],[Dez]]</f>
        <v>8.6580086580086577E-2</v>
      </c>
      <c r="AD10" s="43">
        <f>tblDespesas[[#This Row],[Anualmente]]/tblDespesas[[#Totals],[Anualmente]]</f>
        <v>5.0016672224074694E-2</v>
      </c>
    </row>
    <row r="11" spans="1:30" ht="30" customHeight="1" x14ac:dyDescent="0.3">
      <c r="B11" s="17" t="s">
        <v>63</v>
      </c>
      <c r="C11" s="34" t="s">
        <v>76</v>
      </c>
      <c r="D11" s="18">
        <v>8</v>
      </c>
      <c r="E11" s="18">
        <v>17</v>
      </c>
      <c r="F11" s="18">
        <v>11</v>
      </c>
      <c r="G11" s="18">
        <v>11</v>
      </c>
      <c r="H11" s="18">
        <v>21</v>
      </c>
      <c r="I11" s="18">
        <v>9</v>
      </c>
      <c r="J11" s="18">
        <v>20</v>
      </c>
      <c r="K11" s="18">
        <v>3</v>
      </c>
      <c r="L11" s="18">
        <v>14</v>
      </c>
      <c r="M11" s="18">
        <v>22</v>
      </c>
      <c r="N11" s="18">
        <v>16</v>
      </c>
      <c r="O11" s="18">
        <v>12</v>
      </c>
      <c r="P11" s="35">
        <f>SUM(tblDespesas[[#This Row],[Coluna1]:[Dez]])</f>
        <v>164</v>
      </c>
      <c r="Q11" s="42">
        <v>0.12</v>
      </c>
      <c r="R11" s="43">
        <f>tblDespesas[[#This Row],[Coluna1]]/tblDespesas[[#Totals],[Coluna1]]</f>
        <v>3.3898305084745763E-2</v>
      </c>
      <c r="S11" s="43">
        <f>tblDespesas[[#This Row],[Fev]]/tblDespesas[[#Totals],[Fev]]</f>
        <v>8.2926829268292687E-2</v>
      </c>
      <c r="T11" s="43">
        <f>tblDespesas[[#This Row],[Mar]]/tblDespesas[[#Totals],[Mar]]</f>
        <v>4.4176706827309238E-2</v>
      </c>
      <c r="U11" s="43">
        <f>tblDespesas[[#This Row],[Abr]]/tblDespesas[[#Totals],[Abr]]</f>
        <v>4.2145593869731802E-2</v>
      </c>
      <c r="V11" s="43">
        <f>tblDespesas[[#This Row],[Mai]]/tblDespesas[[#Totals],[Mai]]</f>
        <v>8.171206225680934E-2</v>
      </c>
      <c r="W11" s="43">
        <f>tblDespesas[[#This Row],[Jun]]/tblDespesas[[#Totals],[Jun]]</f>
        <v>3.2846715328467155E-2</v>
      </c>
      <c r="X11" s="43">
        <f>tblDespesas[[#This Row],[Jul]]/tblDespesas[[#Totals],[Jul]]</f>
        <v>7.5187969924812026E-2</v>
      </c>
      <c r="Y11" s="43">
        <f>tblDespesas[[#This Row],[Ago]]/tblDespesas[[#Totals],[Ago]]</f>
        <v>1.276595744680851E-2</v>
      </c>
      <c r="Z11" s="43">
        <f>tblDespesas[[#This Row],[Set]]/tblDespesas[[#Totals],[Set]]</f>
        <v>6.0869565217391307E-2</v>
      </c>
      <c r="AA11" s="43">
        <f>tblDespesas[[#This Row],[Out]]/tblDespesas[[#Totals],[Out]]</f>
        <v>8.4942084942084939E-2</v>
      </c>
      <c r="AB11" s="43">
        <f>tblDespesas[[#This Row],[Nov]]/tblDespesas[[#Totals],[Nov]]</f>
        <v>5.4054054054054057E-2</v>
      </c>
      <c r="AC11" s="43">
        <f>tblDespesas[[#This Row],[Dez]]/tblDespesas[[#Totals],[Dez]]</f>
        <v>5.1948051948051951E-2</v>
      </c>
      <c r="AD11" s="43">
        <f>tblDespesas[[#This Row],[Anualmente]]/tblDespesas[[#Totals],[Anualmente]]</f>
        <v>5.468489496498833E-2</v>
      </c>
    </row>
    <row r="12" spans="1:30" ht="30" customHeight="1" x14ac:dyDescent="0.3">
      <c r="B12" s="17" t="s">
        <v>64</v>
      </c>
      <c r="C12" s="34" t="s">
        <v>76</v>
      </c>
      <c r="D12" s="18">
        <v>5</v>
      </c>
      <c r="E12" s="18">
        <v>13</v>
      </c>
      <c r="F12" s="18">
        <v>6</v>
      </c>
      <c r="G12" s="18">
        <v>15</v>
      </c>
      <c r="H12" s="18">
        <v>19</v>
      </c>
      <c r="I12" s="18">
        <v>10</v>
      </c>
      <c r="J12" s="18">
        <v>12</v>
      </c>
      <c r="K12" s="18">
        <v>9</v>
      </c>
      <c r="L12" s="18">
        <v>15</v>
      </c>
      <c r="M12" s="18">
        <v>16</v>
      </c>
      <c r="N12" s="18">
        <v>4</v>
      </c>
      <c r="O12" s="18">
        <v>9</v>
      </c>
      <c r="P12" s="35">
        <f>SUM(tblDespesas[[#This Row],[Coluna1]:[Dez]])</f>
        <v>133</v>
      </c>
      <c r="Q12" s="42">
        <v>0.09</v>
      </c>
      <c r="R12" s="43">
        <f>tblDespesas[[#This Row],[Coluna1]]/tblDespesas[[#Totals],[Coluna1]]</f>
        <v>2.1186440677966101E-2</v>
      </c>
      <c r="S12" s="43">
        <f>tblDespesas[[#This Row],[Fev]]/tblDespesas[[#Totals],[Fev]]</f>
        <v>6.3414634146341464E-2</v>
      </c>
      <c r="T12" s="43">
        <f>tblDespesas[[#This Row],[Mar]]/tblDespesas[[#Totals],[Mar]]</f>
        <v>2.4096385542168676E-2</v>
      </c>
      <c r="U12" s="43">
        <f>tblDespesas[[#This Row],[Abr]]/tblDespesas[[#Totals],[Abr]]</f>
        <v>5.7471264367816091E-2</v>
      </c>
      <c r="V12" s="43">
        <f>tblDespesas[[#This Row],[Mai]]/tblDespesas[[#Totals],[Mai]]</f>
        <v>7.3929961089494164E-2</v>
      </c>
      <c r="W12" s="43">
        <f>tblDespesas[[#This Row],[Jun]]/tblDespesas[[#Totals],[Jun]]</f>
        <v>3.6496350364963501E-2</v>
      </c>
      <c r="X12" s="43">
        <f>tblDespesas[[#This Row],[Jul]]/tblDespesas[[#Totals],[Jul]]</f>
        <v>4.5112781954887216E-2</v>
      </c>
      <c r="Y12" s="43">
        <f>tblDespesas[[#This Row],[Ago]]/tblDespesas[[#Totals],[Ago]]</f>
        <v>3.8297872340425532E-2</v>
      </c>
      <c r="Z12" s="43">
        <f>tblDespesas[[#This Row],[Set]]/tblDespesas[[#Totals],[Set]]</f>
        <v>6.5217391304347824E-2</v>
      </c>
      <c r="AA12" s="43">
        <f>tblDespesas[[#This Row],[Out]]/tblDespesas[[#Totals],[Out]]</f>
        <v>6.1776061776061778E-2</v>
      </c>
      <c r="AB12" s="43">
        <f>tblDespesas[[#This Row],[Nov]]/tblDespesas[[#Totals],[Nov]]</f>
        <v>1.3513513513513514E-2</v>
      </c>
      <c r="AC12" s="43">
        <f>tblDespesas[[#This Row],[Dez]]/tblDespesas[[#Totals],[Dez]]</f>
        <v>3.896103896103896E-2</v>
      </c>
      <c r="AD12" s="43">
        <f>tblDespesas[[#This Row],[Anualmente]]/tblDespesas[[#Totals],[Anualmente]]</f>
        <v>4.4348116038679559E-2</v>
      </c>
    </row>
    <row r="13" spans="1:30" ht="30" customHeight="1" x14ac:dyDescent="0.3">
      <c r="B13" s="17" t="s">
        <v>65</v>
      </c>
      <c r="C13" s="34" t="s">
        <v>76</v>
      </c>
      <c r="D13" s="18">
        <v>8</v>
      </c>
      <c r="E13" s="18">
        <v>4</v>
      </c>
      <c r="F13" s="18">
        <v>23</v>
      </c>
      <c r="G13" s="18">
        <v>25</v>
      </c>
      <c r="H13" s="18">
        <v>10</v>
      </c>
      <c r="I13" s="18">
        <v>24</v>
      </c>
      <c r="J13" s="18">
        <v>22</v>
      </c>
      <c r="K13" s="18">
        <v>5</v>
      </c>
      <c r="L13" s="18">
        <v>12</v>
      </c>
      <c r="M13" s="18">
        <v>24</v>
      </c>
      <c r="N13" s="18">
        <v>24</v>
      </c>
      <c r="O13" s="18">
        <v>12</v>
      </c>
      <c r="P13" s="35">
        <f>SUM(tblDespesas[[#This Row],[Coluna1]:[Dez]])</f>
        <v>193</v>
      </c>
      <c r="Q13" s="42">
        <v>0.01</v>
      </c>
      <c r="R13" s="43">
        <f>tblDespesas[[#This Row],[Coluna1]]/tblDespesas[[#Totals],[Coluna1]]</f>
        <v>3.3898305084745763E-2</v>
      </c>
      <c r="S13" s="43">
        <f>tblDespesas[[#This Row],[Fev]]/tblDespesas[[#Totals],[Fev]]</f>
        <v>1.9512195121951219E-2</v>
      </c>
      <c r="T13" s="43">
        <f>tblDespesas[[#This Row],[Mar]]/tblDespesas[[#Totals],[Mar]]</f>
        <v>9.2369477911646583E-2</v>
      </c>
      <c r="U13" s="43">
        <f>tblDespesas[[#This Row],[Abr]]/tblDespesas[[#Totals],[Abr]]</f>
        <v>9.5785440613026823E-2</v>
      </c>
      <c r="V13" s="43">
        <f>tblDespesas[[#This Row],[Mai]]/tblDespesas[[#Totals],[Mai]]</f>
        <v>3.8910505836575876E-2</v>
      </c>
      <c r="W13" s="43">
        <f>tblDespesas[[#This Row],[Jun]]/tblDespesas[[#Totals],[Jun]]</f>
        <v>8.7591240875912413E-2</v>
      </c>
      <c r="X13" s="43">
        <f>tblDespesas[[#This Row],[Jul]]/tblDespesas[[#Totals],[Jul]]</f>
        <v>8.2706766917293228E-2</v>
      </c>
      <c r="Y13" s="43">
        <f>tblDespesas[[#This Row],[Ago]]/tblDespesas[[#Totals],[Ago]]</f>
        <v>2.1276595744680851E-2</v>
      </c>
      <c r="Z13" s="43">
        <f>tblDespesas[[#This Row],[Set]]/tblDespesas[[#Totals],[Set]]</f>
        <v>5.2173913043478258E-2</v>
      </c>
      <c r="AA13" s="43">
        <f>tblDespesas[[#This Row],[Out]]/tblDespesas[[#Totals],[Out]]</f>
        <v>9.2664092664092659E-2</v>
      </c>
      <c r="AB13" s="43">
        <f>tblDespesas[[#This Row],[Nov]]/tblDespesas[[#Totals],[Nov]]</f>
        <v>8.1081081081081086E-2</v>
      </c>
      <c r="AC13" s="43">
        <f>tblDespesas[[#This Row],[Dez]]/tblDespesas[[#Totals],[Dez]]</f>
        <v>5.1948051948051951E-2</v>
      </c>
      <c r="AD13" s="43">
        <f>tblDespesas[[#This Row],[Anualmente]]/tblDespesas[[#Totals],[Anualmente]]</f>
        <v>6.4354784928309441E-2</v>
      </c>
    </row>
    <row r="14" spans="1:30" ht="30" customHeight="1" x14ac:dyDescent="0.3">
      <c r="B14" s="17" t="s">
        <v>66</v>
      </c>
      <c r="C14" s="34" t="s">
        <v>76</v>
      </c>
      <c r="D14" s="18">
        <v>25</v>
      </c>
      <c r="E14" s="18">
        <v>2</v>
      </c>
      <c r="F14" s="18">
        <v>12</v>
      </c>
      <c r="G14" s="18">
        <v>25</v>
      </c>
      <c r="H14" s="18">
        <v>10</v>
      </c>
      <c r="I14" s="18">
        <v>24</v>
      </c>
      <c r="J14" s="18">
        <v>3</v>
      </c>
      <c r="K14" s="18">
        <v>20</v>
      </c>
      <c r="L14" s="18">
        <v>3</v>
      </c>
      <c r="M14" s="18">
        <v>9</v>
      </c>
      <c r="N14" s="18">
        <v>20</v>
      </c>
      <c r="O14" s="18">
        <v>18</v>
      </c>
      <c r="P14" s="35">
        <f>SUM(tblDespesas[[#This Row],[Coluna1]:[Dez]])</f>
        <v>171</v>
      </c>
      <c r="Q14" s="42">
        <v>0.01</v>
      </c>
      <c r="R14" s="43">
        <f>tblDespesas[[#This Row],[Coluna1]]/tblDespesas[[#Totals],[Coluna1]]</f>
        <v>0.1059322033898305</v>
      </c>
      <c r="S14" s="43">
        <f>tblDespesas[[#This Row],[Fev]]/tblDespesas[[#Totals],[Fev]]</f>
        <v>9.7560975609756097E-3</v>
      </c>
      <c r="T14" s="43">
        <f>tblDespesas[[#This Row],[Mar]]/tblDespesas[[#Totals],[Mar]]</f>
        <v>4.8192771084337352E-2</v>
      </c>
      <c r="U14" s="43">
        <f>tblDespesas[[#This Row],[Abr]]/tblDespesas[[#Totals],[Abr]]</f>
        <v>9.5785440613026823E-2</v>
      </c>
      <c r="V14" s="43">
        <f>tblDespesas[[#This Row],[Mai]]/tblDespesas[[#Totals],[Mai]]</f>
        <v>3.8910505836575876E-2</v>
      </c>
      <c r="W14" s="43">
        <f>tblDespesas[[#This Row],[Jun]]/tblDespesas[[#Totals],[Jun]]</f>
        <v>8.7591240875912413E-2</v>
      </c>
      <c r="X14" s="43">
        <f>tblDespesas[[#This Row],[Jul]]/tblDespesas[[#Totals],[Jul]]</f>
        <v>1.1278195488721804E-2</v>
      </c>
      <c r="Y14" s="43">
        <f>tblDespesas[[#This Row],[Ago]]/tblDespesas[[#Totals],[Ago]]</f>
        <v>8.5106382978723402E-2</v>
      </c>
      <c r="Z14" s="43">
        <f>tblDespesas[[#This Row],[Set]]/tblDespesas[[#Totals],[Set]]</f>
        <v>1.3043478260869565E-2</v>
      </c>
      <c r="AA14" s="43">
        <f>tblDespesas[[#This Row],[Out]]/tblDespesas[[#Totals],[Out]]</f>
        <v>3.4749034749034749E-2</v>
      </c>
      <c r="AB14" s="43">
        <f>tblDespesas[[#This Row],[Nov]]/tblDespesas[[#Totals],[Nov]]</f>
        <v>6.7567567567567571E-2</v>
      </c>
      <c r="AC14" s="43">
        <f>tblDespesas[[#This Row],[Dez]]/tblDespesas[[#Totals],[Dez]]</f>
        <v>7.792207792207792E-2</v>
      </c>
      <c r="AD14" s="43">
        <f>tblDespesas[[#This Row],[Anualmente]]/tblDespesas[[#Totals],[Anualmente]]</f>
        <v>5.7019006335445148E-2</v>
      </c>
    </row>
    <row r="15" spans="1:30" ht="30" customHeight="1" x14ac:dyDescent="0.3">
      <c r="B15" s="17" t="s">
        <v>67</v>
      </c>
      <c r="C15" s="34" t="s">
        <v>76</v>
      </c>
      <c r="D15" s="18">
        <v>16</v>
      </c>
      <c r="E15" s="18">
        <v>19</v>
      </c>
      <c r="F15" s="18">
        <v>9</v>
      </c>
      <c r="G15" s="18">
        <v>16</v>
      </c>
      <c r="H15" s="18">
        <v>13</v>
      </c>
      <c r="I15" s="18">
        <v>2</v>
      </c>
      <c r="J15" s="18">
        <v>4</v>
      </c>
      <c r="K15" s="18">
        <v>24</v>
      </c>
      <c r="L15" s="18">
        <v>16</v>
      </c>
      <c r="M15" s="18">
        <v>22</v>
      </c>
      <c r="N15" s="18">
        <v>7</v>
      </c>
      <c r="O15" s="18">
        <v>18</v>
      </c>
      <c r="P15" s="35">
        <f>SUM(tblDespesas[[#This Row],[Coluna1]:[Dez]])</f>
        <v>166</v>
      </c>
      <c r="Q15" s="42">
        <v>0.01</v>
      </c>
      <c r="R15" s="43">
        <f>tblDespesas[[#This Row],[Coluna1]]/tblDespesas[[#Totals],[Coluna1]]</f>
        <v>6.7796610169491525E-2</v>
      </c>
      <c r="S15" s="43">
        <f>tblDespesas[[#This Row],[Fev]]/tblDespesas[[#Totals],[Fev]]</f>
        <v>9.2682926829268292E-2</v>
      </c>
      <c r="T15" s="43">
        <f>tblDespesas[[#This Row],[Mar]]/tblDespesas[[#Totals],[Mar]]</f>
        <v>3.614457831325301E-2</v>
      </c>
      <c r="U15" s="43">
        <f>tblDespesas[[#This Row],[Abr]]/tblDespesas[[#Totals],[Abr]]</f>
        <v>6.1302681992337162E-2</v>
      </c>
      <c r="V15" s="43">
        <f>tblDespesas[[#This Row],[Mai]]/tblDespesas[[#Totals],[Mai]]</f>
        <v>5.0583657587548639E-2</v>
      </c>
      <c r="W15" s="43">
        <f>tblDespesas[[#This Row],[Jun]]/tblDespesas[[#Totals],[Jun]]</f>
        <v>7.2992700729927005E-3</v>
      </c>
      <c r="X15" s="43">
        <f>tblDespesas[[#This Row],[Jul]]/tblDespesas[[#Totals],[Jul]]</f>
        <v>1.5037593984962405E-2</v>
      </c>
      <c r="Y15" s="43">
        <f>tblDespesas[[#This Row],[Ago]]/tblDespesas[[#Totals],[Ago]]</f>
        <v>0.10212765957446808</v>
      </c>
      <c r="Z15" s="43">
        <f>tblDespesas[[#This Row],[Set]]/tblDespesas[[#Totals],[Set]]</f>
        <v>6.9565217391304349E-2</v>
      </c>
      <c r="AA15" s="43">
        <f>tblDespesas[[#This Row],[Out]]/tblDespesas[[#Totals],[Out]]</f>
        <v>8.4942084942084939E-2</v>
      </c>
      <c r="AB15" s="43">
        <f>tblDespesas[[#This Row],[Nov]]/tblDespesas[[#Totals],[Nov]]</f>
        <v>2.364864864864865E-2</v>
      </c>
      <c r="AC15" s="43">
        <f>tblDespesas[[#This Row],[Dez]]/tblDespesas[[#Totals],[Dez]]</f>
        <v>7.792207792207792E-2</v>
      </c>
      <c r="AD15" s="43">
        <f>tblDespesas[[#This Row],[Anualmente]]/tblDespesas[[#Totals],[Anualmente]]</f>
        <v>5.5351783927975989E-2</v>
      </c>
    </row>
    <row r="16" spans="1:30" ht="30" customHeight="1" x14ac:dyDescent="0.3">
      <c r="B16" s="17" t="s">
        <v>68</v>
      </c>
      <c r="C16" s="34" t="s">
        <v>76</v>
      </c>
      <c r="D16" s="18">
        <v>12</v>
      </c>
      <c r="E16" s="18">
        <v>9</v>
      </c>
      <c r="F16" s="18">
        <v>16</v>
      </c>
      <c r="G16" s="18">
        <v>19</v>
      </c>
      <c r="H16" s="18">
        <v>25</v>
      </c>
      <c r="I16" s="18">
        <v>17</v>
      </c>
      <c r="J16" s="18">
        <v>20</v>
      </c>
      <c r="K16" s="18">
        <v>14</v>
      </c>
      <c r="L16" s="18">
        <v>5</v>
      </c>
      <c r="M16" s="18">
        <v>14</v>
      </c>
      <c r="N16" s="18">
        <v>5</v>
      </c>
      <c r="O16" s="18">
        <v>2</v>
      </c>
      <c r="P16" s="35">
        <f>SUM(tblDespesas[[#This Row],[Coluna1]:[Dez]])</f>
        <v>158</v>
      </c>
      <c r="Q16" s="42">
        <v>0.01</v>
      </c>
      <c r="R16" s="43">
        <f>tblDespesas[[#This Row],[Coluna1]]/tblDespesas[[#Totals],[Coluna1]]</f>
        <v>5.0847457627118647E-2</v>
      </c>
      <c r="S16" s="43">
        <f>tblDespesas[[#This Row],[Fev]]/tblDespesas[[#Totals],[Fev]]</f>
        <v>4.3902439024390241E-2</v>
      </c>
      <c r="T16" s="43">
        <f>tblDespesas[[#This Row],[Mar]]/tblDespesas[[#Totals],[Mar]]</f>
        <v>6.4257028112449793E-2</v>
      </c>
      <c r="U16" s="43">
        <f>tblDespesas[[#This Row],[Abr]]/tblDespesas[[#Totals],[Abr]]</f>
        <v>7.2796934865900387E-2</v>
      </c>
      <c r="V16" s="43">
        <f>tblDespesas[[#This Row],[Mai]]/tblDespesas[[#Totals],[Mai]]</f>
        <v>9.727626459143969E-2</v>
      </c>
      <c r="W16" s="43">
        <f>tblDespesas[[#This Row],[Jun]]/tblDespesas[[#Totals],[Jun]]</f>
        <v>6.2043795620437957E-2</v>
      </c>
      <c r="X16" s="43">
        <f>tblDespesas[[#This Row],[Jul]]/tblDespesas[[#Totals],[Jul]]</f>
        <v>7.5187969924812026E-2</v>
      </c>
      <c r="Y16" s="43">
        <f>tblDespesas[[#This Row],[Ago]]/tblDespesas[[#Totals],[Ago]]</f>
        <v>5.9574468085106386E-2</v>
      </c>
      <c r="Z16" s="43">
        <f>tblDespesas[[#This Row],[Set]]/tblDespesas[[#Totals],[Set]]</f>
        <v>2.1739130434782608E-2</v>
      </c>
      <c r="AA16" s="43">
        <f>tblDespesas[[#This Row],[Out]]/tblDespesas[[#Totals],[Out]]</f>
        <v>5.4054054054054057E-2</v>
      </c>
      <c r="AB16" s="43">
        <f>tblDespesas[[#This Row],[Nov]]/tblDespesas[[#Totals],[Nov]]</f>
        <v>1.6891891891891893E-2</v>
      </c>
      <c r="AC16" s="43">
        <f>tblDespesas[[#This Row],[Dez]]/tblDespesas[[#Totals],[Dez]]</f>
        <v>8.658008658008658E-3</v>
      </c>
      <c r="AD16" s="43">
        <f>tblDespesas[[#This Row],[Anualmente]]/tblDespesas[[#Totals],[Anualmente]]</f>
        <v>5.2684228076025338E-2</v>
      </c>
    </row>
    <row r="17" spans="1:30" ht="30" customHeight="1" x14ac:dyDescent="0.3">
      <c r="B17" s="17" t="s">
        <v>69</v>
      </c>
      <c r="C17" s="34" t="s">
        <v>76</v>
      </c>
      <c r="D17" s="18">
        <v>16</v>
      </c>
      <c r="E17" s="18">
        <v>13</v>
      </c>
      <c r="F17" s="18">
        <v>10</v>
      </c>
      <c r="G17" s="18">
        <v>7</v>
      </c>
      <c r="H17" s="18">
        <v>13</v>
      </c>
      <c r="I17" s="18">
        <v>3</v>
      </c>
      <c r="J17" s="18">
        <v>13</v>
      </c>
      <c r="K17" s="18">
        <v>17</v>
      </c>
      <c r="L17" s="18">
        <v>9</v>
      </c>
      <c r="M17" s="18">
        <v>4</v>
      </c>
      <c r="N17" s="18">
        <v>22</v>
      </c>
      <c r="O17" s="18">
        <v>18</v>
      </c>
      <c r="P17" s="35">
        <f>SUM(tblDespesas[[#This Row],[Coluna1]:[Dez]])</f>
        <v>145</v>
      </c>
      <c r="Q17" s="42">
        <v>0.14000000000000001</v>
      </c>
      <c r="R17" s="43">
        <f>tblDespesas[[#This Row],[Coluna1]]/tblDespesas[[#Totals],[Coluna1]]</f>
        <v>6.7796610169491525E-2</v>
      </c>
      <c r="S17" s="43">
        <f>tblDespesas[[#This Row],[Fev]]/tblDespesas[[#Totals],[Fev]]</f>
        <v>6.3414634146341464E-2</v>
      </c>
      <c r="T17" s="43">
        <f>tblDespesas[[#This Row],[Mar]]/tblDespesas[[#Totals],[Mar]]</f>
        <v>4.0160642570281124E-2</v>
      </c>
      <c r="U17" s="43">
        <f>tblDespesas[[#This Row],[Abr]]/tblDespesas[[#Totals],[Abr]]</f>
        <v>2.681992337164751E-2</v>
      </c>
      <c r="V17" s="43">
        <f>tblDespesas[[#This Row],[Mai]]/tblDespesas[[#Totals],[Mai]]</f>
        <v>5.0583657587548639E-2</v>
      </c>
      <c r="W17" s="43">
        <f>tblDespesas[[#This Row],[Jun]]/tblDespesas[[#Totals],[Jun]]</f>
        <v>1.0948905109489052E-2</v>
      </c>
      <c r="X17" s="43">
        <f>tblDespesas[[#This Row],[Jul]]/tblDespesas[[#Totals],[Jul]]</f>
        <v>4.8872180451127817E-2</v>
      </c>
      <c r="Y17" s="43">
        <f>tblDespesas[[#This Row],[Ago]]/tblDespesas[[#Totals],[Ago]]</f>
        <v>7.2340425531914887E-2</v>
      </c>
      <c r="Z17" s="43">
        <f>tblDespesas[[#This Row],[Set]]/tblDespesas[[#Totals],[Set]]</f>
        <v>3.9130434782608699E-2</v>
      </c>
      <c r="AA17" s="43">
        <f>tblDespesas[[#This Row],[Out]]/tblDespesas[[#Totals],[Out]]</f>
        <v>1.5444015444015444E-2</v>
      </c>
      <c r="AB17" s="43">
        <f>tblDespesas[[#This Row],[Nov]]/tblDespesas[[#Totals],[Nov]]</f>
        <v>7.4324324324324328E-2</v>
      </c>
      <c r="AC17" s="43">
        <f>tblDespesas[[#This Row],[Dez]]/tblDespesas[[#Totals],[Dez]]</f>
        <v>7.792207792207792E-2</v>
      </c>
      <c r="AD17" s="43">
        <f>tblDespesas[[#This Row],[Anualmente]]/tblDespesas[[#Totals],[Anualmente]]</f>
        <v>4.8349449816605536E-2</v>
      </c>
    </row>
    <row r="18" spans="1:30" ht="30" customHeight="1" x14ac:dyDescent="0.3">
      <c r="B18" s="17" t="s">
        <v>70</v>
      </c>
      <c r="C18" s="34" t="s">
        <v>76</v>
      </c>
      <c r="D18" s="18">
        <v>3</v>
      </c>
      <c r="E18" s="18">
        <v>2</v>
      </c>
      <c r="F18" s="18">
        <v>19</v>
      </c>
      <c r="G18" s="18">
        <v>21</v>
      </c>
      <c r="H18" s="18">
        <v>13</v>
      </c>
      <c r="I18" s="18">
        <v>9</v>
      </c>
      <c r="J18" s="18">
        <v>7</v>
      </c>
      <c r="K18" s="18">
        <v>13</v>
      </c>
      <c r="L18" s="18">
        <v>3</v>
      </c>
      <c r="M18" s="18">
        <v>6</v>
      </c>
      <c r="N18" s="18">
        <v>10</v>
      </c>
      <c r="O18" s="18">
        <v>13</v>
      </c>
      <c r="P18" s="35">
        <f>SUM(tblDespesas[[#This Row],[Coluna1]:[Dez]])</f>
        <v>119</v>
      </c>
      <c r="Q18" s="42">
        <v>0.06</v>
      </c>
      <c r="R18" s="43">
        <f>tblDespesas[[#This Row],[Coluna1]]/tblDespesas[[#Totals],[Coluna1]]</f>
        <v>1.2711864406779662E-2</v>
      </c>
      <c r="S18" s="43">
        <f>tblDespesas[[#This Row],[Fev]]/tblDespesas[[#Totals],[Fev]]</f>
        <v>9.7560975609756097E-3</v>
      </c>
      <c r="T18" s="43">
        <f>tblDespesas[[#This Row],[Mar]]/tblDespesas[[#Totals],[Mar]]</f>
        <v>7.6305220883534142E-2</v>
      </c>
      <c r="U18" s="43">
        <f>tblDespesas[[#This Row],[Abr]]/tblDespesas[[#Totals],[Abr]]</f>
        <v>8.0459770114942528E-2</v>
      </c>
      <c r="V18" s="43">
        <f>tblDespesas[[#This Row],[Mai]]/tblDespesas[[#Totals],[Mai]]</f>
        <v>5.0583657587548639E-2</v>
      </c>
      <c r="W18" s="43">
        <f>tblDespesas[[#This Row],[Jun]]/tblDespesas[[#Totals],[Jun]]</f>
        <v>3.2846715328467155E-2</v>
      </c>
      <c r="X18" s="43">
        <f>tblDespesas[[#This Row],[Jul]]/tblDespesas[[#Totals],[Jul]]</f>
        <v>2.6315789473684209E-2</v>
      </c>
      <c r="Y18" s="43">
        <f>tblDespesas[[#This Row],[Ago]]/tblDespesas[[#Totals],[Ago]]</f>
        <v>5.5319148936170209E-2</v>
      </c>
      <c r="Z18" s="43">
        <f>tblDespesas[[#This Row],[Set]]/tblDespesas[[#Totals],[Set]]</f>
        <v>1.3043478260869565E-2</v>
      </c>
      <c r="AA18" s="43">
        <f>tblDespesas[[#This Row],[Out]]/tblDespesas[[#Totals],[Out]]</f>
        <v>2.3166023166023165E-2</v>
      </c>
      <c r="AB18" s="43">
        <f>tblDespesas[[#This Row],[Nov]]/tblDespesas[[#Totals],[Nov]]</f>
        <v>3.3783783783783786E-2</v>
      </c>
      <c r="AC18" s="43">
        <f>tblDespesas[[#This Row],[Dez]]/tblDespesas[[#Totals],[Dez]]</f>
        <v>5.627705627705628E-2</v>
      </c>
      <c r="AD18" s="43">
        <f>tblDespesas[[#This Row],[Anualmente]]/tblDespesas[[#Totals],[Anualmente]]</f>
        <v>3.9679893297765924E-2</v>
      </c>
    </row>
    <row r="19" spans="1:30" ht="30" customHeight="1" x14ac:dyDescent="0.3">
      <c r="B19" s="17" t="s">
        <v>71</v>
      </c>
      <c r="C19" s="34" t="s">
        <v>76</v>
      </c>
      <c r="D19" s="18">
        <v>8</v>
      </c>
      <c r="E19" s="18">
        <v>7</v>
      </c>
      <c r="F19" s="18">
        <v>6</v>
      </c>
      <c r="G19" s="18">
        <v>7</v>
      </c>
      <c r="H19" s="18">
        <v>7</v>
      </c>
      <c r="I19" s="18">
        <v>6</v>
      </c>
      <c r="J19" s="18">
        <v>15</v>
      </c>
      <c r="K19" s="18">
        <v>23</v>
      </c>
      <c r="L19" s="18">
        <v>21</v>
      </c>
      <c r="M19" s="18">
        <v>16</v>
      </c>
      <c r="N19" s="18">
        <v>19</v>
      </c>
      <c r="O19" s="18">
        <v>7</v>
      </c>
      <c r="P19" s="35">
        <f>SUM(tblDespesas[[#This Row],[Coluna1]:[Dez]])</f>
        <v>142</v>
      </c>
      <c r="Q19" s="42">
        <v>0.01</v>
      </c>
      <c r="R19" s="43">
        <f>tblDespesas[[#This Row],[Coluna1]]/tblDespesas[[#Totals],[Coluna1]]</f>
        <v>3.3898305084745763E-2</v>
      </c>
      <c r="S19" s="43">
        <f>tblDespesas[[#This Row],[Fev]]/tblDespesas[[#Totals],[Fev]]</f>
        <v>3.4146341463414637E-2</v>
      </c>
      <c r="T19" s="43">
        <f>tblDespesas[[#This Row],[Mar]]/tblDespesas[[#Totals],[Mar]]</f>
        <v>2.4096385542168676E-2</v>
      </c>
      <c r="U19" s="43">
        <f>tblDespesas[[#This Row],[Abr]]/tblDespesas[[#Totals],[Abr]]</f>
        <v>2.681992337164751E-2</v>
      </c>
      <c r="V19" s="43">
        <f>tblDespesas[[#This Row],[Mai]]/tblDespesas[[#Totals],[Mai]]</f>
        <v>2.7237354085603113E-2</v>
      </c>
      <c r="W19" s="43">
        <f>tblDespesas[[#This Row],[Jun]]/tblDespesas[[#Totals],[Jun]]</f>
        <v>2.1897810218978103E-2</v>
      </c>
      <c r="X19" s="43">
        <f>tblDespesas[[#This Row],[Jul]]/tblDespesas[[#Totals],[Jul]]</f>
        <v>5.6390977443609019E-2</v>
      </c>
      <c r="Y19" s="43">
        <f>tblDespesas[[#This Row],[Ago]]/tblDespesas[[#Totals],[Ago]]</f>
        <v>9.7872340425531917E-2</v>
      </c>
      <c r="Z19" s="43">
        <f>tblDespesas[[#This Row],[Set]]/tblDespesas[[#Totals],[Set]]</f>
        <v>9.1304347826086957E-2</v>
      </c>
      <c r="AA19" s="43">
        <f>tblDespesas[[#This Row],[Out]]/tblDespesas[[#Totals],[Out]]</f>
        <v>6.1776061776061778E-2</v>
      </c>
      <c r="AB19" s="43">
        <f>tblDespesas[[#This Row],[Nov]]/tblDespesas[[#Totals],[Nov]]</f>
        <v>6.4189189189189186E-2</v>
      </c>
      <c r="AC19" s="43">
        <f>tblDespesas[[#This Row],[Dez]]/tblDespesas[[#Totals],[Dez]]</f>
        <v>3.0303030303030304E-2</v>
      </c>
      <c r="AD19" s="43">
        <f>tblDespesas[[#This Row],[Anualmente]]/tblDespesas[[#Totals],[Anualmente]]</f>
        <v>4.7349116372124044E-2</v>
      </c>
    </row>
    <row r="20" spans="1:30" ht="30" customHeight="1" x14ac:dyDescent="0.3">
      <c r="B20" s="17" t="s">
        <v>72</v>
      </c>
      <c r="C20" s="34" t="s">
        <v>76</v>
      </c>
      <c r="D20" s="18">
        <v>14</v>
      </c>
      <c r="E20" s="18">
        <v>4</v>
      </c>
      <c r="F20" s="18">
        <v>24</v>
      </c>
      <c r="G20" s="18">
        <v>6</v>
      </c>
      <c r="H20" s="18">
        <v>20</v>
      </c>
      <c r="I20" s="18">
        <v>14</v>
      </c>
      <c r="J20" s="18">
        <v>21</v>
      </c>
      <c r="K20" s="18">
        <v>20</v>
      </c>
      <c r="L20" s="18">
        <v>22</v>
      </c>
      <c r="M20" s="18">
        <v>3</v>
      </c>
      <c r="N20" s="18">
        <v>14</v>
      </c>
      <c r="O20" s="18">
        <v>6</v>
      </c>
      <c r="P20" s="35">
        <f>SUM(tblDespesas[[#This Row],[Coluna1]:[Dez]])</f>
        <v>168</v>
      </c>
      <c r="Q20" s="42">
        <v>0.01</v>
      </c>
      <c r="R20" s="43">
        <f>tblDespesas[[#This Row],[Coluna1]]/tblDespesas[[#Totals],[Coluna1]]</f>
        <v>5.9322033898305086E-2</v>
      </c>
      <c r="S20" s="43">
        <f>tblDespesas[[#This Row],[Fev]]/tblDespesas[[#Totals],[Fev]]</f>
        <v>1.9512195121951219E-2</v>
      </c>
      <c r="T20" s="43">
        <f>tblDespesas[[#This Row],[Mar]]/tblDespesas[[#Totals],[Mar]]</f>
        <v>9.6385542168674704E-2</v>
      </c>
      <c r="U20" s="43">
        <f>tblDespesas[[#This Row],[Abr]]/tblDespesas[[#Totals],[Abr]]</f>
        <v>2.2988505747126436E-2</v>
      </c>
      <c r="V20" s="43">
        <f>tblDespesas[[#This Row],[Mai]]/tblDespesas[[#Totals],[Mai]]</f>
        <v>7.7821011673151752E-2</v>
      </c>
      <c r="W20" s="43">
        <f>tblDespesas[[#This Row],[Jun]]/tblDespesas[[#Totals],[Jun]]</f>
        <v>5.1094890510948905E-2</v>
      </c>
      <c r="X20" s="43">
        <f>tblDespesas[[#This Row],[Jul]]/tblDespesas[[#Totals],[Jul]]</f>
        <v>7.8947368421052627E-2</v>
      </c>
      <c r="Y20" s="43">
        <f>tblDespesas[[#This Row],[Ago]]/tblDespesas[[#Totals],[Ago]]</f>
        <v>8.5106382978723402E-2</v>
      </c>
      <c r="Z20" s="43">
        <f>tblDespesas[[#This Row],[Set]]/tblDespesas[[#Totals],[Set]]</f>
        <v>9.5652173913043481E-2</v>
      </c>
      <c r="AA20" s="43">
        <f>tblDespesas[[#This Row],[Out]]/tblDespesas[[#Totals],[Out]]</f>
        <v>1.1583011583011582E-2</v>
      </c>
      <c r="AB20" s="43">
        <f>tblDespesas[[#This Row],[Nov]]/tblDespesas[[#Totals],[Nov]]</f>
        <v>4.72972972972973E-2</v>
      </c>
      <c r="AC20" s="43">
        <f>tblDespesas[[#This Row],[Dez]]/tblDespesas[[#Totals],[Dez]]</f>
        <v>2.5974025974025976E-2</v>
      </c>
      <c r="AD20" s="43">
        <f>tblDespesas[[#This Row],[Anualmente]]/tblDespesas[[#Totals],[Anualmente]]</f>
        <v>5.6018672890963656E-2</v>
      </c>
    </row>
    <row r="21" spans="1:30" ht="30" customHeight="1" x14ac:dyDescent="0.3">
      <c r="B21" s="17" t="s">
        <v>72</v>
      </c>
      <c r="C21" s="34" t="s">
        <v>76</v>
      </c>
      <c r="D21" s="18">
        <v>14</v>
      </c>
      <c r="E21" s="18">
        <v>7</v>
      </c>
      <c r="F21" s="18">
        <v>24</v>
      </c>
      <c r="G21" s="18">
        <v>10</v>
      </c>
      <c r="H21" s="18">
        <v>7</v>
      </c>
      <c r="I21" s="18">
        <v>24</v>
      </c>
      <c r="J21" s="18">
        <v>2</v>
      </c>
      <c r="K21" s="18">
        <v>11</v>
      </c>
      <c r="L21" s="18">
        <v>21</v>
      </c>
      <c r="M21" s="18">
        <v>19</v>
      </c>
      <c r="N21" s="18">
        <v>19</v>
      </c>
      <c r="O21" s="18">
        <v>20</v>
      </c>
      <c r="P21" s="35">
        <f>SUM(tblDespesas[[#This Row],[Coluna1]:[Dez]])</f>
        <v>178</v>
      </c>
      <c r="Q21" s="42">
        <v>0.01</v>
      </c>
      <c r="R21" s="43">
        <f>tblDespesas[[#This Row],[Coluna1]]/tblDespesas[[#Totals],[Coluna1]]</f>
        <v>5.9322033898305086E-2</v>
      </c>
      <c r="S21" s="43">
        <f>tblDespesas[[#This Row],[Fev]]/tblDespesas[[#Totals],[Fev]]</f>
        <v>3.4146341463414637E-2</v>
      </c>
      <c r="T21" s="43">
        <f>tblDespesas[[#This Row],[Mar]]/tblDespesas[[#Totals],[Mar]]</f>
        <v>9.6385542168674704E-2</v>
      </c>
      <c r="U21" s="43">
        <f>tblDespesas[[#This Row],[Abr]]/tblDespesas[[#Totals],[Abr]]</f>
        <v>3.8314176245210725E-2</v>
      </c>
      <c r="V21" s="43">
        <f>tblDespesas[[#This Row],[Mai]]/tblDespesas[[#Totals],[Mai]]</f>
        <v>2.7237354085603113E-2</v>
      </c>
      <c r="W21" s="43">
        <f>tblDespesas[[#This Row],[Jun]]/tblDespesas[[#Totals],[Jun]]</f>
        <v>8.7591240875912413E-2</v>
      </c>
      <c r="X21" s="43">
        <f>tblDespesas[[#This Row],[Jul]]/tblDespesas[[#Totals],[Jul]]</f>
        <v>7.5187969924812026E-3</v>
      </c>
      <c r="Y21" s="43">
        <f>tblDespesas[[#This Row],[Ago]]/tblDespesas[[#Totals],[Ago]]</f>
        <v>4.6808510638297871E-2</v>
      </c>
      <c r="Z21" s="43">
        <f>tblDespesas[[#This Row],[Set]]/tblDespesas[[#Totals],[Set]]</f>
        <v>9.1304347826086957E-2</v>
      </c>
      <c r="AA21" s="43">
        <f>tblDespesas[[#This Row],[Out]]/tblDespesas[[#Totals],[Out]]</f>
        <v>7.3359073359073365E-2</v>
      </c>
      <c r="AB21" s="43">
        <f>tblDespesas[[#This Row],[Nov]]/tblDespesas[[#Totals],[Nov]]</f>
        <v>6.4189189189189186E-2</v>
      </c>
      <c r="AC21" s="43">
        <f>tblDespesas[[#This Row],[Dez]]/tblDespesas[[#Totals],[Dez]]</f>
        <v>8.6580086580086577E-2</v>
      </c>
      <c r="AD21" s="43">
        <f>tblDespesas[[#This Row],[Anualmente]]/tblDespesas[[#Totals],[Anualmente]]</f>
        <v>5.9353117705901966E-2</v>
      </c>
    </row>
    <row r="22" spans="1:30" ht="30" customHeight="1" x14ac:dyDescent="0.3">
      <c r="A22" s="1"/>
      <c r="B22" s="17" t="s">
        <v>72</v>
      </c>
      <c r="C22" s="34" t="s">
        <v>76</v>
      </c>
      <c r="D22" s="18">
        <v>11</v>
      </c>
      <c r="E22" s="18">
        <v>8</v>
      </c>
      <c r="F22" s="18">
        <v>25</v>
      </c>
      <c r="G22" s="18">
        <v>11</v>
      </c>
      <c r="H22" s="18">
        <v>9</v>
      </c>
      <c r="I22" s="18">
        <v>24</v>
      </c>
      <c r="J22" s="18">
        <v>13</v>
      </c>
      <c r="K22" s="18">
        <v>14</v>
      </c>
      <c r="L22" s="18">
        <v>19</v>
      </c>
      <c r="M22" s="18">
        <v>24</v>
      </c>
      <c r="N22" s="18">
        <v>15</v>
      </c>
      <c r="O22" s="18">
        <v>7</v>
      </c>
      <c r="P22" s="35">
        <f>SUM(tblDespesas[[#This Row],[Coluna1]:[Dez]])</f>
        <v>180</v>
      </c>
      <c r="Q22" s="42">
        <v>0.01</v>
      </c>
      <c r="R22" s="43">
        <f>tblDespesas[[#This Row],[Coluna1]]/tblDespesas[[#Totals],[Coluna1]]</f>
        <v>4.6610169491525424E-2</v>
      </c>
      <c r="S22" s="43">
        <f>tblDespesas[[#This Row],[Fev]]/tblDespesas[[#Totals],[Fev]]</f>
        <v>3.9024390243902439E-2</v>
      </c>
      <c r="T22" s="43">
        <f>tblDespesas[[#This Row],[Mar]]/tblDespesas[[#Totals],[Mar]]</f>
        <v>0.10040160642570281</v>
      </c>
      <c r="U22" s="43">
        <f>tblDespesas[[#This Row],[Abr]]/tblDespesas[[#Totals],[Abr]]</f>
        <v>4.2145593869731802E-2</v>
      </c>
      <c r="V22" s="43">
        <f>tblDespesas[[#This Row],[Mai]]/tblDespesas[[#Totals],[Mai]]</f>
        <v>3.5019455252918288E-2</v>
      </c>
      <c r="W22" s="43">
        <f>tblDespesas[[#This Row],[Jun]]/tblDespesas[[#Totals],[Jun]]</f>
        <v>8.7591240875912413E-2</v>
      </c>
      <c r="X22" s="43">
        <f>tblDespesas[[#This Row],[Jul]]/tblDespesas[[#Totals],[Jul]]</f>
        <v>4.8872180451127817E-2</v>
      </c>
      <c r="Y22" s="43">
        <f>tblDespesas[[#This Row],[Ago]]/tblDespesas[[#Totals],[Ago]]</f>
        <v>5.9574468085106386E-2</v>
      </c>
      <c r="Z22" s="43">
        <f>tblDespesas[[#This Row],[Set]]/tblDespesas[[#Totals],[Set]]</f>
        <v>8.2608695652173908E-2</v>
      </c>
      <c r="AA22" s="43">
        <f>tblDespesas[[#This Row],[Out]]/tblDespesas[[#Totals],[Out]]</f>
        <v>9.2664092664092659E-2</v>
      </c>
      <c r="AB22" s="43">
        <f>tblDespesas[[#This Row],[Nov]]/tblDespesas[[#Totals],[Nov]]</f>
        <v>5.0675675675675678E-2</v>
      </c>
      <c r="AC22" s="43">
        <f>tblDespesas[[#This Row],[Dez]]/tblDespesas[[#Totals],[Dez]]</f>
        <v>3.0303030303030304E-2</v>
      </c>
      <c r="AD22" s="43">
        <f>tblDespesas[[#This Row],[Anualmente]]/tblDespesas[[#Totals],[Anualmente]]</f>
        <v>6.0020006668889632E-2</v>
      </c>
    </row>
    <row r="23" spans="1:30" ht="30" customHeight="1" x14ac:dyDescent="0.3">
      <c r="A23" s="3"/>
      <c r="B23" s="17" t="s">
        <v>73</v>
      </c>
      <c r="C23" s="34" t="s">
        <v>76</v>
      </c>
      <c r="D23" s="18">
        <v>8</v>
      </c>
      <c r="E23" s="18">
        <v>20</v>
      </c>
      <c r="F23" s="18">
        <v>11</v>
      </c>
      <c r="G23" s="18">
        <v>11</v>
      </c>
      <c r="H23" s="18">
        <v>11</v>
      </c>
      <c r="I23" s="18">
        <v>20</v>
      </c>
      <c r="J23" s="18">
        <v>12</v>
      </c>
      <c r="K23" s="18">
        <v>16</v>
      </c>
      <c r="L23" s="18">
        <v>5</v>
      </c>
      <c r="M23" s="18">
        <v>7</v>
      </c>
      <c r="N23" s="18">
        <v>21</v>
      </c>
      <c r="O23" s="18">
        <v>3</v>
      </c>
      <c r="P23" s="35">
        <f>SUM(tblDespesas[[#This Row],[Coluna1]:[Dez]])</f>
        <v>145</v>
      </c>
      <c r="Q23" s="42">
        <v>0.02</v>
      </c>
      <c r="R23" s="43">
        <f>tblDespesas[[#This Row],[Coluna1]]/tblDespesas[[#Totals],[Coluna1]]</f>
        <v>3.3898305084745763E-2</v>
      </c>
      <c r="S23" s="43">
        <f>tblDespesas[[#This Row],[Fev]]/tblDespesas[[#Totals],[Fev]]</f>
        <v>9.7560975609756101E-2</v>
      </c>
      <c r="T23" s="43">
        <f>tblDespesas[[#This Row],[Mar]]/tblDespesas[[#Totals],[Mar]]</f>
        <v>4.4176706827309238E-2</v>
      </c>
      <c r="U23" s="43">
        <f>tblDespesas[[#This Row],[Abr]]/tblDespesas[[#Totals],[Abr]]</f>
        <v>4.2145593869731802E-2</v>
      </c>
      <c r="V23" s="43">
        <f>tblDespesas[[#This Row],[Mai]]/tblDespesas[[#Totals],[Mai]]</f>
        <v>4.2801556420233464E-2</v>
      </c>
      <c r="W23" s="43">
        <f>tblDespesas[[#This Row],[Jun]]/tblDespesas[[#Totals],[Jun]]</f>
        <v>7.2992700729927001E-2</v>
      </c>
      <c r="X23" s="43">
        <f>tblDespesas[[#This Row],[Jul]]/tblDespesas[[#Totals],[Jul]]</f>
        <v>4.5112781954887216E-2</v>
      </c>
      <c r="Y23" s="43">
        <f>tblDespesas[[#This Row],[Ago]]/tblDespesas[[#Totals],[Ago]]</f>
        <v>6.8085106382978725E-2</v>
      </c>
      <c r="Z23" s="43">
        <f>tblDespesas[[#This Row],[Set]]/tblDespesas[[#Totals],[Set]]</f>
        <v>2.1739130434782608E-2</v>
      </c>
      <c r="AA23" s="43">
        <f>tblDespesas[[#This Row],[Out]]/tblDespesas[[#Totals],[Out]]</f>
        <v>2.7027027027027029E-2</v>
      </c>
      <c r="AB23" s="43">
        <f>tblDespesas[[#This Row],[Nov]]/tblDespesas[[#Totals],[Nov]]</f>
        <v>7.0945945945945943E-2</v>
      </c>
      <c r="AC23" s="43">
        <f>tblDespesas[[#This Row],[Dez]]/tblDespesas[[#Totals],[Dez]]</f>
        <v>1.2987012987012988E-2</v>
      </c>
      <c r="AD23" s="43">
        <f>tblDespesas[[#This Row],[Anualmente]]/tblDespesas[[#Totals],[Anualmente]]</f>
        <v>4.8349449816605536E-2</v>
      </c>
    </row>
    <row r="24" spans="1:30" s="13" customFormat="1" ht="30" customHeight="1" x14ac:dyDescent="0.3">
      <c r="B24" s="10" t="s">
        <v>74</v>
      </c>
      <c r="C24" s="11"/>
      <c r="D24" s="40">
        <f>SUBTOTAL(109,tblDespesas[Coluna1])</f>
        <v>236</v>
      </c>
      <c r="E24" s="40">
        <f>SUBTOTAL(109,tblDespesas[Fev])</f>
        <v>205</v>
      </c>
      <c r="F24" s="40">
        <f>SUBTOTAL(109,tblDespesas[Mar])</f>
        <v>249</v>
      </c>
      <c r="G24" s="40">
        <f>SUBTOTAL(109,tblDespesas[Abr])</f>
        <v>261</v>
      </c>
      <c r="H24" s="40">
        <f>SUBTOTAL(109,tblDespesas[Mai])</f>
        <v>257</v>
      </c>
      <c r="I24" s="40">
        <f>SUBTOTAL(109,tblDespesas[Jun])</f>
        <v>274</v>
      </c>
      <c r="J24" s="40">
        <f>SUBTOTAL(109,tblDespesas[Jul])</f>
        <v>266</v>
      </c>
      <c r="K24" s="40">
        <f>SUBTOTAL(109,tblDespesas[Ago])</f>
        <v>235</v>
      </c>
      <c r="L24" s="40">
        <f>SUBTOTAL(109,tblDespesas[Set])</f>
        <v>230</v>
      </c>
      <c r="M24" s="40">
        <f>SUBTOTAL(109,tblDespesas[Out])</f>
        <v>259</v>
      </c>
      <c r="N24" s="40">
        <f>SUBTOTAL(109,tblDespesas[Nov])</f>
        <v>296</v>
      </c>
      <c r="O24" s="40">
        <f>SUBTOTAL(109,tblDespesas[Dez])</f>
        <v>231</v>
      </c>
      <c r="P24" s="40">
        <f>SUBTOTAL(109,tblDespesas[Anualmente])</f>
        <v>2999</v>
      </c>
      <c r="Q24" s="42">
        <f>SUBTOTAL(109,tblDespesas[Índice %])</f>
        <v>1</v>
      </c>
      <c r="R24" s="42">
        <f>SUBTOTAL(109,tblDespesas[Jan %])</f>
        <v>1</v>
      </c>
      <c r="S24" s="42">
        <f>SUBTOTAL(109,tblDespesas[Fev %])</f>
        <v>1.0000000000000002</v>
      </c>
      <c r="T24" s="42">
        <f>SUBTOTAL(109,tblDespesas[Mar %])</f>
        <v>1.0000000000000002</v>
      </c>
      <c r="U24" s="42">
        <f>SUBTOTAL(109,tblDespesas[Abr %])</f>
        <v>1</v>
      </c>
      <c r="V24" s="42">
        <f>SUBTOTAL(109,tblDespesas[Mai %])</f>
        <v>1.0000000000000002</v>
      </c>
      <c r="W24" s="42">
        <f>SUBTOTAL(109,tblDespesas[Jun %])</f>
        <v>1</v>
      </c>
      <c r="X24" s="42">
        <f>SUBTOTAL(109,tblDespesas[Jul %])</f>
        <v>1</v>
      </c>
      <c r="Y24" s="42">
        <f>SUBTOTAL(109,tblDespesas[Ago %])</f>
        <v>0.99999999999999989</v>
      </c>
      <c r="Z24" s="42">
        <f>SUBTOTAL(109,tblDespesas[Set %])</f>
        <v>1</v>
      </c>
      <c r="AA24" s="42">
        <f>SUBTOTAL(109,tblDespesas[Out %])</f>
        <v>1</v>
      </c>
      <c r="AB24" s="42">
        <f>SUBTOTAL(109,tblDespesas[Nov %])</f>
        <v>0.99999999999999989</v>
      </c>
      <c r="AC24" s="42">
        <f>SUBTOTAL(109,tblDespesas[Dez %])</f>
        <v>1</v>
      </c>
      <c r="AD24" s="42">
        <f>SUBTOTAL(109,tblDespesas[Ano %])</f>
        <v>0.99999999999999989</v>
      </c>
    </row>
    <row r="25" spans="1:30" ht="30" customHeigh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30" customHeight="1" x14ac:dyDescent="0.3">
      <c r="B26" s="14" t="s">
        <v>75</v>
      </c>
      <c r="C26" s="14"/>
      <c r="D26" s="15">
        <f>'Custo de vendas'!$D$14-tblDespesas[[#Totals],[Coluna1]]</f>
        <v>123</v>
      </c>
      <c r="E26" s="15">
        <f>'Custo de vendas'!$D$14-tblDespesas[[#Totals],[Fev]]</f>
        <v>154</v>
      </c>
      <c r="F26" s="15">
        <f>'Custo de vendas'!$D$14-tblDespesas[[#Totals],[Mar]]</f>
        <v>110</v>
      </c>
      <c r="G26" s="15">
        <f>'Custo de vendas'!$D$14-tblDespesas[[#Totals],[Abr]]</f>
        <v>98</v>
      </c>
      <c r="H26" s="15">
        <f>'Custo de vendas'!$D$14-tblDespesas[[#Totals],[Mai]]</f>
        <v>102</v>
      </c>
      <c r="I26" s="15">
        <f>'Custo de vendas'!$D$14-tblDespesas[[#Totals],[Jun]]</f>
        <v>85</v>
      </c>
      <c r="J26" s="15">
        <f>'Custo de vendas'!$D$14-tblDespesas[[#Totals],[Jul]]</f>
        <v>93</v>
      </c>
      <c r="K26" s="15">
        <f>'Custo de vendas'!$D$14-tblDespesas[[#Totals],[Ago]]</f>
        <v>124</v>
      </c>
      <c r="L26" s="15">
        <f>'Custo de vendas'!$D$14-tblDespesas[[#Totals],[Set]]</f>
        <v>129</v>
      </c>
      <c r="M26" s="15">
        <f>'Custo de vendas'!$D$14-tblDespesas[[#Totals],[Out]]</f>
        <v>100</v>
      </c>
      <c r="N26" s="15">
        <f>'Custo de vendas'!$D$14-tblDespesas[[#Totals],[Nov]]</f>
        <v>63</v>
      </c>
      <c r="O26" s="15">
        <f>'Custo de vendas'!$D$14-tblDespesas[[#Totals],[Dez]]</f>
        <v>128</v>
      </c>
      <c r="P26" s="15">
        <f>SUM(D26:O26)</f>
        <v>1309</v>
      </c>
      <c r="Q26" s="14"/>
      <c r="R26" s="16">
        <f>D26/$P$26</f>
        <v>9.396485867074103E-2</v>
      </c>
      <c r="S26" s="16">
        <f t="shared" ref="S26:AD26" si="1">E26/$P$26</f>
        <v>0.11764705882352941</v>
      </c>
      <c r="T26" s="16">
        <f t="shared" si="1"/>
        <v>8.4033613445378158E-2</v>
      </c>
      <c r="U26" s="16">
        <f t="shared" si="1"/>
        <v>7.4866310160427801E-2</v>
      </c>
      <c r="V26" s="16">
        <f t="shared" si="1"/>
        <v>7.792207792207792E-2</v>
      </c>
      <c r="W26" s="16">
        <f t="shared" si="1"/>
        <v>6.4935064935064929E-2</v>
      </c>
      <c r="X26" s="16">
        <f t="shared" si="1"/>
        <v>7.1046600458365167E-2</v>
      </c>
      <c r="Y26" s="16">
        <f t="shared" si="1"/>
        <v>9.4728800611153546E-2</v>
      </c>
      <c r="Z26" s="16">
        <f t="shared" si="1"/>
        <v>9.8548510313216195E-2</v>
      </c>
      <c r="AA26" s="16">
        <f t="shared" si="1"/>
        <v>7.6394194041252861E-2</v>
      </c>
      <c r="AB26" s="16">
        <f t="shared" si="1"/>
        <v>4.8128342245989303E-2</v>
      </c>
      <c r="AC26" s="16">
        <f t="shared" si="1"/>
        <v>9.7784568372803665E-2</v>
      </c>
      <c r="AD26" s="16">
        <f t="shared" si="1"/>
        <v>1</v>
      </c>
    </row>
  </sheetData>
  <dataValidations count="19">
    <dataValidation allowBlank="1" showInputMessage="1" showErrorMessage="1" prompt="O nome da empresa é atualizado automaticamente usando a entrada da planilha Receita (Vendas)" sqref="AD1"/>
    <dataValidation allowBlank="1" showInputMessage="1" showErrorMessage="1" prompt="Título atualizado automaticamente da planilha Receita (Vendas). Insira os valores na tabela Despesas abaixo para calcular o total de despesas" sqref="B2"/>
    <dataValidation allowBlank="1" showInputMessage="1" showErrorMessage="1" prompt="Insira o índice percentual nesta coluna" sqref="Q4"/>
    <dataValidation allowBlank="1" showInputMessage="1" showErrorMessage="1" prompt="O lucro líquido é automaticamente calculado para cada mês e ano com base no lucro bruto e no total de despesas" sqref="B26"/>
    <dataValidation allowBlank="1" showInputMessage="1" showErrorMessage="1" prompt="Insira nesta coluna as despesas de fontes listadas na coluna B" sqref="D4:O4"/>
    <dataValidation allowBlank="1" showInputMessage="1" showErrorMessage="1" prompt="Um gráfico de tendências de despesas ao longo do tempo está nesta coluna" sqref="C4"/>
    <dataValidation allowBlank="1" showInputMessage="1" showErrorMessage="1" prompt="Insira as despesas nesta coluna" sqref="B4"/>
    <dataValidation allowBlank="1" showInputMessage="1" showErrorMessage="1" prompt="Calcula automaticamente a proporção de despesas de diversas fontes para o total de despesas para o ano nesta coluna" sqref="AD3"/>
    <dataValidation allowBlank="1" showInputMessage="1" showErrorMessage="1" prompt="Calcula automaticamente a proporção de despesas de diversas fontes para o total de despesas nessa coluna para o mês nesta célula" sqref="R3:AC3"/>
    <dataValidation allowBlank="1" showInputMessage="1" showErrorMessage="1" prompt="Mês atualizado_x000a_automaticamente" sqref="O3"/>
    <dataValidation allowBlank="1" showInputMessage="1" showErrorMessage="1" prompt="As datas nesta linha são automaticamente atualizadas com base no mês inicial do ano fiscal. Para alterar o mês inicial, modifique a célula AC2" sqref="D3"/>
    <dataValidation allowBlank="1" showInputMessage="1" showErrorMessage="1" prompt="A despesa anual é calculada automaticamente nesta coluna" sqref="P3"/>
    <dataValidation allowBlank="1" showInputMessage="1" showErrorMessage="1" prompt="O índice percentual está nesta coluna" sqref="Q3"/>
    <dataValidation allowBlank="1" showInputMessage="1" showErrorMessage="1" prompt="Essa célula é atualizada automaticamente a partir do título do período de projeção na planilha Receita (Vendas)" sqref="B1"/>
    <dataValidation allowBlank="1" showInputMessage="1" showErrorMessage="1" prompt="Mês e ano são atualizados automaticamente nas células à direita. Para alterar o mês ou ano, modifique as células AC2 e AD2 na planilha Receita (Vendas)" sqref="AB2"/>
    <dataValidation allowBlank="1" showInputMessage="1" showErrorMessage="1" prompt="Mês atualizado automaticamente. Para alterar, modifique a célula AC2 na planilha Receita (Vendas)" sqref="AC2"/>
    <dataValidation allowBlank="1" showInputMessage="1" showErrorMessage="1" prompt="Ano atualizado automaticamente. Para alterar, modifique a célula AD2 na planilha Receita (Vendas)" sqref="AD2"/>
    <dataValidation allowBlank="1" showInputMessage="1" showErrorMessage="1" prompt="Esta planilha calcula o total de despesas para cada mês e ano, e o total de despesas anual em cada item. O lucro líquido é automaticamente calculado com base no lucro bruto e no total de despesas " sqref="A1:A1048576"/>
    <dataValidation allowBlank="1" showInputMessage="1" showErrorMessage="1" prompt="Mês atualizado_x000a_automaticamente" sqref="E3 F3 G3 H3 I3 J3 K3 L3 M3 N3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Despesas!D5:O5</xm:f>
              <xm:sqref>C5</xm:sqref>
            </x14:sparkline>
            <x14:sparkline>
              <xm:f>Despesas!D6:O6</xm:f>
              <xm:sqref>C6</xm:sqref>
            </x14:sparkline>
            <x14:sparkline>
              <xm:f>Despesas!D7:O7</xm:f>
              <xm:sqref>C7</xm:sqref>
            </x14:sparkline>
            <x14:sparkline>
              <xm:f>Despesas!D8:O8</xm:f>
              <xm:sqref>C8</xm:sqref>
            </x14:sparkline>
            <x14:sparkline>
              <xm:f>Despesas!D9:O9</xm:f>
              <xm:sqref>C9</xm:sqref>
            </x14:sparkline>
            <x14:sparkline>
              <xm:f>Despesas!D10:O10</xm:f>
              <xm:sqref>C10</xm:sqref>
            </x14:sparkline>
            <x14:sparkline>
              <xm:f>Despesas!D11:O11</xm:f>
              <xm:sqref>C11</xm:sqref>
            </x14:sparkline>
            <x14:sparkline>
              <xm:f>Despesas!D12:O12</xm:f>
              <xm:sqref>C12</xm:sqref>
            </x14:sparkline>
            <x14:sparkline>
              <xm:f>Despesas!D13:O13</xm:f>
              <xm:sqref>C13</xm:sqref>
            </x14:sparkline>
            <x14:sparkline>
              <xm:f>Despesas!D14:O14</xm:f>
              <xm:sqref>C14</xm:sqref>
            </x14:sparkline>
            <x14:sparkline>
              <xm:f>Despesas!D15:O15</xm:f>
              <xm:sqref>C15</xm:sqref>
            </x14:sparkline>
            <x14:sparkline>
              <xm:f>Despesas!D16:O16</xm:f>
              <xm:sqref>C16</xm:sqref>
            </x14:sparkline>
            <x14:sparkline>
              <xm:f>Despesas!D17:O17</xm:f>
              <xm:sqref>C17</xm:sqref>
            </x14:sparkline>
            <x14:sparkline>
              <xm:f>Despesas!D18:O18</xm:f>
              <xm:sqref>C18</xm:sqref>
            </x14:sparkline>
            <x14:sparkline>
              <xm:f>Despesas!D19:O19</xm:f>
              <xm:sqref>C19</xm:sqref>
            </x14:sparkline>
            <x14:sparkline>
              <xm:f>Despesas!D20:O20</xm:f>
              <xm:sqref>C20</xm:sqref>
            </x14:sparkline>
            <x14:sparkline>
              <xm:f>Despesas!D21:O21</xm:f>
              <xm:sqref>C21</xm:sqref>
            </x14:sparkline>
            <x14:sparkline>
              <xm:f>Despesas!D22:O22</xm:f>
              <xm:sqref>C22</xm:sqref>
            </x14:sparkline>
            <x14:sparkline>
              <xm:f>Despesas!D23:O23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Despesas!D24:O24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TM02802361</ap:Template>
  <ap:DocSecurity>0</ap:DocSecurity>
  <ap:ScaleCrop>false</ap:ScaleCrop>
  <ap:HeadingPairs>
    <vt:vector baseType="variant" size="4">
      <vt:variant>
        <vt:lpstr>Planilhas</vt:lpstr>
      </vt:variant>
      <vt:variant>
        <vt:i4>3</vt:i4>
      </vt:variant>
      <vt:variant>
        <vt:lpstr>Intervalos Nomeados</vt:lpstr>
      </vt:variant>
      <vt:variant>
        <vt:i4>11</vt:i4>
      </vt:variant>
    </vt:vector>
  </ap:HeadingPairs>
  <ap:TitlesOfParts>
    <vt:vector baseType="lpstr" size="14">
      <vt:lpstr>Receitas (Vendas)</vt:lpstr>
      <vt:lpstr>Custo de vendas</vt:lpstr>
      <vt:lpstr>Despesas</vt:lpstr>
      <vt:lpstr>AnoInícioAF</vt:lpstr>
      <vt:lpstr>InícioMêsAF</vt:lpstr>
      <vt:lpstr>Nome_Empresa</vt:lpstr>
      <vt:lpstr>Título_Período_Projeção</vt:lpstr>
      <vt:lpstr>Título_Planilha</vt:lpstr>
      <vt:lpstr>Título1</vt:lpstr>
      <vt:lpstr>Título2</vt:lpstr>
      <vt:lpstr>Título3</vt:lpstr>
      <vt:lpstr>'Custo de vendas'!Titulos_de_impressao</vt:lpstr>
      <vt:lpstr>Despesas!Titulos_de_impressao</vt:lpstr>
      <vt:lpstr>'Receitas (Vendas)'!Titulos_de_impressao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2018-01-11T07:05:58Z</dcterms:modified>
</cp:coreProperties>
</file>