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PTB\"/>
    </mc:Choice>
  </mc:AlternateContent>
  <bookViews>
    <workbookView xWindow="0" yWindow="0" windowWidth="14160" windowHeight="7515" tabRatio="767"/>
  </bookViews>
  <sheets>
    <sheet name="Inventário de Plantas" sheetId="1" r:id="rId1"/>
    <sheet name="Registro de Semeadura" sheetId="21" r:id="rId2"/>
    <sheet name="Lista de Tarefas" sheetId="7" r:id="rId3"/>
    <sheet name="Planejamento de Grade de Jardim" sheetId="5" r:id="rId4"/>
  </sheets>
  <definedNames>
    <definedName name="AnoCalendário">'Lista de Tarefas'!$N$8</definedName>
    <definedName name="DataEntrega">ListadeTarefas[[data de entrega]:[% concluído]]</definedName>
    <definedName name="DataTransplante">'Registro de Semeadura'!$G$3</definedName>
    <definedName name="Mês">'Lista de Tarefas'!$I$8</definedName>
    <definedName name="MêsCalendário">IF(Mês="Janeiro",1,IF(Mês="Fevereiro",2,IF(Mês="Março",3,IF(Mês="Abril",4,IF(Mês="Maio",5,IF(Mês="Junho",6,IF(Mês="Julho",7,IF(Mês="Agosto",8,IF(Mês="Setembro",9,IF(Mês="Outubro",10,IF(Mês="Novembro",11,12)))))))))))</definedName>
  </definedNames>
  <calcPr calcId="152511"/>
</workbook>
</file>

<file path=xl/calcChain.xml><?xml version="1.0" encoding="utf-8"?>
<calcChain xmlns="http://schemas.openxmlformats.org/spreadsheetml/2006/main">
  <c r="D18" i="21" l="1"/>
  <c r="C18" i="1"/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O11" i="7"/>
  <c r="N11" i="7"/>
  <c r="M11" i="7"/>
  <c r="L11" i="7"/>
  <c r="K11" i="7"/>
  <c r="J11" i="7"/>
  <c r="I11" i="7"/>
  <c r="I17" i="21" l="1"/>
  <c r="I14" i="21"/>
  <c r="I15" i="21"/>
  <c r="I16" i="21"/>
  <c r="I13" i="21"/>
  <c r="H18" i="1" l="1"/>
  <c r="H18" i="21"/>
  <c r="E12" i="7"/>
  <c r="E13" i="7"/>
  <c r="E14" i="7"/>
  <c r="E15" i="7"/>
  <c r="E11" i="7"/>
  <c r="G13" i="21" l="1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</calcChain>
</file>

<file path=xl/sharedStrings.xml><?xml version="1.0" encoding="utf-8"?>
<sst xmlns="http://schemas.openxmlformats.org/spreadsheetml/2006/main" count="83" uniqueCount="67">
  <si>
    <t>P1</t>
  </si>
  <si>
    <t>totais</t>
  </si>
  <si>
    <t>Inventário de Plantas</t>
  </si>
  <si>
    <t>PLANTAS</t>
  </si>
  <si>
    <t>nome</t>
  </si>
  <si>
    <t xml:space="preserve">Azaleia </t>
  </si>
  <si>
    <t>tipo</t>
  </si>
  <si>
    <t>fonte</t>
  </si>
  <si>
    <t>Estufa local</t>
  </si>
  <si>
    <t>cor</t>
  </si>
  <si>
    <t>Rosa</t>
  </si>
  <si>
    <t>tamanho</t>
  </si>
  <si>
    <t>1-2 metros</t>
  </si>
  <si>
    <t>custo</t>
  </si>
  <si>
    <t>CULTIVO</t>
  </si>
  <si>
    <t>Plantada dia</t>
  </si>
  <si>
    <t>[Data]</t>
  </si>
  <si>
    <t>localização</t>
  </si>
  <si>
    <t>Ubatuba</t>
  </si>
  <si>
    <t>solo</t>
  </si>
  <si>
    <t xml:space="preserve">4,5 - 6,0 pH </t>
  </si>
  <si>
    <t>ALIMENTAÇÃO/FERTILIZAÇÃO E ANOTAÇÕES</t>
  </si>
  <si>
    <t>fertilizante</t>
  </si>
  <si>
    <t>8-8-8</t>
  </si>
  <si>
    <t>agenda</t>
  </si>
  <si>
    <t>final do inverno ou início da primavera</t>
  </si>
  <si>
    <t>anotações</t>
  </si>
  <si>
    <t>S1</t>
  </si>
  <si>
    <t>SEMENTES</t>
  </si>
  <si>
    <t>bandeja n.</t>
  </si>
  <si>
    <t>Registro de Semeadura</t>
  </si>
  <si>
    <t>Data de Transplante (data da última geada + quaisquer dias adicionais):</t>
  </si>
  <si>
    <t>Tomate</t>
  </si>
  <si>
    <t>Catálogo</t>
  </si>
  <si>
    <t>MÉDIAS</t>
  </si>
  <si>
    <t>germinação</t>
  </si>
  <si>
    <t>crescimento</t>
  </si>
  <si>
    <t>total de sementes</t>
  </si>
  <si>
    <t>Data da semeadura</t>
  </si>
  <si>
    <t xml:space="preserve">Digite a data do transplante, a germinação média e a taxa de crescimento em dias para calcular automaticamente o dia em que você precisa plantar suas sementes. </t>
  </si>
  <si>
    <t>ALIMENTAÇÃO E ANOTAÇÕES</t>
  </si>
  <si>
    <t>alimentação</t>
  </si>
  <si>
    <t>Permitir que o solo seque ligeiramente entre as regas.</t>
  </si>
  <si>
    <t>LISTA DE TAREFAS</t>
  </si>
  <si>
    <t>tarefa</t>
  </si>
  <si>
    <t>Plantar pimentões</t>
  </si>
  <si>
    <t>Plantar sementes de tomate</t>
  </si>
  <si>
    <t>Plantar girassóis</t>
  </si>
  <si>
    <t>Preparar o solo para plantio</t>
  </si>
  <si>
    <t>Data de transplante</t>
  </si>
  <si>
    <t>Lista de Tarefas</t>
  </si>
  <si>
    <t>data de entrega</t>
  </si>
  <si>
    <t>% concluído</t>
  </si>
  <si>
    <t>feito?</t>
  </si>
  <si>
    <t>ANOTAÇÕES</t>
  </si>
  <si>
    <t>Selecione o mês de sua preferência na célula I9 e insira o ano na célula N9 para atualizar o calendário automaticamente.</t>
  </si>
  <si>
    <t>D</t>
  </si>
  <si>
    <t>S</t>
  </si>
  <si>
    <t>T</t>
  </si>
  <si>
    <t>Q</t>
  </si>
  <si>
    <t>DESCRIÇÃO DO LOTE DO JARDIM</t>
  </si>
  <si>
    <t>Planejamento de Grade de Jardim</t>
  </si>
  <si>
    <t xml:space="preserve">Use a ferramenta de borda para desenhar o seu jardim ou imprima esta planilha e esboce-o manualmente. </t>
  </si>
  <si>
    <t xml:space="preserve">* 1 quadrado = 1 metro quadrado </t>
  </si>
  <si>
    <t>Agosto</t>
  </si>
  <si>
    <t>Perene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</si>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</sst>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mmmm\ yyyy"/>
    <numFmt numFmtId="165" formatCode="0%_)"/>
    <numFmt numFmtId="166" formatCode=";;;"/>
    <numFmt numFmtId="167" formatCode="dd"/>
    <numFmt numFmtId="168" formatCode="_(@"/>
  </numFmts>
  <fonts count="38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0" fontId="0" fillId="0" borderId="0" xfId="0" applyFont="1" applyFill="1" applyBorder="1" applyAlignment="1">
      <alignment horizontal="left"/>
    </xf>
    <xf numFmtId="168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 indent="1"/>
    </xf>
    <xf numFmtId="0" fontId="0" fillId="13" borderId="0" xfId="0" applyFont="1" applyFill="1" applyBorder="1" applyAlignment="1">
      <alignment horizontal="left" vertical="center"/>
    </xf>
    <xf numFmtId="0" fontId="35" fillId="0" borderId="0" xfId="4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5">
    <cellStyle name="Dica" xfId="4"/>
    <cellStyle name="Normal" xfId="0" builtinId="0" customBuiltin="1"/>
    <cellStyle name="Papel_Quadriculado_Normal (combinado)" xfId="3"/>
    <cellStyle name="Porcentagem" xfId="1" builtinId="5"/>
    <cellStyle name="Título" xfId="2" builtinId="15" customBuiltin="1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numFmt numFmtId="168" formatCode="_(@"/>
    </dxf>
    <dxf>
      <numFmt numFmtId="168" formatCode="_(@"/>
    </dxf>
    <dxf>
      <numFmt numFmtId="19" formatCode="dd/mm/yyyy"/>
    </dxf>
    <dxf>
      <numFmt numFmtId="34" formatCode="_-&quot;R$&quot;\ * #,##0.00_-;\-&quot;R$&quot;\ * #,##0.00_-;_-&quot;R$&quot;\ 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numFmt numFmtId="168" formatCode="_(@"/>
    </dxf>
    <dxf>
      <numFmt numFmtId="168" formatCode="_(@"/>
      <alignment horizontal="general" vertical="bottom" textRotation="0" wrapText="1" indent="0" justifyLastLine="0" shrinkToFit="0" readingOrder="0"/>
    </dxf>
    <dxf>
      <numFmt numFmtId="168" formatCode="_(@"/>
    </dxf>
    <dxf>
      <numFmt numFmtId="34" formatCode="_-&quot;R$&quot;\ * #,##0.00_-;\-&quot;R$&quot;\ * #,##0.00_-;_-&quot;R$&quot;\ 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6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0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Diário do Jardim: Tabela Básica" defaultPivotStyle="PivotStyleLight16">
    <tableStyle name="Diário do Jardim: Tabela Básica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Imagem 3" title="Ícone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Imagem 4" title="Ícone de folh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Imagem 5" title="Ícone de gota-d’águ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325467</xdr:colOff>
      <xdr:row>7</xdr:row>
      <xdr:rowOff>121835</xdr:rowOff>
    </xdr:to>
    <xdr:pic>
      <xdr:nvPicPr>
        <xdr:cNvPr id="7" name="Imagem 6" title="Desenho de flor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314882</xdr:colOff>
      <xdr:row>7</xdr:row>
      <xdr:rowOff>132421</xdr:rowOff>
    </xdr:to>
    <xdr:pic>
      <xdr:nvPicPr>
        <xdr:cNvPr id="7" name="Imagem 6" title="Desenh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Imagem 1" title="Ícone de semente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306578</xdr:colOff>
      <xdr:row>8</xdr:row>
      <xdr:rowOff>442637</xdr:rowOff>
    </xdr:to>
    <xdr:pic>
      <xdr:nvPicPr>
        <xdr:cNvPr id="3" name="Imagem 2" title="Ícone de vaso de flor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Imagem 4" title="Ícone de folha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Imagem 5" title="Ícone de gota-d’águ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Imagem 1" title="Desenh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Imagem 2" title="Ícone da ferrament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Imagem 3" title="Ícone da ferramen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Imagem 4" title="Desenh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Imagem 5" title="Ícone da ferrament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Imagem 6" title="Ícone da ferramen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iário_do_Jardim" displayName="Diário_do_Jardim" ref="B12:N18" totalsRowCount="1" dataDxfId="56">
  <autoFilter ref="B12:N17"/>
  <tableColumns count="13">
    <tableColumn id="20" name="id" totalsRowLabel="totais" dataDxfId="55" totalsRowDxfId="21"/>
    <tableColumn id="1" name="nome" totalsRowFunction="custom" dataDxfId="54" totalsRowDxfId="20">
      <totalsRowFormula>"total de plantas: "&amp;SUBTOTAL(103,Diário_do_Jardim[nome])</totalsRowFormula>
    </tableColumn>
    <tableColumn id="2" name="tipo" dataDxfId="53" totalsRowDxfId="19"/>
    <tableColumn id="7" name="fonte" dataDxfId="52" totalsRowDxfId="18"/>
    <tableColumn id="3" name="cor" dataDxfId="51" totalsRowDxfId="17"/>
    <tableColumn id="4" name="tamanho" dataDxfId="50"/>
    <tableColumn id="13" name="custo" totalsRowFunction="sum" dataDxfId="49" totalsRowDxfId="16"/>
    <tableColumn id="5" name="Plantada dia" dataDxfId="48" totalsRowDxfId="15"/>
    <tableColumn id="6" name="localização" dataDxfId="47" totalsRowDxfId="14"/>
    <tableColumn id="17" name="solo" dataDxfId="46" totalsRowDxfId="13"/>
    <tableColumn id="9" name="fertilizante" dataDxfId="45" totalsRowDxfId="12"/>
    <tableColumn id="18" name="agenda" dataDxfId="44" totalsRowDxfId="11"/>
    <tableColumn id="14" name="anotações" dataDxfId="43" totalsRowDxfId="10"/>
  </tableColumns>
  <tableStyleInfo name="Diário do Jardim: Tabela Básica" showFirstColumn="0" showLastColumn="0" showRowStripes="1" showColumnStripes="0"/>
  <extLst>
    <ext xmlns:x14="http://schemas.microsoft.com/office/spreadsheetml/2009/9/main" uri="{504A1905-F514-4f6f-8877-14C23A59335A}">
      <x14:table altText="Inventário de Plantas" altTextSummary="Lista de plantas e informações sobre cada planta, como nome, tipo, fonte, cor, tamanho, custo, data de plantio, local, solo, fertilizante, fertilização e calendário de rega e anotações."/>
    </ext>
  </extLst>
</table>
</file>

<file path=xl/tables/table2.xml><?xml version="1.0" encoding="utf-8"?>
<table xmlns="http://schemas.openxmlformats.org/spreadsheetml/2006/main" id="3" name="RegistrodeSemeadura" displayName="RegistrodeSemeadura" ref="B12:K18" totalsRowCount="1" dataDxfId="42">
  <autoFilter ref="B12:K17"/>
  <tableColumns count="10">
    <tableColumn id="20" name="id" totalsRowLabel="totais" dataDxfId="41" totalsRowDxfId="9"/>
    <tableColumn id="2" name="bandeja n." dataDxfId="40" totalsRowDxfId="8"/>
    <tableColumn id="1" name="tipo" totalsRowFunction="custom" dataDxfId="39" totalsRowDxfId="7">
      <totalsRowFormula>"total de tipos de sementes: "&amp;SUBTOTAL(103,RegistrodeSemeadura[tipo])</totalsRowFormula>
    </tableColumn>
    <tableColumn id="7" name="fonte" dataDxfId="38" totalsRowDxfId="6"/>
    <tableColumn id="11" name="germinação" dataDxfId="37" totalsRowDxfId="5"/>
    <tableColumn id="10" name="crescimento" dataDxfId="36" totalsRowDxfId="4"/>
    <tableColumn id="8" name="total de sementes" totalsRowFunction="sum" dataDxfId="35" totalsRowDxfId="3"/>
    <tableColumn id="13" name="Data da semeadura" dataDxfId="34" totalsRowDxfId="2">
      <calculatedColumnFormula>IFERROR(IF(SUM(RegistrodeSemeadura[[#This Row],[germinação]:[crescimento]])&gt;0,IF(DataTransplante&lt;&gt;"",DataTransplante-(RegistrodeSemeadura[[#This Row],[germinação]]+RegistrodeSemeadura[[#This Row],[crescimento]])),""),"")</calculatedColumnFormula>
    </tableColumn>
    <tableColumn id="9" name="alimentação" dataDxfId="33" totalsRowDxfId="1"/>
    <tableColumn id="14" name="anotações" dataDxfId="32" totalsRowDxfId="0"/>
  </tableColumns>
  <tableStyleInfo name="Diário do Jardim: Tabela Básica" showFirstColumn="0" showLastColumn="0" showRowStripes="1" showColumnStripes="0"/>
  <extLst>
    <ext xmlns:x14="http://schemas.microsoft.com/office/spreadsheetml/2009/9/main" uri="{504A1905-F514-4f6f-8877-14C23A59335A}">
      <x14:table altText="Data da Semeadura" altTextSummary="Lista de dados sobre as sementes, como ID, n. da bandeja, tipo, fonte, germinação, crescimento, totais de sementes, semeadura, alimentação e anotações. "/>
    </ext>
  </extLst>
</table>
</file>

<file path=xl/tables/table3.xml><?xml version="1.0" encoding="utf-8"?>
<table xmlns="http://schemas.openxmlformats.org/spreadsheetml/2006/main" id="2" name="ListadeTarefas" displayName="ListadeTarefas" ref="B10:E15" totalsRowShown="0" headerRowDxfId="27" dataDxfId="26">
  <tableColumns count="4">
    <tableColumn id="2" name="tarefa" dataDxfId="25"/>
    <tableColumn id="6" name="data de entrega" dataDxfId="24"/>
    <tableColumn id="4" name="% concluído" dataDxfId="23"/>
    <tableColumn id="1" name="feito?" dataDxfId="22">
      <calculatedColumnFormula>IF(ListadeTarefas[[#This Row],[% concluído]]=1,1,IF(ISBLANK(ListadeTarefas[[#This Row],[data de entrega]]),2,IF(TODAY()&gt;ListadeTarefas[[#This Row],[data de entrega]],3,2)))</calculatedColumnFormula>
    </tableColumn>
  </tableColumns>
  <tableStyleInfo name="Diário do Jardim: Tabela Básica" showFirstColumn="0" showLastColumn="0" showRowStripes="1" showColumnStripes="0"/>
  <extLst>
    <ext xmlns:x14="http://schemas.microsoft.com/office/spreadsheetml/2009/9/main" uri="{504A1905-F514-4f6f-8877-14C23A59335A}">
      <x14:table altText="Lista de Tarefas" altTextSummary="Lista de tarefas, data de entrega, % concluído e feito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7.42578125" customWidth="1"/>
    <col min="3" max="3" width="23.85546875" style="82" customWidth="1"/>
    <col min="4" max="4" width="14.28515625" style="82" customWidth="1"/>
    <col min="5" max="5" width="18.7109375" style="85" customWidth="1"/>
    <col min="6" max="6" width="12.140625" style="82" customWidth="1"/>
    <col min="7" max="7" width="13.28515625" customWidth="1"/>
    <col min="8" max="8" width="10" customWidth="1"/>
    <col min="9" max="9" width="17" style="21" customWidth="1"/>
    <col min="10" max="10" width="15.42578125" style="82" customWidth="1"/>
    <col min="11" max="11" width="13.85546875" style="82" customWidth="1"/>
    <col min="12" max="12" width="13" style="82" customWidth="1"/>
    <col min="13" max="13" width="28" style="53" customWidth="1"/>
    <col min="14" max="14" width="24.42578125" style="53" customWidth="1"/>
  </cols>
  <sheetData>
    <row r="1" spans="2:14" ht="12" x14ac:dyDescent="0.2">
      <c r="C1" s="86"/>
      <c r="D1" s="86"/>
      <c r="E1" s="87"/>
      <c r="F1" s="86"/>
      <c r="G1" s="86"/>
      <c r="H1" s="86"/>
      <c r="J1" s="86"/>
      <c r="K1" s="86"/>
      <c r="L1" s="86"/>
      <c r="M1" s="56"/>
      <c r="N1" s="56"/>
    </row>
    <row r="2" spans="2:14" ht="46.5" x14ac:dyDescent="0.7">
      <c r="C2" s="88" t="s">
        <v>2</v>
      </c>
      <c r="D2" s="86"/>
      <c r="E2" s="87"/>
      <c r="F2" s="86"/>
      <c r="G2" s="86"/>
      <c r="H2" s="86"/>
      <c r="J2" s="86"/>
      <c r="K2" s="86"/>
      <c r="L2" s="86"/>
      <c r="M2" s="56"/>
      <c r="N2" s="56"/>
    </row>
    <row r="3" spans="2:14" ht="15" customHeight="1" x14ac:dyDescent="0.2">
      <c r="C3" s="86"/>
      <c r="D3" s="86"/>
      <c r="E3" s="87"/>
      <c r="F3" s="86"/>
      <c r="G3" s="86"/>
      <c r="H3" s="86"/>
      <c r="J3" s="86"/>
      <c r="K3" s="86"/>
      <c r="L3" s="86"/>
      <c r="M3" s="56"/>
      <c r="N3" s="56"/>
    </row>
    <row r="4" spans="2:14" ht="12" x14ac:dyDescent="0.2">
      <c r="C4" s="86"/>
      <c r="D4" s="86"/>
      <c r="E4" s="87"/>
      <c r="F4" s="86"/>
      <c r="G4" s="86"/>
      <c r="H4" s="86"/>
      <c r="J4" s="86"/>
      <c r="K4" s="86"/>
      <c r="L4" s="86"/>
      <c r="M4" s="56"/>
      <c r="N4" s="56"/>
    </row>
    <row r="5" spans="2:14" ht="12" x14ac:dyDescent="0.2">
      <c r="C5" s="86"/>
      <c r="D5" s="86"/>
      <c r="E5" s="87"/>
      <c r="F5" s="86"/>
      <c r="G5" s="86"/>
      <c r="H5" s="86"/>
      <c r="J5" s="86"/>
      <c r="K5" s="86"/>
      <c r="L5" s="86"/>
      <c r="M5" s="56"/>
      <c r="N5" s="56"/>
    </row>
    <row r="6" spans="2:14" ht="12" x14ac:dyDescent="0.2">
      <c r="C6" s="86"/>
      <c r="D6" s="86"/>
      <c r="E6" s="87"/>
      <c r="F6" s="86"/>
      <c r="G6" s="86"/>
      <c r="H6" s="86"/>
      <c r="J6" s="86"/>
      <c r="K6" s="86"/>
      <c r="L6" s="86"/>
      <c r="M6" s="56"/>
      <c r="N6" s="56"/>
    </row>
    <row r="7" spans="2:14" ht="12" x14ac:dyDescent="0.2">
      <c r="C7" s="86"/>
      <c r="D7" s="86"/>
      <c r="E7" s="87"/>
      <c r="F7" s="86"/>
      <c r="G7" s="86"/>
      <c r="H7" s="86"/>
      <c r="J7" s="86"/>
      <c r="K7" s="86"/>
      <c r="L7" s="86"/>
      <c r="M7" s="56"/>
      <c r="N7" s="56"/>
    </row>
    <row r="8" spans="2:14" ht="12" x14ac:dyDescent="0.2">
      <c r="C8" s="86"/>
      <c r="D8" s="86"/>
      <c r="E8" s="87"/>
      <c r="F8" s="86"/>
      <c r="G8" s="86"/>
      <c r="H8" s="86"/>
      <c r="J8" s="86"/>
      <c r="K8" s="86"/>
      <c r="L8" s="86"/>
      <c r="M8" s="56"/>
      <c r="N8" s="56"/>
    </row>
    <row r="9" spans="2:14" ht="39.75" customHeight="1" x14ac:dyDescent="0.2">
      <c r="C9" s="86"/>
      <c r="D9" s="86"/>
      <c r="E9" s="87"/>
      <c r="F9" s="86"/>
      <c r="G9" s="86"/>
      <c r="H9" s="86"/>
      <c r="J9" s="86"/>
      <c r="K9" s="86"/>
      <c r="L9" s="86"/>
      <c r="M9" s="56"/>
      <c r="N9" s="56"/>
    </row>
    <row r="10" spans="2:14" ht="15.75" customHeight="1" x14ac:dyDescent="0.25">
      <c r="C10" s="89" t="s">
        <v>3</v>
      </c>
      <c r="D10" s="90"/>
      <c r="E10" s="87"/>
      <c r="F10" s="86"/>
      <c r="G10" s="86"/>
      <c r="H10" s="86"/>
      <c r="I10" s="122" t="s">
        <v>14</v>
      </c>
      <c r="J10" s="86"/>
      <c r="K10" s="86"/>
      <c r="L10" s="91" t="s">
        <v>21</v>
      </c>
      <c r="M10" s="57"/>
      <c r="N10" s="56"/>
    </row>
    <row r="11" spans="2:14" ht="12" customHeight="1" x14ac:dyDescent="0.2">
      <c r="B11" s="14"/>
      <c r="C11" s="92"/>
      <c r="D11" s="93"/>
      <c r="E11" s="94"/>
      <c r="F11" s="93"/>
      <c r="G11" s="93"/>
      <c r="H11" s="93"/>
      <c r="I11" s="95"/>
      <c r="J11" s="95"/>
      <c r="K11" s="95"/>
      <c r="L11" s="96"/>
      <c r="M11" s="58"/>
      <c r="N11" s="59"/>
    </row>
    <row r="12" spans="2:14" ht="24.75" customHeight="1" x14ac:dyDescent="0.2">
      <c r="B12" s="39" t="s">
        <v>66</v>
      </c>
      <c r="C12" s="97" t="s">
        <v>4</v>
      </c>
      <c r="D12" s="98" t="s">
        <v>6</v>
      </c>
      <c r="E12" s="98" t="s">
        <v>7</v>
      </c>
      <c r="F12" s="98" t="s">
        <v>9</v>
      </c>
      <c r="G12" s="98" t="s">
        <v>11</v>
      </c>
      <c r="H12" s="98" t="s">
        <v>13</v>
      </c>
      <c r="I12" s="99" t="s">
        <v>15</v>
      </c>
      <c r="J12" s="99" t="s">
        <v>17</v>
      </c>
      <c r="K12" s="99" t="s">
        <v>19</v>
      </c>
      <c r="L12" s="100" t="s">
        <v>22</v>
      </c>
      <c r="M12" s="55" t="s">
        <v>24</v>
      </c>
      <c r="N12" s="55" t="s">
        <v>26</v>
      </c>
    </row>
    <row r="13" spans="2:14" ht="32.25" customHeight="1" x14ac:dyDescent="0.2">
      <c r="B13" s="40" t="s">
        <v>0</v>
      </c>
      <c r="C13" s="75" t="s">
        <v>5</v>
      </c>
      <c r="D13" s="75" t="s">
        <v>65</v>
      </c>
      <c r="E13" s="76" t="s">
        <v>8</v>
      </c>
      <c r="F13" s="75" t="s">
        <v>10</v>
      </c>
      <c r="G13" s="75" t="s">
        <v>12</v>
      </c>
      <c r="H13" s="125">
        <v>10</v>
      </c>
      <c r="I13" s="35" t="s">
        <v>16</v>
      </c>
      <c r="J13" s="77" t="s">
        <v>18</v>
      </c>
      <c r="K13" s="117" t="s">
        <v>20</v>
      </c>
      <c r="L13" s="116" t="s">
        <v>23</v>
      </c>
      <c r="M13" s="54" t="s">
        <v>25</v>
      </c>
      <c r="N13" s="54"/>
    </row>
    <row r="14" spans="2:14" ht="32.25" customHeight="1" x14ac:dyDescent="0.2">
      <c r="B14" s="40"/>
      <c r="C14" s="75"/>
      <c r="D14" s="75"/>
      <c r="E14" s="76"/>
      <c r="F14" s="75"/>
      <c r="G14" s="75"/>
      <c r="H14" s="125"/>
      <c r="I14" s="35"/>
      <c r="J14" s="77"/>
      <c r="K14" s="117"/>
      <c r="L14" s="116"/>
      <c r="M14" s="54"/>
      <c r="N14" s="54"/>
    </row>
    <row r="15" spans="2:14" s="15" customFormat="1" ht="32.25" customHeight="1" x14ac:dyDescent="0.2">
      <c r="B15" s="40"/>
      <c r="C15" s="75"/>
      <c r="D15" s="75"/>
      <c r="E15" s="76"/>
      <c r="F15" s="75"/>
      <c r="G15" s="75"/>
      <c r="H15" s="125"/>
      <c r="I15" s="35"/>
      <c r="J15" s="77"/>
      <c r="K15" s="117"/>
      <c r="L15" s="116"/>
      <c r="M15" s="54"/>
      <c r="N15" s="54"/>
    </row>
    <row r="16" spans="2:14" ht="32.25" customHeight="1" x14ac:dyDescent="0.2">
      <c r="B16" s="40"/>
      <c r="C16" s="75"/>
      <c r="D16" s="75"/>
      <c r="E16" s="76"/>
      <c r="F16" s="75"/>
      <c r="G16" s="75"/>
      <c r="H16" s="125"/>
      <c r="I16" s="35"/>
      <c r="J16" s="77"/>
      <c r="K16" s="117"/>
      <c r="L16" s="116"/>
      <c r="M16" s="54"/>
      <c r="N16" s="54"/>
    </row>
    <row r="17" spans="2:14" ht="32.25" customHeight="1" x14ac:dyDescent="0.2">
      <c r="B17" s="40"/>
      <c r="C17" s="75"/>
      <c r="D17" s="75"/>
      <c r="E17" s="76"/>
      <c r="F17" s="75"/>
      <c r="G17" s="75"/>
      <c r="H17" s="125"/>
      <c r="I17" s="35"/>
      <c r="J17" s="77"/>
      <c r="K17" s="117"/>
      <c r="L17" s="116"/>
      <c r="M17" s="54"/>
      <c r="N17" s="54"/>
    </row>
    <row r="18" spans="2:14" s="15" customFormat="1" ht="32.25" customHeight="1" x14ac:dyDescent="0.2">
      <c r="B18" s="52" t="s">
        <v>1</v>
      </c>
      <c r="C18" s="126" t="str">
        <f>"total de plantas: "&amp;SUBTOTAL(103,Diário_do_Jardim[nome])</f>
        <v>total de plantas: 1</v>
      </c>
      <c r="D18" s="82"/>
      <c r="E18" s="85"/>
      <c r="F18" s="82"/>
      <c r="H18" s="126">
        <f>SUBTOTAL(109,Diário_do_Jardim[custo])</f>
        <v>10</v>
      </c>
      <c r="I18" s="21"/>
      <c r="J18" s="82"/>
      <c r="K18" s="82"/>
      <c r="L18" s="124"/>
      <c r="M18" s="53"/>
      <c r="N18" s="53"/>
    </row>
    <row r="19" spans="2:14" ht="32.25" customHeight="1" x14ac:dyDescent="0.2">
      <c r="L19" s="124"/>
    </row>
    <row r="20" spans="2:14" ht="32.25" customHeight="1" x14ac:dyDescent="0.2">
      <c r="L20" s="124"/>
    </row>
    <row r="21" spans="2:14" ht="32.25" customHeight="1" x14ac:dyDescent="0.2">
      <c r="L21" s="124"/>
    </row>
    <row r="22" spans="2:14" ht="32.25" customHeight="1" x14ac:dyDescent="0.2">
      <c r="L22" s="124"/>
    </row>
    <row r="23" spans="2:14" ht="32.25" customHeight="1" x14ac:dyDescent="0.2">
      <c r="L23" s="124"/>
    </row>
    <row r="24" spans="2:14" ht="32.25" customHeight="1" x14ac:dyDescent="0.2">
      <c r="L24" s="124"/>
    </row>
    <row r="25" spans="2:14" ht="32.25" customHeight="1" x14ac:dyDescent="0.2">
      <c r="L25" s="124"/>
    </row>
    <row r="26" spans="2:14" ht="32.25" customHeight="1" x14ac:dyDescent="0.2">
      <c r="L26" s="124"/>
    </row>
    <row r="27" spans="2:14" ht="32.25" customHeight="1" x14ac:dyDescent="0.2">
      <c r="L27" s="124"/>
    </row>
    <row r="28" spans="2:14" ht="32.25" customHeight="1" x14ac:dyDescent="0.2">
      <c r="L28" s="124"/>
    </row>
    <row r="29" spans="2:14" ht="32.25" customHeight="1" x14ac:dyDescent="0.2">
      <c r="L29" s="124"/>
    </row>
    <row r="30" spans="2:14" ht="32.25" customHeight="1" x14ac:dyDescent="0.2">
      <c r="L30" s="124"/>
    </row>
    <row r="31" spans="2:14" ht="32.25" customHeight="1" x14ac:dyDescent="0.2">
      <c r="L31" s="124"/>
    </row>
    <row r="32" spans="2:14" ht="32.25" customHeight="1" x14ac:dyDescent="0.2">
      <c r="L32" s="124"/>
    </row>
    <row r="33" spans="12:12" ht="32.25" customHeight="1" x14ac:dyDescent="0.2">
      <c r="L33" s="124"/>
    </row>
    <row r="34" spans="12:12" ht="32.25" customHeight="1" x14ac:dyDescent="0.2">
      <c r="L34" s="124"/>
    </row>
    <row r="35" spans="12:12" ht="32.25" customHeight="1" x14ac:dyDescent="0.2">
      <c r="L35" s="124"/>
    </row>
    <row r="36" spans="12:12" ht="32.25" customHeight="1" x14ac:dyDescent="0.2">
      <c r="L36" s="124"/>
    </row>
    <row r="37" spans="12:12" ht="32.25" customHeight="1" x14ac:dyDescent="0.2">
      <c r="L37" s="124"/>
    </row>
    <row r="38" spans="12:12" ht="32.25" customHeight="1" x14ac:dyDescent="0.2">
      <c r="L38" s="124"/>
    </row>
    <row r="39" spans="12:12" ht="32.25" customHeight="1" x14ac:dyDescent="0.2">
      <c r="L39" s="124"/>
    </row>
    <row r="40" spans="12:12" ht="32.25" customHeight="1" x14ac:dyDescent="0.2">
      <c r="L40" s="124"/>
    </row>
    <row r="41" spans="12:12" ht="32.25" customHeight="1" x14ac:dyDescent="0.2">
      <c r="L41" s="124"/>
    </row>
    <row r="42" spans="12:12" ht="32.25" customHeight="1" x14ac:dyDescent="0.2">
      <c r="L42" s="124"/>
    </row>
    <row r="43" spans="12:12" ht="32.25" customHeight="1" x14ac:dyDescent="0.2">
      <c r="L43" s="124"/>
    </row>
    <row r="44" spans="12:12" ht="32.25" customHeight="1" x14ac:dyDescent="0.2">
      <c r="L44" s="124"/>
    </row>
    <row r="45" spans="12:12" ht="32.25" customHeight="1" x14ac:dyDescent="0.2">
      <c r="L45" s="124"/>
    </row>
    <row r="46" spans="12:12" ht="32.25" customHeight="1" x14ac:dyDescent="0.2">
      <c r="L46" s="124"/>
    </row>
    <row r="47" spans="12:12" ht="32.25" customHeight="1" x14ac:dyDescent="0.2">
      <c r="L47" s="124"/>
    </row>
    <row r="48" spans="12:12" ht="32.25" customHeight="1" x14ac:dyDescent="0.2">
      <c r="L48" s="124"/>
    </row>
    <row r="49" spans="12:12" ht="32.25" customHeight="1" x14ac:dyDescent="0.2">
      <c r="L49" s="124"/>
    </row>
    <row r="50" spans="12:12" ht="32.25" customHeight="1" x14ac:dyDescent="0.2">
      <c r="L50" s="124"/>
    </row>
    <row r="51" spans="12:12" ht="32.25" customHeight="1" x14ac:dyDescent="0.2">
      <c r="L51" s="124"/>
    </row>
    <row r="52" spans="12:12" ht="32.25" customHeight="1" x14ac:dyDescent="0.2">
      <c r="L52" s="124"/>
    </row>
    <row r="53" spans="12:12" ht="32.25" customHeight="1" x14ac:dyDescent="0.2">
      <c r="L53" s="124"/>
    </row>
    <row r="54" spans="12:12" ht="32.25" customHeight="1" x14ac:dyDescent="0.2">
      <c r="L54" s="124"/>
    </row>
    <row r="55" spans="12:12" ht="32.25" customHeight="1" x14ac:dyDescent="0.2">
      <c r="L55" s="124"/>
    </row>
    <row r="56" spans="12:12" ht="32.25" customHeight="1" x14ac:dyDescent="0.2">
      <c r="L56" s="124"/>
    </row>
    <row r="57" spans="12:12" ht="32.25" customHeight="1" x14ac:dyDescent="0.2">
      <c r="L57" s="124"/>
    </row>
    <row r="58" spans="12:12" ht="32.25" customHeight="1" x14ac:dyDescent="0.2">
      <c r="L58" s="124"/>
    </row>
    <row r="59" spans="12:12" ht="32.25" customHeight="1" x14ac:dyDescent="0.2">
      <c r="L59" s="124"/>
    </row>
    <row r="60" spans="12:12" ht="32.25" customHeight="1" x14ac:dyDescent="0.2">
      <c r="L60" s="124"/>
    </row>
    <row r="61" spans="12:12" ht="32.25" customHeight="1" x14ac:dyDescent="0.2">
      <c r="L61" s="124"/>
    </row>
    <row r="62" spans="12:12" ht="32.25" customHeight="1" x14ac:dyDescent="0.2">
      <c r="L62" s="124"/>
    </row>
    <row r="63" spans="12:12" ht="32.25" customHeight="1" x14ac:dyDescent="0.2">
      <c r="L63" s="124"/>
    </row>
    <row r="64" spans="12:12" ht="32.25" customHeight="1" x14ac:dyDescent="0.2">
      <c r="L64" s="124"/>
    </row>
    <row r="65" spans="12:12" ht="32.25" customHeight="1" x14ac:dyDescent="0.2">
      <c r="L65" s="124"/>
    </row>
    <row r="66" spans="12:12" ht="32.25" customHeight="1" x14ac:dyDescent="0.2">
      <c r="L66" s="124"/>
    </row>
    <row r="67" spans="12:12" ht="32.25" customHeight="1" x14ac:dyDescent="0.2">
      <c r="L67" s="124"/>
    </row>
    <row r="68" spans="12:12" ht="32.25" customHeight="1" x14ac:dyDescent="0.2">
      <c r="L68" s="124"/>
    </row>
    <row r="69" spans="12:12" ht="32.25" customHeight="1" x14ac:dyDescent="0.2">
      <c r="L69" s="124"/>
    </row>
    <row r="70" spans="12:12" ht="32.25" customHeight="1" x14ac:dyDescent="0.2">
      <c r="L70" s="124"/>
    </row>
    <row r="71" spans="12:12" ht="32.25" customHeight="1" x14ac:dyDescent="0.2">
      <c r="L71" s="124"/>
    </row>
    <row r="72" spans="12:12" ht="32.25" customHeight="1" x14ac:dyDescent="0.2">
      <c r="L72" s="124"/>
    </row>
    <row r="73" spans="12:12" ht="32.25" customHeight="1" x14ac:dyDescent="0.2">
      <c r="L73" s="124"/>
    </row>
    <row r="74" spans="12:12" ht="32.25" customHeight="1" x14ac:dyDescent="0.2">
      <c r="L74" s="124"/>
    </row>
    <row r="75" spans="12:12" ht="32.25" customHeight="1" x14ac:dyDescent="0.2">
      <c r="L75" s="124"/>
    </row>
    <row r="76" spans="12:12" ht="32.25" customHeight="1" x14ac:dyDescent="0.2">
      <c r="L76" s="124"/>
    </row>
    <row r="77" spans="12:12" ht="32.25" customHeight="1" x14ac:dyDescent="0.2">
      <c r="L77" s="124"/>
    </row>
    <row r="78" spans="12:12" ht="32.25" customHeight="1" x14ac:dyDescent="0.2">
      <c r="L78" s="124"/>
    </row>
    <row r="79" spans="12:12" ht="32.25" customHeight="1" x14ac:dyDescent="0.2">
      <c r="L79" s="124"/>
    </row>
    <row r="80" spans="12:12" ht="32.25" customHeight="1" x14ac:dyDescent="0.2">
      <c r="L80" s="124"/>
    </row>
    <row r="81" spans="12:12" ht="32.25" customHeight="1" x14ac:dyDescent="0.2">
      <c r="L81" s="124"/>
    </row>
    <row r="82" spans="12:12" ht="32.25" customHeight="1" x14ac:dyDescent="0.2">
      <c r="L82" s="124"/>
    </row>
    <row r="83" spans="12:12" ht="32.25" customHeight="1" x14ac:dyDescent="0.2">
      <c r="L83" s="124"/>
    </row>
    <row r="84" spans="12:12" ht="32.25" customHeight="1" x14ac:dyDescent="0.2">
      <c r="L84" s="124"/>
    </row>
    <row r="85" spans="12:12" ht="32.25" customHeight="1" x14ac:dyDescent="0.2">
      <c r="L85" s="124"/>
    </row>
    <row r="86" spans="12:12" ht="32.25" customHeight="1" x14ac:dyDescent="0.2">
      <c r="L86" s="124"/>
    </row>
    <row r="87" spans="12:12" ht="32.25" customHeight="1" x14ac:dyDescent="0.2">
      <c r="L87" s="124"/>
    </row>
    <row r="88" spans="12:12" ht="32.25" customHeight="1" x14ac:dyDescent="0.2">
      <c r="L88" s="124"/>
    </row>
    <row r="89" spans="12:12" ht="32.25" customHeight="1" x14ac:dyDescent="0.2">
      <c r="L89" s="124"/>
    </row>
    <row r="90" spans="12:12" ht="32.25" customHeight="1" x14ac:dyDescent="0.2">
      <c r="L90" s="124"/>
    </row>
    <row r="91" spans="12:12" ht="32.25" customHeight="1" x14ac:dyDescent="0.2">
      <c r="L91" s="124"/>
    </row>
  </sheetData>
  <dataValidations count="1">
    <dataValidation type="list" allowBlank="1" sqref="D13:D17">
      <formula1>"Perene, Semestral, Anual"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paperSize="9" scale="75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7.42578125" customWidth="1"/>
    <col min="3" max="3" width="13.7109375" customWidth="1"/>
    <col min="4" max="4" width="24.42578125" style="82" customWidth="1"/>
    <col min="5" max="5" width="17.42578125" style="85" customWidth="1"/>
    <col min="6" max="6" width="32.7109375" customWidth="1"/>
    <col min="7" max="7" width="18.28515625" customWidth="1"/>
    <col min="8" max="8" width="22.85546875" customWidth="1"/>
    <col min="9" max="9" width="23.85546875" style="21" customWidth="1"/>
    <col min="10" max="10" width="33.7109375" style="53" customWidth="1"/>
    <col min="11" max="11" width="25.42578125" style="53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86"/>
      <c r="E1" s="87"/>
      <c r="J1" s="56"/>
      <c r="K1" s="56"/>
    </row>
    <row r="2" spans="2:11" ht="62.25" customHeight="1" x14ac:dyDescent="0.7">
      <c r="D2" s="101" t="s">
        <v>30</v>
      </c>
      <c r="E2" s="87"/>
      <c r="H2" s="1"/>
      <c r="I2" s="120"/>
      <c r="J2" s="119" t="s">
        <v>39</v>
      </c>
      <c r="K2" s="65"/>
    </row>
    <row r="3" spans="2:11" ht="15" customHeight="1" x14ac:dyDescent="0.2">
      <c r="D3" s="102" t="s">
        <v>31</v>
      </c>
      <c r="E3" s="103"/>
      <c r="G3" s="118" t="s">
        <v>16</v>
      </c>
      <c r="J3" s="64"/>
      <c r="K3" s="64"/>
    </row>
    <row r="4" spans="2:11" ht="12" x14ac:dyDescent="0.2">
      <c r="D4" s="104"/>
      <c r="E4" s="87"/>
      <c r="J4" s="64"/>
      <c r="K4" s="64"/>
    </row>
    <row r="5" spans="2:11" ht="12" x14ac:dyDescent="0.2">
      <c r="D5" s="86"/>
      <c r="E5" s="87"/>
      <c r="J5" s="56"/>
      <c r="K5" s="56"/>
    </row>
    <row r="6" spans="2:11" ht="12" x14ac:dyDescent="0.2">
      <c r="D6" s="86"/>
      <c r="E6" s="87"/>
      <c r="J6" s="56"/>
      <c r="K6" s="56"/>
    </row>
    <row r="7" spans="2:11" ht="12" x14ac:dyDescent="0.2">
      <c r="D7" s="86"/>
      <c r="E7" s="87"/>
      <c r="J7" s="56"/>
      <c r="K7" s="56"/>
    </row>
    <row r="8" spans="2:11" ht="12" x14ac:dyDescent="0.2">
      <c r="D8" s="86"/>
      <c r="E8" s="87"/>
      <c r="J8" s="56"/>
      <c r="K8" s="56"/>
    </row>
    <row r="9" spans="2:11" s="11" customFormat="1" ht="39.75" customHeight="1" x14ac:dyDescent="0.2">
      <c r="D9" s="105"/>
      <c r="E9" s="105"/>
      <c r="H9" s="12"/>
      <c r="I9" s="121"/>
      <c r="J9" s="60"/>
      <c r="K9" s="60"/>
    </row>
    <row r="10" spans="2:11" ht="15.75" customHeight="1" x14ac:dyDescent="0.25">
      <c r="C10" s="36" t="s">
        <v>28</v>
      </c>
      <c r="D10" s="86"/>
      <c r="E10" s="87"/>
      <c r="F10" s="43" t="s">
        <v>34</v>
      </c>
      <c r="H10" s="38" t="s">
        <v>14</v>
      </c>
      <c r="J10" s="61" t="s">
        <v>40</v>
      </c>
      <c r="K10" s="56"/>
    </row>
    <row r="11" spans="2:11" ht="12" customHeight="1" x14ac:dyDescent="0.2">
      <c r="B11" s="14"/>
      <c r="C11" s="42"/>
      <c r="D11" s="93"/>
      <c r="E11" s="94"/>
      <c r="F11" s="44"/>
      <c r="G11" s="25"/>
      <c r="H11" s="46"/>
      <c r="I11" s="46"/>
      <c r="J11" s="62"/>
      <c r="K11" s="59"/>
    </row>
    <row r="12" spans="2:11" ht="25.5" customHeight="1" x14ac:dyDescent="0.2">
      <c r="B12" s="39" t="s">
        <v>66</v>
      </c>
      <c r="C12" s="37" t="s">
        <v>29</v>
      </c>
      <c r="D12" s="106" t="s">
        <v>6</v>
      </c>
      <c r="E12" s="106" t="s">
        <v>7</v>
      </c>
      <c r="F12" s="45" t="s">
        <v>35</v>
      </c>
      <c r="G12" s="33" t="s">
        <v>36</v>
      </c>
      <c r="H12" s="47" t="s">
        <v>37</v>
      </c>
      <c r="I12" s="47" t="s">
        <v>38</v>
      </c>
      <c r="J12" s="63" t="s">
        <v>41</v>
      </c>
      <c r="K12" s="55" t="s">
        <v>26</v>
      </c>
    </row>
    <row r="13" spans="2:11" ht="33" customHeight="1" x14ac:dyDescent="0.2">
      <c r="B13" s="41" t="s">
        <v>27</v>
      </c>
      <c r="C13" s="17">
        <v>1</v>
      </c>
      <c r="D13" s="78" t="s">
        <v>32</v>
      </c>
      <c r="E13" s="79" t="s">
        <v>33</v>
      </c>
      <c r="F13" s="31">
        <v>8</v>
      </c>
      <c r="G13" s="31">
        <f>7*7</f>
        <v>49</v>
      </c>
      <c r="H13" s="32">
        <v>10</v>
      </c>
      <c r="I13" s="24" t="str">
        <f>IFERROR(IF(SUM(RegistrodeSemeadura[[#This Row],[germinação]:[crescimento]])&gt;0,IF(DataTransplante&lt;&gt;"",DataTransplante-(RegistrodeSemeadura[[#This Row],[germinação]]+RegistrodeSemeadura[[#This Row],[crescimento]])),""),"")</f>
        <v/>
      </c>
      <c r="J13" s="30" t="s">
        <v>42</v>
      </c>
      <c r="K13" s="30"/>
    </row>
    <row r="14" spans="2:11" ht="33" customHeight="1" x14ac:dyDescent="0.2">
      <c r="B14" s="41"/>
      <c r="C14" s="17"/>
      <c r="D14" s="78"/>
      <c r="E14" s="79"/>
      <c r="F14" s="31"/>
      <c r="G14" s="31"/>
      <c r="H14" s="32"/>
      <c r="I14" s="24" t="str">
        <f>IFERROR(IF(SUM(RegistrodeSemeadura[[#This Row],[germinação]:[crescimento]])&gt;0,IF(DataTransplante&lt;&gt;"",DataTransplante-(RegistrodeSemeadura[[#This Row],[germinação]]+RegistrodeSemeadura[[#This Row],[crescimento]])),""),"")</f>
        <v/>
      </c>
      <c r="J14" s="30"/>
      <c r="K14" s="30"/>
    </row>
    <row r="15" spans="2:11" ht="33" customHeight="1" x14ac:dyDescent="0.2">
      <c r="B15" s="41"/>
      <c r="C15" s="17"/>
      <c r="D15" s="78"/>
      <c r="E15" s="79"/>
      <c r="F15" s="31"/>
      <c r="G15" s="31"/>
      <c r="H15" s="32"/>
      <c r="I15" s="24" t="str">
        <f>IFERROR(IF(SUM(RegistrodeSemeadura[[#This Row],[germinação]:[crescimento]])&gt;0,IF(DataTransplante&lt;&gt;"",DataTransplante-(RegistrodeSemeadura[[#This Row],[germinação]]+RegistrodeSemeadura[[#This Row],[crescimento]])),""),"")</f>
        <v/>
      </c>
      <c r="J15" s="30"/>
      <c r="K15" s="30"/>
    </row>
    <row r="16" spans="2:11" ht="33" customHeight="1" x14ac:dyDescent="0.2">
      <c r="B16" s="41"/>
      <c r="C16" s="17"/>
      <c r="D16" s="78"/>
      <c r="E16" s="79"/>
      <c r="F16" s="31"/>
      <c r="G16" s="31"/>
      <c r="H16" s="32"/>
      <c r="I16" s="24" t="str">
        <f>IFERROR(IF(SUM(RegistrodeSemeadura[[#This Row],[germinação]:[crescimento]])&gt;0,IF(DataTransplante&lt;&gt;"",DataTransplante-(RegistrodeSemeadura[[#This Row],[germinação]]+RegistrodeSemeadura[[#This Row],[crescimento]])),""),"")</f>
        <v/>
      </c>
      <c r="J16" s="30"/>
      <c r="K16" s="30"/>
    </row>
    <row r="17" spans="2:11" ht="33" customHeight="1" x14ac:dyDescent="0.2">
      <c r="B17" s="41"/>
      <c r="C17" s="17"/>
      <c r="D17" s="78"/>
      <c r="E17" s="79"/>
      <c r="F17" s="31"/>
      <c r="G17" s="31"/>
      <c r="H17" s="32"/>
      <c r="I17" s="24" t="str">
        <f>IFERROR(IF(SUM(RegistrodeSemeadura[[#This Row],[germinação]:[crescimento]])&gt;0,IF(DataTransplante&lt;&gt;"",DataTransplante-(RegistrodeSemeadura[[#This Row],[germinação]]+RegistrodeSemeadura[[#This Row],[crescimento]])),""),"")</f>
        <v/>
      </c>
      <c r="J17" s="30"/>
      <c r="K17" s="30"/>
    </row>
    <row r="18" spans="2:11" s="15" customFormat="1" ht="33" customHeight="1" x14ac:dyDescent="0.2">
      <c r="B18" s="52" t="s">
        <v>1</v>
      </c>
      <c r="C18" s="127"/>
      <c r="D18" s="133" t="str">
        <f>"total de tipos de sementes: "&amp;SUBTOTAL(103,RegistrodeSemeadura[tipo])</f>
        <v>total de tipos de sementes: 1</v>
      </c>
      <c r="E18" s="128"/>
      <c r="F18" s="129"/>
      <c r="G18" s="129"/>
      <c r="H18" s="130">
        <f>SUBTOTAL(109,RegistrodeSemeadura[total de sementes])</f>
        <v>10</v>
      </c>
      <c r="I18" s="131"/>
      <c r="J18" s="53"/>
      <c r="K18" s="132"/>
    </row>
  </sheetData>
  <printOptions horizontalCentered="1"/>
  <pageMargins left="0.196850393700787" right="0.196850393700787" top="0.39370078740157499" bottom="0.39370078740157499" header="0.39370078740157499" footer="0.39370078740157499"/>
  <pageSetup paperSize="9" scale="73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3.5703125" style="80" customWidth="1"/>
    <col min="3" max="3" width="16.42578125" style="66" customWidth="1"/>
    <col min="4" max="4" width="14.5703125" style="107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67"/>
      <c r="D1" s="67"/>
    </row>
    <row r="2" spans="1:15" ht="47.25" customHeight="1" x14ac:dyDescent="0.7">
      <c r="B2" s="67"/>
      <c r="C2" s="123" t="s">
        <v>50</v>
      </c>
      <c r="D2" s="67"/>
      <c r="G2" s="21"/>
      <c r="I2" s="134" t="s">
        <v>55</v>
      </c>
      <c r="J2" s="134"/>
      <c r="K2" s="134"/>
      <c r="L2" s="134"/>
      <c r="M2" s="134"/>
      <c r="N2" s="134"/>
      <c r="O2" s="134"/>
    </row>
    <row r="3" spans="1:15" ht="19.5" customHeight="1" x14ac:dyDescent="0.2">
      <c r="B3" s="67"/>
      <c r="D3" s="67"/>
      <c r="I3" s="134"/>
      <c r="J3" s="134"/>
      <c r="K3" s="134"/>
      <c r="L3" s="134"/>
      <c r="M3" s="134"/>
      <c r="N3" s="134"/>
      <c r="O3" s="134"/>
    </row>
    <row r="4" spans="1:15" ht="19.5" customHeight="1" x14ac:dyDescent="0.2">
      <c r="B4" s="67"/>
      <c r="D4" s="67"/>
    </row>
    <row r="5" spans="1:15" ht="19.5" customHeight="1" x14ac:dyDescent="0.2">
      <c r="B5" s="67"/>
      <c r="D5" s="67"/>
    </row>
    <row r="6" spans="1:15" ht="19.5" customHeight="1" x14ac:dyDescent="0.2">
      <c r="B6" s="67"/>
      <c r="D6" s="67"/>
    </row>
    <row r="7" spans="1:15" ht="19.5" customHeight="1" x14ac:dyDescent="0.2">
      <c r="B7" s="67"/>
      <c r="D7" s="67"/>
    </row>
    <row r="8" spans="1:15" s="7" customFormat="1" ht="15.75" customHeight="1" x14ac:dyDescent="0.25">
      <c r="B8" s="83" t="s">
        <v>43</v>
      </c>
      <c r="C8" s="66"/>
      <c r="D8" s="67"/>
      <c r="F8" s="38" t="s">
        <v>54</v>
      </c>
      <c r="G8" s="13"/>
      <c r="H8"/>
      <c r="I8" s="141" t="s">
        <v>64</v>
      </c>
      <c r="J8" s="141"/>
      <c r="K8" s="141"/>
      <c r="L8" s="141"/>
      <c r="M8" s="141"/>
      <c r="N8" s="140">
        <v>2014</v>
      </c>
      <c r="O8" s="140"/>
    </row>
    <row r="9" spans="1:15" s="7" customFormat="1" ht="14.25" customHeight="1" x14ac:dyDescent="0.2">
      <c r="B9" s="84"/>
      <c r="C9" s="112"/>
      <c r="D9" s="108"/>
      <c r="E9" s="27"/>
      <c r="F9" s="48"/>
      <c r="G9" s="23"/>
      <c r="H9"/>
      <c r="I9" s="141"/>
      <c r="J9" s="141"/>
      <c r="K9" s="141"/>
      <c r="L9" s="141"/>
      <c r="M9" s="141"/>
      <c r="N9" s="140"/>
      <c r="O9" s="140"/>
    </row>
    <row r="10" spans="1:15" s="9" customFormat="1" ht="26.25" customHeight="1" x14ac:dyDescent="0.25">
      <c r="A10" s="8"/>
      <c r="B10" s="68" t="s">
        <v>44</v>
      </c>
      <c r="C10" s="109" t="s">
        <v>51</v>
      </c>
      <c r="D10" s="109" t="s">
        <v>52</v>
      </c>
      <c r="E10" s="34" t="s">
        <v>53</v>
      </c>
      <c r="F10" s="48"/>
      <c r="G10" s="16"/>
      <c r="H10" s="22"/>
      <c r="I10" s="115" t="s">
        <v>56</v>
      </c>
      <c r="J10" s="18" t="s">
        <v>57</v>
      </c>
      <c r="K10" s="18" t="s">
        <v>58</v>
      </c>
      <c r="L10" s="18" t="s">
        <v>59</v>
      </c>
      <c r="M10" s="18" t="s">
        <v>59</v>
      </c>
      <c r="N10" s="18" t="s">
        <v>57</v>
      </c>
      <c r="O10" s="18" t="s">
        <v>57</v>
      </c>
    </row>
    <row r="11" spans="1:15" ht="25.5" customHeight="1" x14ac:dyDescent="0.2">
      <c r="B11" s="78" t="s">
        <v>45</v>
      </c>
      <c r="C11" s="28" t="s">
        <v>16</v>
      </c>
      <c r="D11" s="110">
        <v>1</v>
      </c>
      <c r="E11" s="29">
        <f ca="1">IF(ListadeTarefas[[#This Row],[% concluído]]=1,1,IF(ISBLANK(ListadeTarefas[[#This Row],[data de entrega]]),2,IF(TODAY()&gt;ListadeTarefas[[#This Row],[data de entrega]],3,2)))</f>
        <v>1</v>
      </c>
      <c r="F11" s="142"/>
      <c r="G11" s="143"/>
      <c r="I11" s="138">
        <f>IF(DAY(WEEKDAY(DATE(AnoCalendário,MêsCalendário,1)))=1,DATE(AnoCalendário,MêsCalendário,1)-WEEKDAY(DATE(AnoCalendário,MêsCalendário,1))-6,DATE(AnoCalendário,MêsCalendário,1)-WEEKDAY(DATE(AnoCalendário,MêsCalendário,1))+1)</f>
        <v>41847</v>
      </c>
      <c r="J11" s="138">
        <f>IF(DAY(WEEKDAY(DATE(AnoCalendário,MêsCalendário,1)))=1,DATE(AnoCalendário,MêsCalendário,1)-WEEKDAY(DATE(AnoCalendário,MêsCalendário,1))-5,DATE(AnoCalendário,MêsCalendário,1)-WEEKDAY(DATE(AnoCalendário,MêsCalendário,1))+2)</f>
        <v>41848</v>
      </c>
      <c r="K11" s="138">
        <f>IF(DAY(WEEKDAY(DATE(AnoCalendário,MêsCalendário,1)))=1,DATE(AnoCalendário,MêsCalendário,1)-WEEKDAY(DATE(AnoCalendário,MêsCalendário,1))-4,DATE(AnoCalendário,MêsCalendário,1)-WEEKDAY(DATE(AnoCalendário,MêsCalendário,1))+3)</f>
        <v>41849</v>
      </c>
      <c r="L11" s="138">
        <f>IF(DAY(WEEKDAY(DATE(AnoCalendário,MêsCalendário,1)))=1,DATE(AnoCalendário,MêsCalendário,1)-WEEKDAY(DATE(AnoCalendário,MêsCalendário,1))-3,DATE(AnoCalendário,MêsCalendário,1)-WEEKDAY(DATE(AnoCalendário,MêsCalendário,1))+4)</f>
        <v>41850</v>
      </c>
      <c r="M11" s="138">
        <f>IF(DAY(WEEKDAY(DATE(AnoCalendário,MêsCalendário,1)))=1,DATE(AnoCalendário,MêsCalendário,1)-WEEKDAY(DATE(AnoCalendário,MêsCalendário,1))-2,DATE(AnoCalendário,MêsCalendário,1)-WEEKDAY(DATE(AnoCalendário,MêsCalendário,1))+5)</f>
        <v>41851</v>
      </c>
      <c r="N11" s="138">
        <f>IF(DAY(WEEKDAY(DATE(AnoCalendário,MêsCalendário,1)))=1,DATE(AnoCalendário,MêsCalendário,1)-WEEKDAY(DATE(AnoCalendário,MêsCalendário,1))-1,DATE(AnoCalendário,MêsCalendário,1)-WEEKDAY(DATE(AnoCalendário,MêsCalendário,1))+6)</f>
        <v>41852</v>
      </c>
      <c r="O11" s="138">
        <f>IF(DAY(WEEKDAY(DATE(AnoCalendário,MêsCalendário,1)))=1,DATE(AnoCalendário,MêsCalendário,1)-WEEKDAY(DATE(AnoCalendário,MêsCalendário,1)),DATE(AnoCalendário,MêsCalendário,1)-WEEKDAY(DATE(AnoCalendário,MêsCalendário,1))+7)</f>
        <v>41853</v>
      </c>
    </row>
    <row r="12" spans="1:15" ht="25.5" customHeight="1" x14ac:dyDescent="0.2">
      <c r="B12" s="78" t="s">
        <v>46</v>
      </c>
      <c r="C12" s="26" t="s">
        <v>16</v>
      </c>
      <c r="D12" s="110">
        <v>1</v>
      </c>
      <c r="E12" s="29">
        <f ca="1">IF(ListadeTarefas[[#This Row],[% concluído]]=1,1,IF(ISBLANK(ListadeTarefas[[#This Row],[data de entrega]]),2,IF(TODAY()&gt;ListadeTarefas[[#This Row],[data de entrega]],3,2)))</f>
        <v>1</v>
      </c>
      <c r="F12" s="135"/>
      <c r="G12" s="136"/>
      <c r="I12" s="139" t="e">
        <f>IF(DAY(JanSun1)=1,JanSun1-6,JanSun1+1)</f>
        <v>#NAME?</v>
      </c>
      <c r="J12" s="139" t="e">
        <f>IF(DAY(JanSun1)=1,JanSun1-5,JanSun1+2)</f>
        <v>#NAME?</v>
      </c>
      <c r="K12" s="139" t="e">
        <f>IF(DAY(JanSun1)=1,JanSun1-4,JanSun1+3)</f>
        <v>#NAME?</v>
      </c>
      <c r="L12" s="139" t="e">
        <f>IF(DAY(JanSun1)=1,JanSun1-3,JanSun1+4)</f>
        <v>#NAME?</v>
      </c>
      <c r="M12" s="139" t="e">
        <f>IF(DAY(JanSun1)=1,JanSun1-2,JanSun1+5)</f>
        <v>#NAME?</v>
      </c>
      <c r="N12" s="139" t="e">
        <f>IF(DAY(JanSun1)=1,JanSun1-1,JanSun1+6)</f>
        <v>#NAME?</v>
      </c>
      <c r="O12" s="139" t="e">
        <f>IF(DAY(JanSun1)=1,JanSun1,JanSun1+7)</f>
        <v>#NAME?</v>
      </c>
    </row>
    <row r="13" spans="1:15" ht="25.5" customHeight="1" x14ac:dyDescent="0.2">
      <c r="B13" s="78" t="s">
        <v>47</v>
      </c>
      <c r="C13" s="26" t="s">
        <v>16</v>
      </c>
      <c r="D13" s="110">
        <v>1</v>
      </c>
      <c r="E13" s="29">
        <f ca="1">IF(ListadeTarefas[[#This Row],[% concluído]]=1,1,IF(ISBLANK(ListadeTarefas[[#This Row],[data de entrega]]),2,IF(TODAY()&gt;ListadeTarefas[[#This Row],[data de entrega]],3,2)))</f>
        <v>1</v>
      </c>
      <c r="F13" s="135"/>
      <c r="G13" s="136"/>
      <c r="I13" s="137">
        <f>IF(DAY(WEEKDAY(DATE(AnoCalendário,MêsCalendário,1)))=1,DATE(AnoCalendário,MêsCalendário,1)-WEEKDAY(DATE(AnoCalendário,MêsCalendário,1))+1,DATE(AnoCalendário,MêsCalendário,1)-WEEKDAY(DATE(AnoCalendário,MêsCalendário,1))+8)</f>
        <v>41854</v>
      </c>
      <c r="J13" s="137">
        <f>IF(DAY(WEEKDAY(DATE(AnoCalendário,MêsCalendário,1)))=1,DATE(AnoCalendário,MêsCalendário,1)-WEEKDAY(DATE(AnoCalendário,MêsCalendário,1))+2,DATE(AnoCalendário,MêsCalendário,1)-WEEKDAY(DATE(AnoCalendário,MêsCalendário,1))+9)</f>
        <v>41855</v>
      </c>
      <c r="K13" s="137">
        <f>IF(DAY(WEEKDAY(DATE(AnoCalendário,MêsCalendário,1)))=1,DATE(AnoCalendário,MêsCalendário,1)-WEEKDAY(DATE(AnoCalendário,MêsCalendário,1))+3,DATE(AnoCalendário,MêsCalendário,1)-WEEKDAY(DATE(AnoCalendário,MêsCalendário,1))+10)</f>
        <v>41856</v>
      </c>
      <c r="L13" s="137">
        <f>IF(DAY(WEEKDAY(DATE(AnoCalendário,MêsCalendário,1)))=1,DATE(AnoCalendário,MêsCalendário,1)-WEEKDAY(DATE(AnoCalendário,MêsCalendário,1))+4,DATE(AnoCalendário,MêsCalendário,1)-WEEKDAY(DATE(AnoCalendário,MêsCalendário,1))+11)</f>
        <v>41857</v>
      </c>
      <c r="M13" s="137">
        <f>IF(DAY(WEEKDAY(DATE(AnoCalendário,MêsCalendário,1)))=1,DATE(AnoCalendário,MêsCalendário,1)-WEEKDAY(DATE(AnoCalendário,MêsCalendário,1))+5,DATE(AnoCalendário,MêsCalendário,1)-WEEKDAY(DATE(AnoCalendário,MêsCalendário,1))+12)</f>
        <v>41858</v>
      </c>
      <c r="N13" s="137">
        <f>IF(DAY(WEEKDAY(DATE(AnoCalendário,MêsCalendário,1)))=1,DATE(AnoCalendário,MêsCalendário,1)-WEEKDAY(DATE(AnoCalendário,MêsCalendário,1))+6,DATE(AnoCalendário,MêsCalendário,1)-WEEKDAY(DATE(AnoCalendário,MêsCalendário,1))+13)</f>
        <v>41859</v>
      </c>
      <c r="O13" s="137">
        <f>IF(DAY(WEEKDAY(DATE(AnoCalendário,MêsCalendário,1)))=1,DATE(AnoCalendário,MêsCalendário,1)-WEEKDAY(DATE(AnoCalendário,MêsCalendário,1))+7,DATE(AnoCalendário,MêsCalendário,1)-WEEKDAY(DATE(AnoCalendário,MêsCalendário,1))+14)</f>
        <v>41860</v>
      </c>
    </row>
    <row r="14" spans="1:15" ht="25.5" customHeight="1" x14ac:dyDescent="0.2">
      <c r="B14" s="81" t="s">
        <v>48</v>
      </c>
      <c r="C14" s="26" t="s">
        <v>16</v>
      </c>
      <c r="D14" s="110">
        <v>0.5</v>
      </c>
      <c r="E14" s="29">
        <f ca="1">IF(ListadeTarefas[[#This Row],[% concluído]]=1,1,IF(ISBLANK(ListadeTarefas[[#This Row],[data de entrega]]),2,IF(TODAY()&gt;ListadeTarefas[[#This Row],[data de entrega]],3,2)))</f>
        <v>2</v>
      </c>
      <c r="F14" s="135"/>
      <c r="G14" s="136"/>
      <c r="I14" s="137" t="e">
        <f>IF(DAY(JanSun1)=1,JanSun1+1,JanSun1+8)</f>
        <v>#NAME?</v>
      </c>
      <c r="J14" s="137" t="e">
        <f>IF(DAY(JanSun1)=1,JanSun1+2,JanSun1+9)</f>
        <v>#NAME?</v>
      </c>
      <c r="K14" s="137" t="e">
        <f>IF(DAY(JanSun1)=1,JanSun1+3,JanSun1+10)</f>
        <v>#NAME?</v>
      </c>
      <c r="L14" s="137" t="e">
        <f>IF(DAY(JanSun1)=1,JanSun1+4,JanSun1+11)</f>
        <v>#NAME?</v>
      </c>
      <c r="M14" s="137" t="e">
        <f>IF(DAY(JanSun1)=1,JanSun1+5,JanSun1+12)</f>
        <v>#NAME?</v>
      </c>
      <c r="N14" s="137" t="e">
        <f>IF(DAY(JanSun1)=1,JanSun1+6,JanSun1+13)</f>
        <v>#NAME?</v>
      </c>
      <c r="O14" s="137" t="e">
        <f>IF(DAY(JanSun1)=1,JanSun1+7,JanSun1+14)</f>
        <v>#NAME?</v>
      </c>
    </row>
    <row r="15" spans="1:15" ht="25.5" customHeight="1" x14ac:dyDescent="0.2">
      <c r="B15" s="78" t="s">
        <v>49</v>
      </c>
      <c r="C15" s="26" t="s">
        <v>16</v>
      </c>
      <c r="D15" s="110">
        <v>0</v>
      </c>
      <c r="E15" s="29">
        <f ca="1">IF(ListadeTarefas[[#This Row],[% concluído]]=1,1,IF(ISBLANK(ListadeTarefas[[#This Row],[data de entrega]]),2,IF(TODAY()&gt;ListadeTarefas[[#This Row],[data de entrega]],3,2)))</f>
        <v>2</v>
      </c>
      <c r="F15" s="135"/>
      <c r="G15" s="136"/>
      <c r="I15" s="137">
        <f>IF(DAY(WEEKDAY(DATE(AnoCalendário,MêsCalendário,1)))=1,DATE(AnoCalendário,MêsCalendário,1)-WEEKDAY(DATE(AnoCalendário,MêsCalendário,1))+8,DATE(AnoCalendário,MêsCalendário,1)-WEEKDAY(DATE(AnoCalendário,MêsCalendário,1))+15)</f>
        <v>41861</v>
      </c>
      <c r="J15" s="137">
        <f>IF(DAY(WEEKDAY(DATE(AnoCalendário,MêsCalendário,1)))=1,DATE(AnoCalendário,MêsCalendário,1)-WEEKDAY(DATE(AnoCalendário,MêsCalendário,1))+9,DATE(AnoCalendário,MêsCalendário,1)-WEEKDAY(DATE(AnoCalendário,MêsCalendário,1))+16)</f>
        <v>41862</v>
      </c>
      <c r="K15" s="137">
        <f>IF(DAY(WEEKDAY(DATE(AnoCalendário,MêsCalendário,1)))=1,DATE(AnoCalendário,MêsCalendário,1)-WEEKDAY(DATE(AnoCalendário,MêsCalendário,1))+10,DATE(AnoCalendário,MêsCalendário,1)-WEEKDAY(DATE(AnoCalendário,MêsCalendário,1))+17)</f>
        <v>41863</v>
      </c>
      <c r="L15" s="137">
        <f>IF(DAY(WEEKDAY(DATE(AnoCalendário,MêsCalendário,1)))=1,DATE(AnoCalendário,MêsCalendário,1)-WEEKDAY(DATE(AnoCalendário,MêsCalendário,1))+11,DATE(AnoCalendário,MêsCalendário,1)-WEEKDAY(DATE(AnoCalendário,MêsCalendário,1))+18)</f>
        <v>41864</v>
      </c>
      <c r="M15" s="137">
        <f>IF(DAY(WEEKDAY(DATE(AnoCalendário,MêsCalendário,1)))=1,DATE(AnoCalendário,MêsCalendário,1)-WEEKDAY(DATE(AnoCalendário,MêsCalendário,1))+12,DATE(AnoCalendário,MêsCalendário,1)-WEEKDAY(DATE(AnoCalendário,MêsCalendário,1))+19)</f>
        <v>41865</v>
      </c>
      <c r="N15" s="137">
        <f>IF(DAY(WEEKDAY(DATE(AnoCalendário,MêsCalendário,1)))=1,DATE(AnoCalendário,MêsCalendário,1)-WEEKDAY(DATE(AnoCalendário,MêsCalendário,1))+13,DATE(AnoCalendário,MêsCalendário,1)-WEEKDAY(DATE(AnoCalendário,MêsCalendário,1))+20)</f>
        <v>41866</v>
      </c>
      <c r="O15" s="137">
        <f>IF(DAY(WEEKDAY(DATE(AnoCalendário,MêsCalendário,1)))=1,DATE(AnoCalendário,MêsCalendário,1)-WEEKDAY(DATE(AnoCalendário,MêsCalendário,1))+14,DATE(AnoCalendário,MêsCalendário,1)-WEEKDAY(DATE(AnoCalendário,MêsCalendário,1))+21)</f>
        <v>41867</v>
      </c>
    </row>
    <row r="16" spans="1:15" ht="25.5" customHeight="1" x14ac:dyDescent="0.2">
      <c r="B16" s="82"/>
      <c r="C16" s="21"/>
      <c r="D16" s="111"/>
      <c r="E16"/>
      <c r="F16" s="135"/>
      <c r="G16" s="136"/>
      <c r="I16" s="137" t="e">
        <f>IF(DAY(JanSun1)=1,JanSun1+8,JanSun1+15)</f>
        <v>#NAME?</v>
      </c>
      <c r="J16" s="137" t="e">
        <f>IF(DAY(JanSun1)=1,JanSun1+9,JanSun1+16)</f>
        <v>#NAME?</v>
      </c>
      <c r="K16" s="137" t="e">
        <f>IF(DAY(JanSun1)=1,JanSun1+10,JanSun1+17)</f>
        <v>#NAME?</v>
      </c>
      <c r="L16" s="137" t="e">
        <f>IF(DAY(JanSun1)=1,JanSun1+11,JanSun1+18)</f>
        <v>#NAME?</v>
      </c>
      <c r="M16" s="137" t="e">
        <f>IF(DAY(JanSun1)=1,JanSun1+12,JanSun1+19)</f>
        <v>#NAME?</v>
      </c>
      <c r="N16" s="137" t="e">
        <f>IF(DAY(JanSun1)=1,JanSun1+13,JanSun1+20)</f>
        <v>#NAME?</v>
      </c>
      <c r="O16" s="137" t="e">
        <f>IF(DAY(JanSun1)=1,JanSun1+14,JanSun1+21)</f>
        <v>#NAME?</v>
      </c>
    </row>
    <row r="17" spans="2:15" ht="25.5" customHeight="1" x14ac:dyDescent="0.2">
      <c r="B17" s="82"/>
      <c r="F17" s="135"/>
      <c r="G17" s="136"/>
      <c r="I17" s="137">
        <f>IF(DAY(WEEKDAY(DATE(AnoCalendário,MêsCalendário,1)))=1,DATE(AnoCalendário,MêsCalendário,1)-WEEKDAY(DATE(AnoCalendário,MêsCalendário,1))+15,DATE(AnoCalendário,MêsCalendário,1)-WEEKDAY(DATE(AnoCalendário,MêsCalendário,1))+22)</f>
        <v>41868</v>
      </c>
      <c r="J17" s="137">
        <f>IF(DAY(WEEKDAY(DATE(AnoCalendário,MêsCalendário,1)))=1,DATE(AnoCalendário,MêsCalendário,1)-WEEKDAY(DATE(AnoCalendário,MêsCalendário,1))+16,DATE(AnoCalendário,MêsCalendário,1)-WEEKDAY(DATE(AnoCalendário,MêsCalendário,1))+23)</f>
        <v>41869</v>
      </c>
      <c r="K17" s="137">
        <f>IF(DAY(WEEKDAY(DATE(AnoCalendário,MêsCalendário,1)))=1,DATE(AnoCalendário,MêsCalendário,1)-WEEKDAY(DATE(AnoCalendário,MêsCalendário,1))+17,DATE(AnoCalendário,MêsCalendário,1)-WEEKDAY(DATE(AnoCalendário,MêsCalendário,1))+24)</f>
        <v>41870</v>
      </c>
      <c r="L17" s="137">
        <f>IF(DAY(WEEKDAY(DATE(AnoCalendário,MêsCalendário,1)))=1,DATE(AnoCalendário,MêsCalendário,1)-WEEKDAY(DATE(AnoCalendário,MêsCalendário,1))+18,DATE(AnoCalendário,MêsCalendário,1)-WEEKDAY(DATE(AnoCalendário,MêsCalendário,1))+25)</f>
        <v>41871</v>
      </c>
      <c r="M17" s="137">
        <f>IF(DAY(WEEKDAY(DATE(AnoCalendário,MêsCalendário,1)))=1,DATE(AnoCalendário,MêsCalendário,1)-WEEKDAY(DATE(AnoCalendário,MêsCalendário,1))+19,DATE(AnoCalendário,MêsCalendário,1)-WEEKDAY(DATE(AnoCalendário,MêsCalendário,1))+26)</f>
        <v>41872</v>
      </c>
      <c r="N17" s="137">
        <f>IF(DAY(WEEKDAY(DATE(AnoCalendário,MêsCalendário,1)))=1,DATE(AnoCalendário,MêsCalendário,1)-WEEKDAY(DATE(AnoCalendário,MêsCalendário,1))+20,DATE(AnoCalendário,MêsCalendário,1)-WEEKDAY(DATE(AnoCalendário,MêsCalendário,1))+27)</f>
        <v>41873</v>
      </c>
      <c r="O17" s="137">
        <f>IF(DAY(WEEKDAY(DATE(AnoCalendário,MêsCalendário,1)))=1,DATE(AnoCalendário,MêsCalendário,1)-WEEKDAY(DATE(AnoCalendário,MêsCalendário,1))+21,DATE(AnoCalendário,MêsCalendário,1)-WEEKDAY(DATE(AnoCalendário,MêsCalendário,1))+28)</f>
        <v>41874</v>
      </c>
    </row>
    <row r="18" spans="2:15" ht="25.5" customHeight="1" x14ac:dyDescent="0.2">
      <c r="B18" s="82"/>
      <c r="F18" s="135"/>
      <c r="G18" s="136"/>
      <c r="I18" s="137" t="e">
        <f>IF(DAY(JanSun1)=1,JanSun1+15,JanSun1+22)</f>
        <v>#NAME?</v>
      </c>
      <c r="J18" s="137" t="e">
        <f>IF(DAY(JanSun1)=1,JanSun1+16,JanSun1+23)</f>
        <v>#NAME?</v>
      </c>
      <c r="K18" s="137" t="e">
        <f>IF(DAY(JanSun1)=1,JanSun1+17,JanSun1+24)</f>
        <v>#NAME?</v>
      </c>
      <c r="L18" s="137" t="e">
        <f>IF(DAY(JanSun1)=1,JanSun1+18,JanSun1+25)</f>
        <v>#NAME?</v>
      </c>
      <c r="M18" s="137" t="e">
        <f>IF(DAY(JanSun1)=1,JanSun1+19,JanSun1+26)</f>
        <v>#NAME?</v>
      </c>
      <c r="N18" s="137" t="e">
        <f>IF(DAY(JanSun1)=1,JanSun1+20,JanSun1+27)</f>
        <v>#NAME?</v>
      </c>
      <c r="O18" s="137" t="e">
        <f>IF(DAY(JanSun1)=1,JanSun1+21,JanSun1+28)</f>
        <v>#NAME?</v>
      </c>
    </row>
    <row r="19" spans="2:15" ht="25.5" customHeight="1" x14ac:dyDescent="0.2">
      <c r="B19" s="82"/>
      <c r="F19" s="135"/>
      <c r="G19" s="136"/>
      <c r="I19" s="137">
        <f>IF(DAY(WEEKDAY(DATE(AnoCalendário,MêsCalendário,1)))=1,DATE(AnoCalendário,MêsCalendário,1)-WEEKDAY(DATE(AnoCalendário,MêsCalendário,1))+22,DATE(AnoCalendário,MêsCalendário,1)-WEEKDAY(DATE(AnoCalendário,MêsCalendário,1))+29)</f>
        <v>41875</v>
      </c>
      <c r="J19" s="137">
        <f>IF(DAY(WEEKDAY(DATE(AnoCalendário,MêsCalendário,1)))=1,DATE(AnoCalendário,MêsCalendário,1)-WEEKDAY(DATE(AnoCalendário,MêsCalendário,1))+23,DATE(AnoCalendário,MêsCalendário,1)-WEEKDAY(DATE(AnoCalendário,MêsCalendário,1))+30)</f>
        <v>41876</v>
      </c>
      <c r="K19" s="137">
        <f>IF(DAY(WEEKDAY(DATE(AnoCalendário,MêsCalendário,1)))=1,DATE(AnoCalendário,MêsCalendário,1)-WEEKDAY(DATE(AnoCalendário,MêsCalendário,1))+24,DATE(AnoCalendário,MêsCalendário,1)-WEEKDAY(DATE(AnoCalendário,MêsCalendário,1))+31)</f>
        <v>41877</v>
      </c>
      <c r="L19" s="137">
        <f>IF(DAY(WEEKDAY(DATE(AnoCalendário,MêsCalendário,1)))=1,DATE(AnoCalendário,MêsCalendário,1)-WEEKDAY(DATE(AnoCalendário,MêsCalendário,1))+25,DATE(AnoCalendário,MêsCalendário,1)-WEEKDAY(DATE(AnoCalendário,MêsCalendário,1))+32)</f>
        <v>41878</v>
      </c>
      <c r="M19" s="137">
        <f>IF(DAY(WEEKDAY(DATE(AnoCalendário,MêsCalendário,1)))=1,DATE(AnoCalendário,MêsCalendário,1)-WEEKDAY(DATE(AnoCalendário,MêsCalendário,1))+26,DATE(AnoCalendário,MêsCalendário,1)-WEEKDAY(DATE(AnoCalendário,MêsCalendário,1))+33)</f>
        <v>41879</v>
      </c>
      <c r="N19" s="137">
        <f>IF(DAY(WEEKDAY(DATE(AnoCalendário,MêsCalendário,1)))=1,DATE(AnoCalendário,MêsCalendário,1)-WEEKDAY(DATE(AnoCalendário,MêsCalendário,1))+27,DATE(AnoCalendário,MêsCalendário,1)-WEEKDAY(DATE(AnoCalendário,MêsCalendário,1))+34)</f>
        <v>41880</v>
      </c>
      <c r="O19" s="137">
        <f>IF(DAY(WEEKDAY(DATE(AnoCalendário,MêsCalendário,1)))=1,DATE(AnoCalendário,MêsCalendário,1)-WEEKDAY(DATE(AnoCalendário,MêsCalendário,1))+28,DATE(AnoCalendário,MêsCalendário,1)-WEEKDAY(DATE(AnoCalendário,MêsCalendário,1))+35)</f>
        <v>41881</v>
      </c>
    </row>
    <row r="20" spans="2:15" ht="25.5" customHeight="1" x14ac:dyDescent="0.2">
      <c r="B20" s="82"/>
      <c r="F20" s="135"/>
      <c r="G20" s="136"/>
      <c r="I20" s="137" t="e">
        <f>IF(DAY(JanSun1)=1,JanSun1+22,JanSun1+29)</f>
        <v>#NAME?</v>
      </c>
      <c r="J20" s="137" t="e">
        <f>IF(DAY(JanSun1)=1,JanSun1+23,JanSun1+30)</f>
        <v>#NAME?</v>
      </c>
      <c r="K20" s="137" t="e">
        <f>IF(DAY(JanSun1)=1,JanSun1+24,JanSun1+31)</f>
        <v>#NAME?</v>
      </c>
      <c r="L20" s="137" t="e">
        <f>IF(DAY(JanSun1)=1,JanSun1+25,JanSun1+32)</f>
        <v>#NAME?</v>
      </c>
      <c r="M20" s="137" t="e">
        <f>IF(DAY(JanSun1)=1,JanSun1+26,JanSun1+33)</f>
        <v>#NAME?</v>
      </c>
      <c r="N20" s="137" t="e">
        <f>IF(DAY(JanSun1)=1,JanSun1+27,JanSun1+34)</f>
        <v>#NAME?</v>
      </c>
      <c r="O20" s="137" t="e">
        <f>IF(DAY(JanSun1)=1,JanSun1+28,JanSun1+35)</f>
        <v>#NAME?</v>
      </c>
    </row>
    <row r="21" spans="2:15" ht="25.5" customHeight="1" x14ac:dyDescent="0.2">
      <c r="B21" s="82"/>
      <c r="F21" s="135"/>
      <c r="G21" s="136"/>
      <c r="I21" s="137">
        <f>IF(DAY(WEEKDAY(DATE(AnoCalendário,MêsCalendário,1)))=1,DATE(AnoCalendário,MêsCalendário,1)-WEEKDAY(DATE(AnoCalendário,MêsCalendário,1))+29,DATE(AnoCalendário,MêsCalendário,1)-WEEKDAY(DATE(AnoCalendário,MêsCalendário,1))+36)</f>
        <v>41882</v>
      </c>
      <c r="J21" s="137">
        <f>IF(DAY(WEEKDAY(DATE(AnoCalendário,MêsCalendário,1)))=1,DATE(AnoCalendário,MêsCalendário,1)-WEEKDAY(DATE(AnoCalendário,MêsCalendário,1))+30,DATE(AnoCalendário,MêsCalendário,1)-WEEKDAY(DATE(AnoCalendário,MêsCalendário,1))+37)</f>
        <v>41883</v>
      </c>
      <c r="K21" s="137">
        <f>IF(DAY(WEEKDAY(DATE(AnoCalendário,MêsCalendário,1)))=1,DATE(AnoCalendário,MêsCalendário,1)-WEEKDAY(DATE(AnoCalendário,MêsCalendário,1))+31,DATE(AnoCalendário,MêsCalendário,1)-WEEKDAY(DATE(AnoCalendário,MêsCalendário,1))+38)</f>
        <v>41884</v>
      </c>
      <c r="L21" s="137">
        <f>IF(DAY(WEEKDAY(DATE(AnoCalendário,MêsCalendário,1)))=1,DATE(AnoCalendário,MêsCalendário,1)-WEEKDAY(DATE(AnoCalendário,MêsCalendário,1))+32,DATE(AnoCalendário,MêsCalendário,1)-WEEKDAY(DATE(AnoCalendário,MêsCalendário,1))+39)</f>
        <v>41885</v>
      </c>
      <c r="M21" s="137">
        <f>IF(DAY(WEEKDAY(DATE(AnoCalendário,MêsCalendário,1)))=1,DATE(AnoCalendário,MêsCalendário,1)-WEEKDAY(DATE(AnoCalendário,MêsCalendário,1))+33,DATE(AnoCalendário,MêsCalendário,1)-WEEKDAY(DATE(AnoCalendário,MêsCalendário,1))+40)</f>
        <v>41886</v>
      </c>
      <c r="N21" s="137">
        <f>IF(DAY(WEEKDAY(DATE(AnoCalendário,MêsCalendário,1)))=1,DATE(AnoCalendário,MêsCalendário,1)-WEEKDAY(DATE(AnoCalendário,MêsCalendário,1))+34,DATE(AnoCalendário,MêsCalendário,1)-WEEKDAY(DATE(AnoCalendário,MêsCalendário,1))+41)</f>
        <v>41887</v>
      </c>
      <c r="O21" s="137">
        <f>IF(DAY(WEEKDAY(DATE(AnoCalendário,MêsCalendário,1)))=1,DATE(AnoCalendário,MêsCalendário,1)-WEEKDAY(DATE(AnoCalendário,MêsCalendário,1))+35,DATE(AnoCalendário,MêsCalendário,1)-WEEKDAY(DATE(AnoCalendário,MêsCalendário,1))+42)</f>
        <v>41888</v>
      </c>
    </row>
    <row r="22" spans="2:15" ht="25.5" customHeight="1" x14ac:dyDescent="0.2">
      <c r="B22" s="82"/>
      <c r="F22" s="135"/>
      <c r="G22" s="136"/>
      <c r="I22" s="137" t="e">
        <f>IF(DAY(JanSun1)=1,JanSun1+29,JanSun1+36)</f>
        <v>#NAME?</v>
      </c>
      <c r="J22" s="137" t="e">
        <f>IF(DAY(JanSun1)=1,JanSun1+30,JanSun1+37)</f>
        <v>#NAME?</v>
      </c>
      <c r="K22" s="137" t="e">
        <f>IF(DAY(JanSun1)=1,JanSun1+31,JanSun1+38)</f>
        <v>#NAME?</v>
      </c>
      <c r="L22" s="137" t="e">
        <f>IF(DAY(JanSun1)=1,JanSun1+32,JanSun1+39)</f>
        <v>#NAME?</v>
      </c>
      <c r="M22" s="137" t="e">
        <f>IF(DAY(JanSun1)=1,JanSun1+33,JanSun1+40)</f>
        <v>#NAME?</v>
      </c>
      <c r="N22" s="137" t="e">
        <f>IF(DAY(JanSun1)=1,JanSun1+34,JanSun1+41)</f>
        <v>#NAME?</v>
      </c>
      <c r="O22" s="137" t="e">
        <f>IF(DAY(JanSun1)=1,JanSun1+35,JanSun1+42)</f>
        <v>#NAME?</v>
      </c>
    </row>
    <row r="23" spans="2:15" ht="25.5" customHeight="1" x14ac:dyDescent="0.2">
      <c r="B23" s="82"/>
      <c r="F23" s="113"/>
      <c r="G23" s="114"/>
      <c r="I23" s="51"/>
      <c r="J23"/>
      <c r="K23" s="51"/>
      <c r="L23"/>
      <c r="M23"/>
    </row>
    <row r="24" spans="2:15" ht="25.5" customHeight="1" x14ac:dyDescent="0.2">
      <c r="B24" s="82"/>
      <c r="F24" s="135"/>
      <c r="G24" s="136"/>
      <c r="H24" s="136"/>
      <c r="I24" s="136"/>
      <c r="J24" s="136"/>
      <c r="K24" s="136"/>
      <c r="L24" s="136"/>
      <c r="M24" s="136"/>
      <c r="N24" s="136"/>
      <c r="O24" s="136"/>
    </row>
    <row r="25" spans="2:15" ht="25.5" customHeight="1" x14ac:dyDescent="0.2">
      <c r="B25" s="82"/>
      <c r="F25" s="135"/>
      <c r="G25" s="136"/>
      <c r="H25" s="136"/>
      <c r="I25" s="136"/>
      <c r="J25" s="136"/>
      <c r="K25" s="136"/>
      <c r="L25" s="136"/>
      <c r="M25" s="136"/>
      <c r="N25" s="136"/>
      <c r="O25" s="136"/>
    </row>
    <row r="26" spans="2:15" ht="25.5" customHeight="1" x14ac:dyDescent="0.2">
      <c r="B26" s="82"/>
      <c r="F26" s="135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2:15" ht="25.5" customHeight="1" x14ac:dyDescent="0.2">
      <c r="B27" s="82"/>
      <c r="F27" s="135"/>
      <c r="G27" s="136"/>
      <c r="H27" s="136"/>
      <c r="I27" s="136"/>
      <c r="J27" s="136"/>
      <c r="K27" s="136"/>
      <c r="L27" s="136"/>
      <c r="M27" s="136"/>
      <c r="N27" s="136"/>
      <c r="O27" s="136"/>
    </row>
    <row r="28" spans="2:15" ht="25.5" customHeight="1" x14ac:dyDescent="0.2">
      <c r="B28" s="82"/>
      <c r="F28" s="135"/>
      <c r="G28" s="136"/>
      <c r="H28" s="136"/>
      <c r="I28" s="136"/>
      <c r="J28" s="136"/>
      <c r="K28" s="136"/>
      <c r="L28" s="136"/>
      <c r="M28" s="136"/>
      <c r="N28" s="136"/>
      <c r="O28" s="136"/>
    </row>
    <row r="29" spans="2:15" ht="25.5" customHeight="1" x14ac:dyDescent="0.2">
      <c r="B29" s="82"/>
      <c r="F29" s="135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2:15" ht="25.5" customHeight="1" x14ac:dyDescent="0.2">
      <c r="B30" s="82"/>
      <c r="F30" s="135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2:15" ht="25.5" customHeight="1" x14ac:dyDescent="0.2">
      <c r="B31" s="82"/>
      <c r="F31" s="135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2:15" ht="25.5" customHeight="1" x14ac:dyDescent="0.2">
      <c r="B32" s="82"/>
      <c r="F32" s="135"/>
      <c r="G32" s="136"/>
      <c r="H32" s="136"/>
      <c r="I32" s="136"/>
      <c r="J32" s="136"/>
      <c r="K32" s="136"/>
      <c r="L32" s="136"/>
      <c r="M32" s="136"/>
      <c r="N32" s="136"/>
      <c r="O32" s="136"/>
    </row>
    <row r="33" spans="2:15" ht="25.5" customHeight="1" x14ac:dyDescent="0.2">
      <c r="B33" s="82"/>
      <c r="F33" s="135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2:15" ht="25.5" customHeight="1" x14ac:dyDescent="0.2">
      <c r="B34" s="82"/>
      <c r="C34" s="21"/>
      <c r="D34" s="111"/>
      <c r="E34"/>
      <c r="F34" s="135"/>
      <c r="G34" s="136"/>
      <c r="H34" s="136"/>
      <c r="I34" s="136"/>
      <c r="J34" s="136"/>
      <c r="K34" s="136"/>
      <c r="L34" s="136"/>
      <c r="M34" s="136"/>
      <c r="N34" s="136"/>
      <c r="O34" s="136"/>
    </row>
    <row r="35" spans="2:15" ht="25.5" customHeight="1" x14ac:dyDescent="0.2">
      <c r="B35" s="82"/>
      <c r="C35" s="21"/>
      <c r="D35" s="111"/>
      <c r="E35"/>
      <c r="F35" s="135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2:15" ht="25.5" customHeight="1" x14ac:dyDescent="0.2">
      <c r="B36" s="82"/>
      <c r="C36" s="21"/>
      <c r="D36" s="111"/>
      <c r="E36"/>
      <c r="F36" s="135"/>
      <c r="G36" s="136"/>
      <c r="H36" s="136"/>
      <c r="I36" s="136"/>
      <c r="J36" s="136"/>
      <c r="K36" s="136"/>
      <c r="L36" s="136"/>
      <c r="M36" s="136"/>
      <c r="N36" s="136"/>
      <c r="O36" s="136"/>
    </row>
    <row r="37" spans="2:15" ht="25.5" customHeight="1" x14ac:dyDescent="0.2">
      <c r="B37" s="82"/>
      <c r="C37" s="21"/>
      <c r="D37" s="111"/>
      <c r="E37"/>
      <c r="F37" s="135"/>
      <c r="G37" s="136"/>
      <c r="H37" s="136"/>
      <c r="I37" s="136"/>
      <c r="J37" s="136"/>
      <c r="K37" s="136"/>
      <c r="L37" s="136"/>
      <c r="M37" s="136"/>
      <c r="N37" s="136"/>
      <c r="O37" s="136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31" priority="1">
      <formula>AND(VLOOKUP(I11,DueDate,1,FALSE)=I11,VLOOKUP(I11,DueDate,2,FALSE)=1)</formula>
    </cfRule>
    <cfRule type="expression" dxfId="30" priority="5">
      <formula>AND(VLOOKUP(I11,DueDate,1,FALSE)=I11,VLOOKUP(I11,DueDate,2,FALSE)&lt;&gt;1)</formula>
    </cfRule>
  </conditionalFormatting>
  <conditionalFormatting sqref="I11:O12">
    <cfRule type="expression" dxfId="29" priority="4">
      <formula>DAY(I11)&gt;8</formula>
    </cfRule>
  </conditionalFormatting>
  <conditionalFormatting sqref="I19:O22">
    <cfRule type="expression" dxfId="28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Mês Inválido" error="Por favor selecione um mês na lista suspensa." sqref="I8:M9">
      <formula1>"Janeiro, Fevereiro, Março, Abril, Maio, Junho, Julho, Agosto, Setembro, Outubro, Novembro, Dezembro"</formula1>
    </dataValidation>
    <dataValidation type="list" allowBlank="1" showInputMessage="1" sqref="D11:D15">
      <formula1>"0%, 25%, 50%, 75%, 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paperSize="9" scale="80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4" t="s">
        <v>61</v>
      </c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5" t="s">
        <v>62</v>
      </c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69" t="s">
        <v>60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1"/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2"/>
      <c r="AD9" s="74" t="s">
        <v>63</v>
      </c>
      <c r="AE9" s="49" t="s">
        <v>54</v>
      </c>
      <c r="AF9"/>
    </row>
    <row r="10" spans="2:80" ht="37.5" customHeight="1" x14ac:dyDescent="0.2"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1"/>
      <c r="AE10" s="50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2"/>
      <c r="AF11" s="153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47"/>
      <c r="AF12" s="148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47"/>
      <c r="AF13" s="148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47"/>
      <c r="AF14" s="148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47"/>
      <c r="AF15" s="148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47"/>
      <c r="AF16" s="148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47"/>
      <c r="AF17" s="148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47"/>
      <c r="AF18" s="148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47"/>
      <c r="AF19" s="148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47"/>
      <c r="AF20" s="148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47"/>
      <c r="AF21" s="148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47"/>
      <c r="AF22" s="148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47"/>
      <c r="AF23" s="148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47"/>
      <c r="AF24" s="148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47"/>
      <c r="AF25" s="148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47"/>
      <c r="AF26" s="148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47"/>
      <c r="AF27" s="148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47"/>
      <c r="AF28" s="148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47"/>
      <c r="AF29" s="148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47"/>
      <c r="AF30" s="148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47"/>
      <c r="AF31" s="148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47"/>
      <c r="AF32" s="148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Inventário de Plantas</vt:lpstr>
      <vt:lpstr>Registro de Semeadura</vt:lpstr>
      <vt:lpstr>Lista de Tarefas</vt:lpstr>
      <vt:lpstr>Planejamento de Grade de Jardim</vt:lpstr>
      <vt:lpstr>AnoCalendário</vt:lpstr>
      <vt:lpstr>DataEntrega</vt:lpstr>
      <vt:lpstr>DataTransplante</vt:lpstr>
      <vt:lpstr>Mês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2013-12-05T14:44:54Z</dcterms:created>
  <dcterms:modified xsi:type="dcterms:W3CDTF">2014-02-21T10:42:19Z</dcterms:modified>
</cp:coreProperties>
</file>