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75" windowWidth="13530" windowHeight="8175"/>
  </bookViews>
  <sheets>
    <sheet name="Informacje o pracowniku" sheetId="1" r:id="rId1"/>
    <sheet name="Kalkulator płac" sheetId="2" r:id="rId2"/>
    <sheet name="Indywidualny schemat płac" sheetId="3" r:id="rId3"/>
  </sheets>
  <definedNames>
    <definedName name="_xlnm.Print_Area" localSheetId="2">'Indywidualny schemat płac'!$A$1:$H$61</definedName>
    <definedName name="_xlnm.Print_Area" localSheetId="0">'Informacje o pracowniku'!$A$1:$K$52</definedName>
    <definedName name="_xlnm.Print_Area" localSheetId="1">'Kalkulator płac'!$A$1:$I$50</definedName>
  </definedNames>
  <calcPr calcId="145621"/>
  <webPublishing codePage="1252"/>
</workbook>
</file>

<file path=xl/calcChain.xml><?xml version="1.0" encoding="utf-8"?>
<calcChain xmlns="http://schemas.openxmlformats.org/spreadsheetml/2006/main">
  <c r="H7" i="2" l="1"/>
  <c r="H6" i="2"/>
  <c r="H5" i="2"/>
  <c r="J5" i="1"/>
  <c r="J6" i="1"/>
  <c r="J7" i="1"/>
  <c r="M5" i="1"/>
  <c r="M6" i="1"/>
  <c r="M7" i="1"/>
  <c r="B5" i="2"/>
  <c r="B6" i="2"/>
  <c r="B7" i="2"/>
  <c r="F40" i="3"/>
  <c r="H48" i="3"/>
  <c r="F47" i="3"/>
  <c r="H46" i="3"/>
  <c r="D45" i="3" s="1"/>
  <c r="F46" i="3"/>
  <c r="D46" i="3"/>
  <c r="H45" i="3"/>
  <c r="H44" i="3"/>
  <c r="H43" i="3"/>
  <c r="F43" i="3"/>
  <c r="D43" i="3"/>
  <c r="H42" i="3"/>
  <c r="F42" i="3"/>
  <c r="D42" i="3"/>
  <c r="D40" i="3"/>
  <c r="C39" i="3"/>
  <c r="F34" i="3"/>
  <c r="F33" i="3"/>
  <c r="D33" i="3"/>
  <c r="H32" i="3"/>
  <c r="H31" i="3"/>
  <c r="H30" i="3"/>
  <c r="F30" i="3"/>
  <c r="D30" i="3"/>
  <c r="H29" i="3"/>
  <c r="F29" i="3"/>
  <c r="D29" i="3"/>
  <c r="F27" i="3"/>
  <c r="D27" i="3"/>
  <c r="C26" i="3"/>
  <c r="F22" i="3"/>
  <c r="F21" i="3"/>
  <c r="D21" i="3"/>
  <c r="H20" i="3"/>
  <c r="H19" i="3"/>
  <c r="H18" i="3"/>
  <c r="F18" i="3"/>
  <c r="D18" i="3"/>
  <c r="H17" i="3"/>
  <c r="F17" i="3"/>
  <c r="D17" i="3"/>
  <c r="F15" i="3"/>
  <c r="D15" i="3"/>
  <c r="C14" i="3"/>
  <c r="F10" i="3"/>
  <c r="D44" i="3" l="1"/>
  <c r="I6" i="2"/>
  <c r="K6" i="2" s="1"/>
  <c r="I7" i="2"/>
  <c r="K7" i="2" s="1"/>
  <c r="I5" i="2"/>
  <c r="K5" i="2" s="1"/>
  <c r="F45" i="3"/>
  <c r="F44" i="3"/>
  <c r="H47" i="3"/>
  <c r="F9" i="3"/>
  <c r="D9" i="3"/>
  <c r="H8" i="3"/>
  <c r="H7" i="3"/>
  <c r="H6" i="3"/>
  <c r="F6" i="3"/>
  <c r="D6" i="3"/>
  <c r="H5" i="3"/>
  <c r="F5" i="3"/>
  <c r="D5" i="3"/>
  <c r="F3" i="3"/>
  <c r="D3" i="3"/>
  <c r="C2" i="3"/>
  <c r="D47" i="3" l="1"/>
  <c r="H9" i="3"/>
  <c r="A3" i="2"/>
  <c r="H21" i="3"/>
  <c r="F19" i="3" s="1"/>
  <c r="H33" i="3"/>
  <c r="D31" i="3" s="1"/>
  <c r="F32" i="3" l="1"/>
  <c r="D20" i="3"/>
  <c r="D19" i="3"/>
  <c r="D32" i="3"/>
  <c r="F31" i="3"/>
  <c r="F20" i="3"/>
  <c r="H22" i="3"/>
  <c r="H35" i="3"/>
  <c r="H34" i="3" s="1"/>
  <c r="H10" i="3"/>
  <c r="D7" i="3"/>
  <c r="F8" i="3"/>
  <c r="D8" i="3"/>
  <c r="F7" i="3"/>
  <c r="H23" i="3"/>
  <c r="D34" i="3" l="1"/>
  <c r="D22" i="3"/>
  <c r="D10" i="3"/>
  <c r="H11" i="3"/>
</calcChain>
</file>

<file path=xl/sharedStrings.xml><?xml version="1.0" encoding="utf-8"?>
<sst xmlns="http://schemas.openxmlformats.org/spreadsheetml/2006/main" count="119" uniqueCount="35">
  <si>
    <t>Social Security Tax</t>
  </si>
  <si>
    <t>Informacje o pracowniku</t>
  </si>
  <si>
    <t>Kalkulator płac</t>
  </si>
  <si>
    <t>Identyfikator pracownika</t>
  </si>
  <si>
    <t>Godziny przepracowane</t>
  </si>
  <si>
    <t>Składka na ubezpieczenie społeczne</t>
  </si>
  <si>
    <t>Podatek — stan</t>
  </si>
  <si>
    <t>Płaca brutto</t>
  </si>
  <si>
    <t>Płaca netto</t>
  </si>
  <si>
    <t>Liczba godzin urlopu</t>
  </si>
  <si>
    <t>Liczba godzin zwolnienia</t>
  </si>
  <si>
    <t>Imię i nazwisko pracownika</t>
  </si>
  <si>
    <t>Nadgodziny</t>
  </si>
  <si>
    <t>Stawka za pracę w nadgodzinach</t>
  </si>
  <si>
    <t>Inne odliczenia</t>
  </si>
  <si>
    <t>Składka na opiekę zdrowotną</t>
  </si>
  <si>
    <t>Podatek lokalny</t>
  </si>
  <si>
    <t>Podatek dochodowy</t>
  </si>
  <si>
    <t>Okres:</t>
  </si>
  <si>
    <t>[Nazwa firmy]</t>
  </si>
  <si>
    <t>Stawka godzinowa</t>
  </si>
  <si>
    <t>Odpisy (z W-4)</t>
  </si>
  <si>
    <t>Suma podatków, składek i odliczeń</t>
  </si>
  <si>
    <t>Suma podatków, składek i zwykłych odliczeń</t>
  </si>
  <si>
    <t>Koniec okresu:</t>
  </si>
  <si>
    <t>Inne odliczenie zwykłe</t>
  </si>
  <si>
    <t>Odliczenie na ubezpieczenie</t>
  </si>
  <si>
    <t>Aneta Wiśniewska</t>
  </si>
  <si>
    <t>Tomasz Bator</t>
  </si>
  <si>
    <t>Suma potrąconych zaliczek na podatek</t>
  </si>
  <si>
    <t>Suma zwykłych odliczeń (z wyłączeniem podatków)</t>
  </si>
  <si>
    <t>Zwykłe godziny pracy</t>
  </si>
  <si>
    <t>Podatki, składki i odliczenia</t>
  </si>
  <si>
    <t>Rafał Rumian</t>
  </si>
  <si>
    <t>Podatek dochodowy (na podstawie odpisów)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</si>
</sst>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-* #,##0.00\ [$zł-415]_-;\-* #,##0.00\ [$zł-415]_-;_-* &quot;-&quot;??\ [$zł-415]_-;_-@_-"/>
    <numFmt numFmtId="166" formatCode="yyyy\-mm\-dd;@"/>
  </numFmts>
  <fonts count="16" x14ac:knownFonts="1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7.5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44" fontId="1" fillId="0" borderId="0" applyFont="0" applyFill="0" applyBorder="0" applyAlignment="0" applyProtection="0"/>
    <xf numFmtId="0" fontId="11" fillId="0" borderId="1">
      <alignment horizontal="left" vertical="center"/>
    </xf>
    <xf numFmtId="0" fontId="5" fillId="3" borderId="2">
      <alignment horizontal="right" vertical="center"/>
    </xf>
    <xf numFmtId="0" fontId="10" fillId="0" borderId="0">
      <alignment horizontal="left"/>
    </xf>
    <xf numFmtId="0" fontId="1" fillId="4" borderId="4" applyFont="0" applyAlignment="0">
      <alignment horizontal="left" vertical="center" indent="1"/>
    </xf>
  </cellStyleXfs>
  <cellXfs count="8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indent="1"/>
    </xf>
    <xf numFmtId="44" fontId="13" fillId="0" borderId="5" xfId="1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right" vertical="center"/>
    </xf>
    <xf numFmtId="44" fontId="13" fillId="0" borderId="4" xfId="1" applyFont="1" applyFill="1" applyBorder="1" applyAlignment="1">
      <alignment horizontal="left" vertical="center" indent="1"/>
    </xf>
    <xf numFmtId="0" fontId="12" fillId="4" borderId="3" xfId="5" applyFont="1" applyBorder="1" applyAlignment="1">
      <alignment horizontal="left" vertical="center" indent="1"/>
    </xf>
    <xf numFmtId="0" fontId="12" fillId="4" borderId="4" xfId="5" applyFont="1" applyBorder="1" applyAlignment="1">
      <alignment horizontal="left" vertical="center" indent="1"/>
    </xf>
    <xf numFmtId="0" fontId="13" fillId="4" borderId="4" xfId="5" applyFont="1" applyBorder="1" applyAlignment="1">
      <alignment horizontal="left" vertical="center" wrapText="1" indent="1"/>
    </xf>
    <xf numFmtId="0" fontId="13" fillId="4" borderId="5" xfId="5" applyFont="1" applyBorder="1" applyAlignment="1">
      <alignment horizontal="right" vertical="center"/>
    </xf>
    <xf numFmtId="0" fontId="12" fillId="4" borderId="3" xfId="5" applyFont="1" applyBorder="1" applyAlignment="1">
      <alignment vertical="center"/>
    </xf>
    <xf numFmtId="0" fontId="12" fillId="4" borderId="4" xfId="5" applyFont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>
      <alignment vertical="center"/>
    </xf>
    <xf numFmtId="0" fontId="12" fillId="0" borderId="0" xfId="0" applyFont="1" applyFill="1" applyBorder="1" applyAlignment="1"/>
    <xf numFmtId="0" fontId="13" fillId="2" borderId="3" xfId="0" applyFont="1" applyFill="1" applyBorder="1" applyAlignment="1">
      <alignment horizontal="left" vertical="center" wrapText="1" indent="1"/>
    </xf>
    <xf numFmtId="44" fontId="13" fillId="2" borderId="5" xfId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>
      <alignment vertical="center"/>
    </xf>
    <xf numFmtId="165" fontId="0" fillId="0" borderId="0" xfId="0" applyNumberFormat="1" applyAlignment="1">
      <alignment horizontal="center" vertical="center"/>
    </xf>
    <xf numFmtId="165" fontId="13" fillId="0" borderId="4" xfId="1" applyNumberFormat="1" applyFont="1" applyFill="1" applyBorder="1" applyAlignment="1">
      <alignment horizontal="left" vertical="center" indent="1"/>
    </xf>
    <xf numFmtId="165" fontId="13" fillId="0" borderId="5" xfId="1" applyNumberFormat="1" applyFont="1" applyFill="1" applyBorder="1" applyAlignment="1">
      <alignment horizontal="left" vertical="center" indent="1"/>
    </xf>
    <xf numFmtId="165" fontId="13" fillId="2" borderId="5" xfId="1" applyNumberFormat="1" applyFont="1" applyFill="1" applyBorder="1" applyAlignment="1">
      <alignment horizontal="left" vertical="center" inden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66" fontId="12" fillId="0" borderId="0" xfId="0" applyNumberFormat="1" applyFont="1" applyFill="1" applyBorder="1" applyAlignment="1"/>
    <xf numFmtId="166" fontId="13" fillId="4" borderId="4" xfId="5" applyNumberFormat="1" applyFont="1" applyBorder="1" applyAlignment="1">
      <alignment horizontal="left" vertical="center" indent="1"/>
    </xf>
    <xf numFmtId="166" fontId="13" fillId="4" borderId="4" xfId="5" applyNumberFormat="1" applyFont="1" applyBorder="1" applyAlignment="1">
      <alignment horizontal="right" vertical="center" indent="1"/>
    </xf>
    <xf numFmtId="0" fontId="10" fillId="0" borderId="0" xfId="4">
      <alignment horizontal="left"/>
    </xf>
    <xf numFmtId="0" fontId="11" fillId="0" borderId="15" xfId="2" applyFont="1" applyBorder="1">
      <alignment horizontal="left" vertical="center"/>
    </xf>
    <xf numFmtId="0" fontId="11" fillId="0" borderId="15" xfId="2" applyBorder="1">
      <alignment horizontal="left" vertical="center"/>
    </xf>
    <xf numFmtId="0" fontId="11" fillId="0" borderId="14" xfId="2" applyBorder="1">
      <alignment horizontal="left" vertical="center"/>
    </xf>
  </cellXfs>
  <cellStyles count="6">
    <cellStyle name="Company Name" xfId="2"/>
    <cellStyle name="Currency" xfId="1" builtinId="4"/>
    <cellStyle name="Employee ID number" xfId="3"/>
    <cellStyle name="Normal" xfId="0" builtinId="0" customBuiltin="1"/>
    <cellStyle name="Page Title" xfId="4"/>
    <cellStyle name="Paystub Style 1" xfId="5"/>
  </cellStyles>
  <dxfs count="29"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0" formatCode="General"/>
    </dxf>
    <dxf>
      <alignment horizontal="left" vertical="center" textRotation="0" indent="1" justifyLastLine="0" shrinkToFit="0" readingOrder="0"/>
    </dxf>
    <dxf>
      <font>
        <u val="none"/>
        <vertAlign val="baseline"/>
        <sz val="8"/>
      </font>
      <alignment horizontal="general" vertical="bottom" textRotation="0" wrapText="1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u val="none"/>
        <vertAlign val="baseline"/>
        <sz val="8"/>
      </font>
      <numFmt numFmtId="0" formatCode="General"/>
      <alignment horizontal="general" vertical="bottom" textRotation="0" wrapText="1" indent="0" justifyLastLine="0" shrinkToFit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4:M7" totalsRowShown="0" headerRowDxfId="25" headerRowCellStyle="Normal" dataCellStyle="Normal">
  <autoFilter ref="A4:M7"/>
  <tableColumns count="13">
    <tableColumn id="1" name="Identyfikator pracownika" dataDxfId="24" dataCellStyle="Normal"/>
    <tableColumn id="2" name="Imię i nazwisko pracownika" dataDxfId="23" dataCellStyle="Normal"/>
    <tableColumn id="3" name="Stawka godzinowa" dataDxfId="22" dataCellStyle="Normal"/>
    <tableColumn id="4" name="Podatek — stan" dataDxfId="21" dataCellStyle="Normal"/>
    <tableColumn id="5" name="Odpisy (z W-4)" dataDxfId="20" dataCellStyle="Normal"/>
    <tableColumn id="6" name="Podatek lokalny" dataDxfId="19" dataCellStyle="Normal"/>
    <tableColumn id="7" name="Podatek dochodowy (na podstawie odpisów)" dataDxfId="18" dataCellStyle="Normal"/>
    <tableColumn id="8" name="Składka na ubezpieczenie społeczne" dataDxfId="17" dataCellStyle="Normal"/>
    <tableColumn id="9" name="Składka na opiekę zdrowotną" dataDxfId="16" dataCellStyle="Normal"/>
    <tableColumn id="10" name="Suma potrąconych zaliczek na podatek" dataDxfId="15" dataCellStyle="Normal">
      <calculatedColumnFormula>Table1[Podatek lokalny]+Table1[Podatek dochodowy (na podstawie odpisów)]+Table1[Składka na ubezpieczenie społeczne]+Table1[Składka na opiekę zdrowotną]</calculatedColumnFormula>
    </tableColumn>
    <tableColumn id="11" name="Odliczenie na ubezpieczenie" dataDxfId="14" dataCellStyle="Normal"/>
    <tableColumn id="12" name="Inne odliczenie zwykłe" dataDxfId="13" dataCellStyle="Normal"/>
    <tableColumn id="13" name="Suma zwykłych odliczeń (z wyłączeniem podatków)" dataDxfId="12" dataCellStyle="Normal">
      <calculatedColumnFormula>Table1[Odliczenie na ubezpieczenie]+Table1[Inne odliczenie zwykłe]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 headerRowCellStyle="Normal" dataCellStyle="Normal">
  <autoFilter ref="A4:K7"/>
  <tableColumns count="11">
    <tableColumn id="1" name="Identyfikator pracownika" dataDxfId="10" dataCellStyle="Normal"/>
    <tableColumn id="2" name="Imię i nazwisko pracownika" dataDxfId="9" dataCellStyle="Normal">
      <calculatedColumnFormula>VLOOKUP(A5,Table1[],2,FALSE)</calculatedColumnFormula>
    </tableColumn>
    <tableColumn id="3" name="Zwykłe godziny pracy" dataDxfId="8" dataCellStyle="Normal"/>
    <tableColumn id="4" name="Liczba godzin urlopu" dataDxfId="7" dataCellStyle="Normal"/>
    <tableColumn id="5" name="Liczba godzin zwolnienia" dataDxfId="6" dataCellStyle="Normal"/>
    <tableColumn id="6" name="Nadgodziny" dataDxfId="5" dataCellStyle="Normal"/>
    <tableColumn id="7" name="Stawka za pracę w nadgodzinach" dataDxfId="4" dataCellStyle="Normal"/>
    <tableColumn id="8" name="Płaca brutto" dataDxfId="3" dataCellStyle="Normal">
      <calculatedColumnFormula>(VLOOKUP(A5,Table1[],3,FALSE)*(Table2[Zwykłe godziny pracy]+Table2[Liczba godzin urlopu]+Table2[Liczba godzin zwolnienia])+Table2[Nadgodziny]*Table2[Stawka za pracę w nadgodzinach])</calculatedColumnFormula>
    </tableColumn>
    <tableColumn id="9" name="Podatki, składki i odliczenia" dataDxfId="2" dataCellStyle="Normal">
      <calculatedColumnFormula>VLOOKUP(A5,Table1[],10,FALSE)*Table2[Płaca brutto]+Table1[Suma zwykłych odliczeń (z wyłączeniem podatków)]</calculatedColumnFormula>
    </tableColumn>
    <tableColumn id="10" name="Inne odliczenia" dataDxfId="1" dataCellStyle="Normal"/>
    <tableColumn id="11" name="Płaca netto" dataDxfId="0" dataCellStyle="Normal">
      <calculatedColumnFormula>Table2[Płaca brutto]-Table2[Podatki, składki i odliczenia]-Table2[Inne odliczenia]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workbookViewId="0">
      <selection activeCell="G8" sqref="G8"/>
    </sheetView>
  </sheetViews>
  <sheetFormatPr defaultRowHeight="11.25" x14ac:dyDescent="0.2"/>
  <cols>
    <col min="1" max="1" width="11.5" customWidth="1"/>
    <col min="2" max="2" width="22.83203125" customWidth="1"/>
    <col min="3" max="4" width="9.33203125" customWidth="1"/>
    <col min="5" max="5" width="12.83203125" customWidth="1"/>
    <col min="6" max="6" width="8.1640625" customWidth="1"/>
    <col min="7" max="7" width="20.5" customWidth="1"/>
    <col min="8" max="8" width="11.6640625" customWidth="1"/>
    <col min="9" max="9" width="11.1640625" customWidth="1"/>
    <col min="10" max="10" width="12.1640625" customWidth="1"/>
    <col min="11" max="11" width="11.83203125" customWidth="1"/>
    <col min="12" max="12" width="13.83203125" customWidth="1"/>
    <col min="13" max="13" width="17.83203125" customWidth="1"/>
  </cols>
  <sheetData>
    <row r="1" spans="1:13" ht="12.75" x14ac:dyDescent="0.2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 x14ac:dyDescent="0.3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7" x14ac:dyDescent="0.35">
      <c r="A3" s="81" t="s">
        <v>19</v>
      </c>
      <c r="B3" s="82"/>
      <c r="C3" s="82"/>
      <c r="D3" s="82"/>
      <c r="E3" s="82"/>
      <c r="F3" s="82"/>
      <c r="G3" s="20"/>
      <c r="H3" s="20"/>
      <c r="I3" s="20"/>
      <c r="J3" s="20"/>
      <c r="K3" s="20"/>
      <c r="L3" s="20"/>
      <c r="M3" s="20"/>
    </row>
    <row r="4" spans="1:13" ht="40.5" customHeight="1" x14ac:dyDescent="0.2">
      <c r="A4" s="67" t="s">
        <v>3</v>
      </c>
      <c r="B4" s="75" t="s">
        <v>11</v>
      </c>
      <c r="C4" s="66" t="s">
        <v>20</v>
      </c>
      <c r="D4" s="66" t="s">
        <v>6</v>
      </c>
      <c r="E4" s="66" t="s">
        <v>21</v>
      </c>
      <c r="F4" s="66" t="s">
        <v>16</v>
      </c>
      <c r="G4" s="66" t="s">
        <v>34</v>
      </c>
      <c r="H4" s="66" t="s">
        <v>5</v>
      </c>
      <c r="I4" s="66" t="s">
        <v>15</v>
      </c>
      <c r="J4" s="66" t="s">
        <v>29</v>
      </c>
      <c r="K4" s="66" t="s">
        <v>26</v>
      </c>
      <c r="L4" s="66" t="s">
        <v>25</v>
      </c>
      <c r="M4" s="66" t="s">
        <v>30</v>
      </c>
    </row>
    <row r="5" spans="1:13" ht="18.95" customHeight="1" x14ac:dyDescent="0.2">
      <c r="A5" s="27">
        <v>1</v>
      </c>
      <c r="B5" s="65" t="s">
        <v>28</v>
      </c>
      <c r="C5" s="71">
        <v>10</v>
      </c>
      <c r="D5" s="28">
        <v>1</v>
      </c>
      <c r="E5" s="28">
        <v>4</v>
      </c>
      <c r="F5" s="29">
        <v>2.3E-2</v>
      </c>
      <c r="G5" s="29">
        <v>0.28000000000000003</v>
      </c>
      <c r="H5" s="29">
        <v>6.3E-2</v>
      </c>
      <c r="I5" s="29">
        <v>1.4500000000000001E-2</v>
      </c>
      <c r="J5" s="29">
        <f>Table1[Podatek lokalny]+Table1[Podatek dochodowy (na podstawie odpisów)]+Table1[Składka na ubezpieczenie społeczne]+Table1[Składka na opiekę zdrowotną]</f>
        <v>0.38050000000000006</v>
      </c>
      <c r="K5" s="71">
        <v>20</v>
      </c>
      <c r="L5" s="71">
        <v>40</v>
      </c>
      <c r="M5" s="71">
        <f>Table1[Odliczenie na ubezpieczenie]+Table1[Inne odliczenie zwykłe]</f>
        <v>60</v>
      </c>
    </row>
    <row r="6" spans="1:13" ht="18.95" customHeight="1" x14ac:dyDescent="0.2">
      <c r="A6" s="27">
        <v>2</v>
      </c>
      <c r="B6" s="65" t="s">
        <v>33</v>
      </c>
      <c r="C6" s="71">
        <v>13</v>
      </c>
      <c r="D6" s="28">
        <v>1</v>
      </c>
      <c r="E6" s="28">
        <v>4</v>
      </c>
      <c r="F6" s="29">
        <v>2.3E-2</v>
      </c>
      <c r="G6" s="29">
        <v>0.28000000000000003</v>
      </c>
      <c r="H6" s="29">
        <v>6.3E-2</v>
      </c>
      <c r="I6" s="29">
        <v>1.4500000000000001E-2</v>
      </c>
      <c r="J6" s="29">
        <f>Table1[Podatek lokalny]+Table1[Podatek dochodowy (na podstawie odpisów)]+Table1[Składka na ubezpieczenie społeczne]+Table1[Składka na opiekę zdrowotną]</f>
        <v>0.38050000000000006</v>
      </c>
      <c r="K6" s="71">
        <v>20</v>
      </c>
      <c r="L6" s="71">
        <v>52</v>
      </c>
      <c r="M6" s="71">
        <f>Table1[Odliczenie na ubezpieczenie]+Table1[Inne odliczenie zwykłe]</f>
        <v>72</v>
      </c>
    </row>
    <row r="7" spans="1:13" ht="18.95" customHeight="1" x14ac:dyDescent="0.2">
      <c r="A7" s="27">
        <v>3</v>
      </c>
      <c r="B7" s="17" t="s">
        <v>27</v>
      </c>
      <c r="C7" s="71">
        <v>10</v>
      </c>
      <c r="D7" s="28">
        <v>1</v>
      </c>
      <c r="E7" s="28">
        <v>4</v>
      </c>
      <c r="F7" s="29">
        <v>2.3E-2</v>
      </c>
      <c r="G7" s="29">
        <v>0.28000000000000003</v>
      </c>
      <c r="H7" s="29">
        <v>6.3E-2</v>
      </c>
      <c r="I7" s="29">
        <v>1.4500000000000001E-2</v>
      </c>
      <c r="J7" s="29">
        <f>Table1[Podatek lokalny]+Table1[Podatek dochodowy (na podstawie odpisów)]+Table1[Składka na ubezpieczenie społeczne]+Table1[Składka na opiekę zdrowotną]</f>
        <v>0.38050000000000006</v>
      </c>
      <c r="K7" s="71">
        <v>20</v>
      </c>
      <c r="L7" s="71">
        <v>0</v>
      </c>
      <c r="M7" s="71">
        <f>Table1[Odliczenie na ubezpieczenie]+Table1[Inne odliczenie zwykłe]</f>
        <v>20</v>
      </c>
    </row>
    <row r="8" spans="1:13" ht="18.95" customHeight="1" x14ac:dyDescent="0.2"/>
    <row r="9" spans="1:13" ht="18.95" customHeight="1" x14ac:dyDescent="0.2"/>
    <row r="10" spans="1:13" ht="18.95" customHeight="1" x14ac:dyDescent="0.2"/>
    <row r="11" spans="1:13" ht="18.95" customHeight="1" x14ac:dyDescent="0.2"/>
    <row r="12" spans="1:13" ht="18.95" customHeight="1" x14ac:dyDescent="0.2"/>
    <row r="13" spans="1:13" ht="18.95" customHeight="1" x14ac:dyDescent="0.2"/>
    <row r="14" spans="1:13" ht="18.95" customHeight="1" x14ac:dyDescent="0.2"/>
    <row r="15" spans="1:13" ht="18.95" customHeight="1" x14ac:dyDescent="0.2"/>
    <row r="16" spans="1:13" ht="18.95" customHeight="1" x14ac:dyDescent="0.2"/>
    <row r="17" ht="18.95" customHeight="1" x14ac:dyDescent="0.2"/>
    <row r="18" ht="18.95" customHeight="1" x14ac:dyDescent="0.2"/>
    <row r="19" ht="18.95" customHeight="1" x14ac:dyDescent="0.2"/>
    <row r="20" ht="18.95" customHeight="1" x14ac:dyDescent="0.2"/>
    <row r="21" ht="18.95" customHeight="1" x14ac:dyDescent="0.2"/>
    <row r="22" ht="18.95" customHeight="1" x14ac:dyDescent="0.2"/>
    <row r="23" ht="18.95" customHeight="1" x14ac:dyDescent="0.2"/>
    <row r="24" ht="18.95" customHeight="1" x14ac:dyDescent="0.2"/>
    <row r="25" ht="18.95" customHeight="1" x14ac:dyDescent="0.2"/>
    <row r="26" ht="18.95" customHeight="1" x14ac:dyDescent="0.2"/>
    <row r="27" ht="18.95" customHeight="1" x14ac:dyDescent="0.2"/>
    <row r="28" ht="18.95" customHeight="1" x14ac:dyDescent="0.2"/>
    <row r="29" ht="18.95" customHeight="1" x14ac:dyDescent="0.2"/>
  </sheetData>
  <mergeCells count="2">
    <mergeCell ref="A2:M2"/>
    <mergeCell ref="A3:F3"/>
  </mergeCells>
  <phoneticPr fontId="2" type="noConversion"/>
  <printOptions horizontalCentered="1"/>
  <pageMargins left="0.6" right="0.6" top="0.75" bottom="0.75" header="0.5" footer="0.5"/>
  <pageSetup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>
      <selection activeCell="K2" sqref="K2"/>
    </sheetView>
  </sheetViews>
  <sheetFormatPr defaultRowHeight="12.75" x14ac:dyDescent="0.2"/>
  <cols>
    <col min="1" max="1" width="13.1640625" style="12" customWidth="1"/>
    <col min="2" max="2" width="22.83203125" style="12" customWidth="1"/>
    <col min="3" max="10" width="15.5" style="12" customWidth="1"/>
    <col min="11" max="11" width="15.6640625" style="12" customWidth="1"/>
    <col min="12" max="16384" width="9.33203125" style="11"/>
  </cols>
  <sheetData>
    <row r="1" spans="1:11" x14ac:dyDescent="0.2">
      <c r="A1" s="80" t="s">
        <v>2</v>
      </c>
      <c r="B1" s="80"/>
      <c r="C1" s="80"/>
      <c r="D1" s="80"/>
      <c r="E1" s="80"/>
      <c r="F1" s="80"/>
      <c r="G1" s="80"/>
      <c r="H1" s="80"/>
      <c r="I1" s="80"/>
    </row>
    <row r="2" spans="1:11" s="12" customFormat="1" ht="48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61" t="s">
        <v>24</v>
      </c>
      <c r="K2" s="77">
        <v>39113</v>
      </c>
    </row>
    <row r="3" spans="1:11" s="4" customFormat="1" ht="27" x14ac:dyDescent="0.35">
      <c r="A3" s="82" t="str">
        <f>'Informacje o pracowniku'!$A$3</f>
        <v>[Nazwa firmy]</v>
      </c>
      <c r="B3" s="82"/>
      <c r="C3" s="82"/>
      <c r="D3" s="82"/>
      <c r="E3" s="82"/>
      <c r="F3" s="82"/>
      <c r="G3" s="22"/>
      <c r="H3" s="22"/>
      <c r="I3" s="22"/>
      <c r="J3" s="5"/>
      <c r="K3" s="6"/>
    </row>
    <row r="4" spans="1:11" s="21" customFormat="1" ht="40.5" customHeight="1" x14ac:dyDescent="0.2">
      <c r="A4" s="68" t="s">
        <v>3</v>
      </c>
      <c r="B4" s="76" t="s">
        <v>11</v>
      </c>
      <c r="C4" s="69" t="s">
        <v>31</v>
      </c>
      <c r="D4" s="30" t="s">
        <v>9</v>
      </c>
      <c r="E4" s="30" t="s">
        <v>10</v>
      </c>
      <c r="F4" s="30" t="s">
        <v>12</v>
      </c>
      <c r="G4" s="30" t="s">
        <v>13</v>
      </c>
      <c r="H4" s="30" t="s">
        <v>7</v>
      </c>
      <c r="I4" s="69" t="s">
        <v>32</v>
      </c>
      <c r="J4" s="69" t="s">
        <v>14</v>
      </c>
      <c r="K4" s="30" t="s">
        <v>8</v>
      </c>
    </row>
    <row r="5" spans="1:11" s="7" customFormat="1" ht="18.95" customHeight="1" x14ac:dyDescent="0.2">
      <c r="A5" s="27">
        <v>1</v>
      </c>
      <c r="B5" s="70" t="str">
        <f>VLOOKUP(A5,Table1[],2,FALSE)</f>
        <v>Tomasz Bator</v>
      </c>
      <c r="C5" s="64">
        <v>50</v>
      </c>
      <c r="D5" s="64">
        <v>5</v>
      </c>
      <c r="E5" s="64">
        <v>1</v>
      </c>
      <c r="F5" s="64"/>
      <c r="G5" s="71"/>
      <c r="H5" s="71">
        <f>(VLOOKUP(A5,Table1[],3,FALSE)*(Table2[Zwykłe godziny pracy]+Table2[Liczba godzin urlopu]+Table2[Liczba godzin zwolnienia])+Table2[Nadgodziny]*Table2[Stawka za pracę w nadgodzinach])</f>
        <v>560</v>
      </c>
      <c r="I5" s="71">
        <f>VLOOKUP(A5,Table1[],10,FALSE)*Table2[Płaca brutto]+Table1[Suma zwykłych odliczeń (z wyłączeniem podatków)]</f>
        <v>273.08000000000004</v>
      </c>
      <c r="J5" s="71">
        <v>20</v>
      </c>
      <c r="K5" s="71">
        <f>Table2[Płaca brutto]-Table2[Podatki, składki i odliczenia]-Table2[Inne odliczenia]</f>
        <v>266.91999999999996</v>
      </c>
    </row>
    <row r="6" spans="1:11" s="7" customFormat="1" ht="18.95" customHeight="1" x14ac:dyDescent="0.2">
      <c r="A6" s="27">
        <v>2</v>
      </c>
      <c r="B6" s="70" t="str">
        <f>VLOOKUP(A6,Table1[],2,FALSE)</f>
        <v>Rafał Rumian</v>
      </c>
      <c r="C6" s="64">
        <v>40</v>
      </c>
      <c r="D6" s="64">
        <v>0</v>
      </c>
      <c r="E6" s="64">
        <v>0</v>
      </c>
      <c r="F6" s="64"/>
      <c r="G6" s="71"/>
      <c r="H6" s="71">
        <f>(VLOOKUP(A6,Table1[],3,FALSE)*(Table2[Zwykłe godziny pracy]+Table2[Liczba godzin urlopu]+Table2[Liczba godzin zwolnienia])+Table2[Nadgodziny]*Table2[Stawka za pracę w nadgodzinach])</f>
        <v>520</v>
      </c>
      <c r="I6" s="71">
        <f>VLOOKUP(A6,Table1[],10,FALSE)*Table2[Płaca brutto]+Table1[Suma zwykłych odliczeń (z wyłączeniem podatków)]</f>
        <v>269.86</v>
      </c>
      <c r="J6" s="71">
        <v>52</v>
      </c>
      <c r="K6" s="71">
        <f>Table2[Płaca brutto]-Table2[Podatki, składki i odliczenia]-Table2[Inne odliczenia]</f>
        <v>198.14</v>
      </c>
    </row>
    <row r="7" spans="1:11" s="7" customFormat="1" ht="18.95" customHeight="1" x14ac:dyDescent="0.2">
      <c r="A7" s="27">
        <v>3</v>
      </c>
      <c r="B7" s="70" t="str">
        <f>VLOOKUP(A7,Table1[],2,FALSE)</f>
        <v>Aneta Wiśniewska</v>
      </c>
      <c r="C7" s="64">
        <v>52</v>
      </c>
      <c r="D7" s="64">
        <v>0</v>
      </c>
      <c r="E7" s="64">
        <v>0</v>
      </c>
      <c r="F7" s="64">
        <v>2</v>
      </c>
      <c r="G7" s="71">
        <v>20</v>
      </c>
      <c r="H7" s="71">
        <f>(VLOOKUP(A7,Table1[],3,FALSE)*(Table2[Zwykłe godziny pracy]+Table2[Liczba godzin urlopu]+Table2[Liczba godzin zwolnienia])+Table2[Nadgodziny]*Table2[Stawka za pracę w nadgodzinach])</f>
        <v>560</v>
      </c>
      <c r="I7" s="71">
        <f>VLOOKUP(A7,Table1[],10,FALSE)*Table2[Płaca brutto]+Table1[Suma zwykłych odliczeń (z wyłączeniem podatków)]</f>
        <v>233.08000000000004</v>
      </c>
      <c r="J7" s="71">
        <v>20</v>
      </c>
      <c r="K7" s="71">
        <f>Table2[Płaca brutto]-Table2[Podatki, składki i odliczenia]-Table2[Inne odliczenia]</f>
        <v>306.91999999999996</v>
      </c>
    </row>
    <row r="8" spans="1:11" s="7" customFormat="1" ht="18.95" customHeight="1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95" customHeight="1" x14ac:dyDescent="0.2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95" customHeight="1" x14ac:dyDescent="0.2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95" customHeight="1" x14ac:dyDescent="0.2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95" customHeight="1" x14ac:dyDescent="0.2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95" customHeight="1" x14ac:dyDescent="0.2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95" customHeight="1" x14ac:dyDescent="0.2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95" customHeight="1" x14ac:dyDescent="0.2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95" customHeight="1" x14ac:dyDescent="0.2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95" customHeight="1" x14ac:dyDescent="0.2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95" customHeight="1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9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9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9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9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9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9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9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9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9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9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9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 x14ac:dyDescent="0.2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 x14ac:dyDescent="0.2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x14ac:dyDescent="0.2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 x14ac:dyDescent="0.2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 x14ac:dyDescent="0.2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 x14ac:dyDescent="0.2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 x14ac:dyDescent="0.2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 x14ac:dyDescent="0.2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 x14ac:dyDescent="0.2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 x14ac:dyDescent="0.2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 x14ac:dyDescent="0.2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 x14ac:dyDescent="0.2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 x14ac:dyDescent="0.2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 x14ac:dyDescent="0.2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 x14ac:dyDescent="0.2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 x14ac:dyDescent="0.2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 x14ac:dyDescent="0.2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 x14ac:dyDescent="0.2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 x14ac:dyDescent="0.2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 x14ac:dyDescent="0.2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 x14ac:dyDescent="0.2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 x14ac:dyDescent="0.2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 x14ac:dyDescent="0.2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x14ac:dyDescent="0.2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 x14ac:dyDescent="0.2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x14ac:dyDescent="0.2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x14ac:dyDescent="0.2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x14ac:dyDescent="0.2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x14ac:dyDescent="0.2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x14ac:dyDescent="0.2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x14ac:dyDescent="0.2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x14ac:dyDescent="0.2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 x14ac:dyDescent="0.2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 x14ac:dyDescent="0.2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honeticPr fontId="2" type="noConversion"/>
  <printOptions horizontalCentered="1"/>
  <pageMargins left="0.6" right="0.6" top="0.75" bottom="0.75" header="0.5" footer="0.5"/>
  <pageSetup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opLeftCell="A25" workbookViewId="0">
      <selection activeCell="D3" sqref="D3"/>
    </sheetView>
  </sheetViews>
  <sheetFormatPr defaultRowHeight="12.75" x14ac:dyDescent="0.2"/>
  <cols>
    <col min="1" max="1" width="1.1640625" style="2" customWidth="1"/>
    <col min="2" max="2" width="2.5" style="2" customWidth="1"/>
    <col min="3" max="3" width="32.6640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40625" style="2" customWidth="1"/>
    <col min="10" max="10" width="1.83203125" style="2" customWidth="1"/>
    <col min="11" max="16384" width="9.33203125" style="2"/>
  </cols>
  <sheetData>
    <row r="1" spans="2:9" ht="6.75" customHeight="1" thickBot="1" x14ac:dyDescent="0.25"/>
    <row r="2" spans="2:9" s="13" customFormat="1" ht="33.950000000000003" customHeight="1" thickTop="1" x14ac:dyDescent="0.2">
      <c r="B2" s="50"/>
      <c r="C2" s="83" t="str">
        <f>('Informacje o pracowniku'!$A$3)</f>
        <v>[Nazwa firmy]</v>
      </c>
      <c r="D2" s="83"/>
      <c r="E2" s="83"/>
      <c r="F2" s="83"/>
      <c r="G2" s="83"/>
      <c r="H2" s="83"/>
      <c r="I2" s="51"/>
    </row>
    <row r="3" spans="2:9" s="14" customFormat="1" ht="14.1" customHeight="1" x14ac:dyDescent="0.2">
      <c r="B3" s="52"/>
      <c r="C3" s="43" t="s">
        <v>18</v>
      </c>
      <c r="D3" s="79">
        <f>'Kalkulator płac'!$K$2</f>
        <v>39113</v>
      </c>
      <c r="E3" s="44" t="s">
        <v>11</v>
      </c>
      <c r="F3" s="45" t="str">
        <f>IFERROR(VLOOKUP(H3,Table1[],2),"")</f>
        <v>Tomasz Bator</v>
      </c>
      <c r="G3" s="48" t="s">
        <v>3</v>
      </c>
      <c r="H3" s="46">
        <v>1</v>
      </c>
      <c r="I3" s="53"/>
    </row>
    <row r="4" spans="2:9" s="14" customFormat="1" ht="9.9499999999999993" customHeight="1" x14ac:dyDescent="0.2">
      <c r="B4" s="52"/>
      <c r="C4" s="31"/>
      <c r="D4" s="32"/>
      <c r="E4" s="31"/>
      <c r="F4" s="33"/>
      <c r="G4" s="34"/>
      <c r="H4" s="34"/>
      <c r="I4" s="53"/>
    </row>
    <row r="5" spans="2:9" s="1" customFormat="1" ht="14.1" customHeight="1" x14ac:dyDescent="0.2">
      <c r="B5" s="54"/>
      <c r="C5" s="39" t="s">
        <v>6</v>
      </c>
      <c r="D5" s="41">
        <f>IFERROR(VLOOKUP(H3,Table1[],4),"")</f>
        <v>1</v>
      </c>
      <c r="E5" s="39" t="s">
        <v>21</v>
      </c>
      <c r="F5" s="38">
        <f>IFERROR(VLOOKUP(H3,Table1[],5,FALSE),"")</f>
        <v>4</v>
      </c>
      <c r="G5" s="37" t="s">
        <v>4</v>
      </c>
      <c r="H5" s="38">
        <f>IFERROR(VLOOKUP(H3,Table2[],3,FALSE),"")</f>
        <v>50</v>
      </c>
      <c r="I5" s="55"/>
    </row>
    <row r="6" spans="2:9" s="1" customFormat="1" ht="14.1" customHeight="1" x14ac:dyDescent="0.2">
      <c r="B6" s="54"/>
      <c r="C6" s="37" t="s">
        <v>20</v>
      </c>
      <c r="D6" s="72">
        <f>IFERROR(VLOOKUP(H3,Table1[],3,FALSE),"")</f>
        <v>10</v>
      </c>
      <c r="E6" s="39" t="s">
        <v>13</v>
      </c>
      <c r="F6" s="73">
        <f>IFERROR(VLOOKUP(H3,Table2[],7,FALSE),"")</f>
        <v>0</v>
      </c>
      <c r="G6" s="39" t="s">
        <v>10</v>
      </c>
      <c r="H6" s="38">
        <f>IFERROR(VLOOKUP(H3,Table2[],5,FALSE),"")</f>
        <v>1</v>
      </c>
      <c r="I6" s="55"/>
    </row>
    <row r="7" spans="2:9" s="1" customFormat="1" ht="14.1" customHeight="1" x14ac:dyDescent="0.2">
      <c r="B7" s="54"/>
      <c r="C7" s="39" t="s">
        <v>0</v>
      </c>
      <c r="D7" s="72">
        <f>IFERROR(IFERROR(VLOOKUP(H3,Table1[],8,FALSE),"")*H9,"")</f>
        <v>35.28</v>
      </c>
      <c r="E7" s="39" t="s">
        <v>17</v>
      </c>
      <c r="F7" s="73">
        <f>IFERROR(IFERROR(VLOOKUP(H3,Table1[],7,FALSE),"")*H9,"")</f>
        <v>156.80000000000001</v>
      </c>
      <c r="G7" s="39" t="s">
        <v>9</v>
      </c>
      <c r="H7" s="38">
        <f>IFERROR(VLOOKUP(H3,Table2[],4,FALSE),"")</f>
        <v>5</v>
      </c>
      <c r="I7" s="55"/>
    </row>
    <row r="8" spans="2:9" s="1" customFormat="1" ht="14.1" customHeight="1" x14ac:dyDescent="0.2">
      <c r="B8" s="54"/>
      <c r="C8" s="39" t="s">
        <v>15</v>
      </c>
      <c r="D8" s="72">
        <f>IFERROR(IFERROR(VLOOKUP(H3,Table1[],9,FALSE),"")*H9,"")</f>
        <v>8.120000000000001</v>
      </c>
      <c r="E8" s="39" t="s">
        <v>16</v>
      </c>
      <c r="F8" s="73">
        <f>IFERROR(IFERROR(VLOOKUP(H3,Table1[],6,FALSE),"")*H9,"")</f>
        <v>12.879999999999999</v>
      </c>
      <c r="G8" s="39" t="s">
        <v>12</v>
      </c>
      <c r="H8" s="38">
        <f>IFERROR(VLOOKUP(H3,Table2[],6,FALSE),"")</f>
        <v>0</v>
      </c>
      <c r="I8" s="55"/>
    </row>
    <row r="9" spans="2:9" s="1" customFormat="1" ht="14.1" customHeight="1" x14ac:dyDescent="0.2">
      <c r="B9" s="54"/>
      <c r="C9" s="39" t="s">
        <v>26</v>
      </c>
      <c r="D9" s="72">
        <f>IFERROR(VLOOKUP(H3,Table1[],11,FALSE),"")</f>
        <v>20</v>
      </c>
      <c r="E9" s="39" t="s">
        <v>25</v>
      </c>
      <c r="F9" s="73">
        <f>IFERROR(VLOOKUP(H3,Table1[],12,FALSE),"")</f>
        <v>40</v>
      </c>
      <c r="G9" s="39" t="s">
        <v>7</v>
      </c>
      <c r="H9" s="73">
        <f>IFERROR(VLOOKUP(H3,Table2[],8,FALSE),"")</f>
        <v>560</v>
      </c>
      <c r="I9" s="56"/>
    </row>
    <row r="10" spans="2:9" s="1" customFormat="1" ht="14.1" customHeight="1" x14ac:dyDescent="0.2">
      <c r="B10" s="54"/>
      <c r="C10" s="39" t="s">
        <v>23</v>
      </c>
      <c r="D10" s="72">
        <f>IFERROR(SUM(F7:F9)+SUM(D7:D9),"")</f>
        <v>273.08000000000004</v>
      </c>
      <c r="E10" s="39" t="s">
        <v>14</v>
      </c>
      <c r="F10" s="73">
        <f>IFERROR(VLOOKUP(H3,Table2[],10,FALSE),"")</f>
        <v>20</v>
      </c>
      <c r="G10" s="39" t="s">
        <v>22</v>
      </c>
      <c r="H10" s="73">
        <f>IFERROR(IFERROR(VLOOKUP(H3,Table2[],9,FALSE),"")+F10,"")</f>
        <v>293.08000000000004</v>
      </c>
      <c r="I10" s="56"/>
    </row>
    <row r="11" spans="2:9" s="1" customFormat="1" ht="14.1" customHeight="1" x14ac:dyDescent="0.2">
      <c r="B11" s="54"/>
      <c r="C11" s="35"/>
      <c r="D11" s="36"/>
      <c r="E11" s="35"/>
      <c r="F11" s="36"/>
      <c r="G11" s="62" t="s">
        <v>8</v>
      </c>
      <c r="H11" s="74">
        <f>IFERROR(VLOOKUP(H3,Table2[],11,FALSE),"")</f>
        <v>266.91999999999996</v>
      </c>
      <c r="I11" s="56"/>
    </row>
    <row r="12" spans="2:9" ht="12" customHeight="1" x14ac:dyDescent="0.2">
      <c r="B12" s="57"/>
      <c r="C12" s="58"/>
      <c r="D12" s="59"/>
      <c r="E12" s="58"/>
      <c r="F12" s="59"/>
      <c r="G12" s="58"/>
      <c r="H12" s="59"/>
      <c r="I12" s="60"/>
    </row>
    <row r="13" spans="2:9" ht="14.1" customHeight="1" thickTop="1" thickBot="1" x14ac:dyDescent="0.25"/>
    <row r="14" spans="2:9" s="15" customFormat="1" ht="33.950000000000003" customHeight="1" thickTop="1" x14ac:dyDescent="0.2">
      <c r="B14" s="50"/>
      <c r="C14" s="83" t="str">
        <f>('Informacje o pracowniku'!$A$3)</f>
        <v>[Nazwa firmy]</v>
      </c>
      <c r="D14" s="83"/>
      <c r="E14" s="83"/>
      <c r="F14" s="83"/>
      <c r="G14" s="83"/>
      <c r="H14" s="83"/>
      <c r="I14" s="51"/>
    </row>
    <row r="15" spans="2:9" s="1" customFormat="1" ht="14.1" customHeight="1" x14ac:dyDescent="0.2">
      <c r="B15" s="52"/>
      <c r="C15" s="47" t="s">
        <v>18</v>
      </c>
      <c r="D15" s="79">
        <f>'Kalkulator płac'!$K$2</f>
        <v>39113</v>
      </c>
      <c r="E15" s="48" t="s">
        <v>11</v>
      </c>
      <c r="F15" s="45" t="str">
        <f>IFERROR(VLOOKUP(H15,Table1[],2),"")</f>
        <v>Rafał Rumian</v>
      </c>
      <c r="G15" s="48" t="s">
        <v>3</v>
      </c>
      <c r="H15" s="46">
        <v>2</v>
      </c>
      <c r="I15" s="53"/>
    </row>
    <row r="16" spans="2:9" s="1" customFormat="1" ht="9.9499999999999993" customHeight="1" x14ac:dyDescent="0.2">
      <c r="B16" s="52"/>
      <c r="C16" s="23"/>
      <c r="D16" s="24"/>
      <c r="E16" s="23"/>
      <c r="F16" s="25"/>
      <c r="G16" s="26"/>
      <c r="H16" s="26"/>
      <c r="I16" s="53"/>
    </row>
    <row r="17" spans="2:9" s="14" customFormat="1" ht="14.1" customHeight="1" x14ac:dyDescent="0.2">
      <c r="B17" s="54"/>
      <c r="C17" s="39" t="s">
        <v>6</v>
      </c>
      <c r="D17" s="41">
        <f>IFERROR(VLOOKUP(H15,Table1[],4),"")</f>
        <v>1</v>
      </c>
      <c r="E17" s="39" t="s">
        <v>21</v>
      </c>
      <c r="F17" s="38">
        <f>IFERROR(VLOOKUP(H15,Table1[],5,FALSE),"")</f>
        <v>4</v>
      </c>
      <c r="G17" s="37" t="s">
        <v>4</v>
      </c>
      <c r="H17" s="38">
        <f>IFERROR(VLOOKUP(H15,Table2[],3,FALSE),"")</f>
        <v>40</v>
      </c>
      <c r="I17" s="55"/>
    </row>
    <row r="18" spans="2:9" s="14" customFormat="1" ht="14.1" customHeight="1" x14ac:dyDescent="0.2">
      <c r="B18" s="54"/>
      <c r="C18" s="37" t="s">
        <v>20</v>
      </c>
      <c r="D18" s="72">
        <f>IFERROR(VLOOKUP(H15,Table1[],3,FALSE),"")</f>
        <v>13</v>
      </c>
      <c r="E18" s="39" t="s">
        <v>13</v>
      </c>
      <c r="F18" s="73">
        <f>IFERROR(VLOOKUP(H15,Table2[],7,FALSE),"")</f>
        <v>0</v>
      </c>
      <c r="G18" s="39" t="s">
        <v>10</v>
      </c>
      <c r="H18" s="38">
        <f>IFERROR(VLOOKUP(H15,Table2[],5,FALSE),"")</f>
        <v>0</v>
      </c>
      <c r="I18" s="55"/>
    </row>
    <row r="19" spans="2:9" s="14" customFormat="1" ht="14.1" customHeight="1" x14ac:dyDescent="0.2">
      <c r="B19" s="54"/>
      <c r="C19" s="39" t="s">
        <v>5</v>
      </c>
      <c r="D19" s="72">
        <f>IFERROR(IFERROR(VLOOKUP(H15,Table1[],8,FALSE),"")*H21,"")</f>
        <v>32.76</v>
      </c>
      <c r="E19" s="39" t="s">
        <v>17</v>
      </c>
      <c r="F19" s="73">
        <f>IFERROR(IFERROR(VLOOKUP(H15,Table1[],7,FALSE),"")*H21,"")</f>
        <v>145.60000000000002</v>
      </c>
      <c r="G19" s="39" t="s">
        <v>9</v>
      </c>
      <c r="H19" s="38">
        <f>IFERROR(VLOOKUP(H15,Table2[],4,FALSE),"")</f>
        <v>0</v>
      </c>
      <c r="I19" s="55"/>
    </row>
    <row r="20" spans="2:9" s="14" customFormat="1" ht="14.1" customHeight="1" x14ac:dyDescent="0.2">
      <c r="B20" s="54"/>
      <c r="C20" s="39" t="s">
        <v>15</v>
      </c>
      <c r="D20" s="72">
        <f>IFERROR(IFERROR(VLOOKUP(H15,Table1[],9,FALSE),"")*H21,"")</f>
        <v>7.54</v>
      </c>
      <c r="E20" s="39" t="s">
        <v>16</v>
      </c>
      <c r="F20" s="73">
        <f>IFERROR(IFERROR(VLOOKUP(H15,Table1[],6,FALSE),"")*H21,"")</f>
        <v>11.959999999999999</v>
      </c>
      <c r="G20" s="39" t="s">
        <v>12</v>
      </c>
      <c r="H20" s="38">
        <f>IFERROR(VLOOKUP(H15,Table2[],6,FALSE),"")</f>
        <v>0</v>
      </c>
      <c r="I20" s="55"/>
    </row>
    <row r="21" spans="2:9" s="14" customFormat="1" ht="14.1" customHeight="1" x14ac:dyDescent="0.2">
      <c r="B21" s="54"/>
      <c r="C21" s="39" t="s">
        <v>26</v>
      </c>
      <c r="D21" s="72">
        <f>IFERROR(VLOOKUP(H15,Table1[],11,FALSE),"")</f>
        <v>20</v>
      </c>
      <c r="E21" s="39" t="s">
        <v>25</v>
      </c>
      <c r="F21" s="73">
        <f>IFERROR(VLOOKUP(H15,Table1[],12,FALSE),"")</f>
        <v>52</v>
      </c>
      <c r="G21" s="39" t="s">
        <v>7</v>
      </c>
      <c r="H21" s="73">
        <f>IFERROR(VLOOKUP(H15,Table2[],8,FALSE),"")</f>
        <v>520</v>
      </c>
      <c r="I21" s="56"/>
    </row>
    <row r="22" spans="2:9" s="14" customFormat="1" ht="14.1" customHeight="1" x14ac:dyDescent="0.2">
      <c r="B22" s="54"/>
      <c r="C22" s="39" t="s">
        <v>23</v>
      </c>
      <c r="D22" s="72">
        <f>IFERROR(SUM(F19:F21)+SUM(D19:D21),"")</f>
        <v>269.86</v>
      </c>
      <c r="E22" s="39" t="s">
        <v>14</v>
      </c>
      <c r="F22" s="73">
        <f>IFERROR(VLOOKUP(H15,Table2[],10,FALSE),"")</f>
        <v>52</v>
      </c>
      <c r="G22" s="39" t="s">
        <v>22</v>
      </c>
      <c r="H22" s="73">
        <f>IFERROR(IFERROR(VLOOKUP(H15,Table2[],9,FALSE),"")+F22,"")</f>
        <v>321.86</v>
      </c>
      <c r="I22" s="56"/>
    </row>
    <row r="23" spans="2:9" s="14" customFormat="1" ht="14.1" customHeight="1" x14ac:dyDescent="0.2">
      <c r="B23" s="54"/>
      <c r="C23" s="35"/>
      <c r="D23" s="36"/>
      <c r="E23" s="35"/>
      <c r="F23" s="36"/>
      <c r="G23" s="62" t="s">
        <v>8</v>
      </c>
      <c r="H23" s="74">
        <f>IFERROR(VLOOKUP(H15,Table2[],11,FALSE),"")</f>
        <v>198.14</v>
      </c>
      <c r="I23" s="56"/>
    </row>
    <row r="24" spans="2:9" ht="12" customHeight="1" thickBot="1" x14ac:dyDescent="0.25">
      <c r="B24" s="57"/>
      <c r="C24" s="58"/>
      <c r="D24" s="59"/>
      <c r="E24" s="58"/>
      <c r="F24" s="59"/>
      <c r="G24" s="58"/>
      <c r="H24" s="59"/>
      <c r="I24" s="60"/>
    </row>
    <row r="25" spans="2:9" ht="14.1" customHeight="1" thickTop="1" thickBot="1" x14ac:dyDescent="0.25"/>
    <row r="26" spans="2:9" s="15" customFormat="1" ht="33.950000000000003" customHeight="1" thickTop="1" x14ac:dyDescent="0.2">
      <c r="B26" s="50"/>
      <c r="C26" s="83" t="str">
        <f>('Informacje o pracowniku'!$A$3)</f>
        <v>[Nazwa firmy]</v>
      </c>
      <c r="D26" s="83"/>
      <c r="E26" s="83"/>
      <c r="F26" s="83"/>
      <c r="G26" s="83"/>
      <c r="H26" s="83"/>
      <c r="I26" s="51"/>
    </row>
    <row r="27" spans="2:9" s="14" customFormat="1" ht="14.1" customHeight="1" x14ac:dyDescent="0.2">
      <c r="B27" s="52"/>
      <c r="C27" s="43" t="s">
        <v>18</v>
      </c>
      <c r="D27" s="78">
        <f>'Kalkulator płac'!$K$2</f>
        <v>39113</v>
      </c>
      <c r="E27" s="44" t="s">
        <v>11</v>
      </c>
      <c r="F27" s="45" t="str">
        <f>IFERROR(VLOOKUP(H27,Table1[],2),"")</f>
        <v>Aneta Wiśniewska</v>
      </c>
      <c r="G27" s="48" t="s">
        <v>3</v>
      </c>
      <c r="H27" s="46">
        <v>3</v>
      </c>
      <c r="I27" s="53"/>
    </row>
    <row r="28" spans="2:9" s="14" customFormat="1" ht="9.9499999999999993" customHeight="1" x14ac:dyDescent="0.2">
      <c r="B28" s="52"/>
      <c r="C28" s="31"/>
      <c r="D28" s="32"/>
      <c r="E28" s="31"/>
      <c r="F28" s="33"/>
      <c r="G28" s="34"/>
      <c r="H28" s="34"/>
      <c r="I28" s="53"/>
    </row>
    <row r="29" spans="2:9" s="14" customFormat="1" ht="14.1" customHeight="1" x14ac:dyDescent="0.2">
      <c r="B29" s="54"/>
      <c r="C29" s="39" t="s">
        <v>6</v>
      </c>
      <c r="D29" s="38">
        <f>IFERROR(VLOOKUP(H27,Table1[],4),"")</f>
        <v>1</v>
      </c>
      <c r="E29" s="39" t="s">
        <v>21</v>
      </c>
      <c r="F29" s="38">
        <f>IFERROR(VLOOKUP(H27,Table1[],5,FALSE),"")</f>
        <v>4</v>
      </c>
      <c r="G29" s="37" t="s">
        <v>4</v>
      </c>
      <c r="H29" s="38">
        <f>IFERROR(VLOOKUP(H27,Table2[],3,FALSE),"")</f>
        <v>52</v>
      </c>
      <c r="I29" s="55"/>
    </row>
    <row r="30" spans="2:9" s="14" customFormat="1" ht="14.1" customHeight="1" x14ac:dyDescent="0.2">
      <c r="B30" s="54"/>
      <c r="C30" s="37" t="s">
        <v>20</v>
      </c>
      <c r="D30" s="73">
        <f>IFERROR(VLOOKUP(H27,Table1[],3,FALSE),"")</f>
        <v>10</v>
      </c>
      <c r="E30" s="39" t="s">
        <v>13</v>
      </c>
      <c r="F30" s="73">
        <f>IFERROR(VLOOKUP(H27,Table2[],7,FALSE),"")</f>
        <v>20</v>
      </c>
      <c r="G30" s="39" t="s">
        <v>10</v>
      </c>
      <c r="H30" s="38">
        <f>IFERROR(VLOOKUP(H27,Table2[],5,FALSE),"")</f>
        <v>0</v>
      </c>
      <c r="I30" s="55"/>
    </row>
    <row r="31" spans="2:9" s="14" customFormat="1" ht="14.1" customHeight="1" x14ac:dyDescent="0.2">
      <c r="B31" s="54"/>
      <c r="C31" s="39" t="s">
        <v>5</v>
      </c>
      <c r="D31" s="73">
        <f>IFERROR(IFERROR(VLOOKUP(H27,Table1[],8,FALSE),"")*H33,"")</f>
        <v>35.28</v>
      </c>
      <c r="E31" s="39" t="s">
        <v>17</v>
      </c>
      <c r="F31" s="73">
        <f>IFERROR(IFERROR(VLOOKUP(H27,Table1[],7,FALSE),"")*H33,"")</f>
        <v>156.80000000000001</v>
      </c>
      <c r="G31" s="39" t="s">
        <v>9</v>
      </c>
      <c r="H31" s="38">
        <f>IFERROR(VLOOKUP(H27,Table2[],4,FALSE),"")</f>
        <v>0</v>
      </c>
      <c r="I31" s="55"/>
    </row>
    <row r="32" spans="2:9" s="14" customFormat="1" ht="14.1" customHeight="1" x14ac:dyDescent="0.2">
      <c r="B32" s="54"/>
      <c r="C32" s="39" t="s">
        <v>15</v>
      </c>
      <c r="D32" s="73">
        <f>IFERROR(IFERROR(VLOOKUP(H27,Table1[],9,FALSE),"")*H33,"")</f>
        <v>8.120000000000001</v>
      </c>
      <c r="E32" s="39" t="s">
        <v>16</v>
      </c>
      <c r="F32" s="73">
        <f>IFERROR(IFERROR(VLOOKUP(H27,Table1[],6,FALSE),"")*H33,"")</f>
        <v>12.879999999999999</v>
      </c>
      <c r="G32" s="39" t="s">
        <v>12</v>
      </c>
      <c r="H32" s="38">
        <f>IFERROR(VLOOKUP(H27,Table2[],6,FALSE),"")</f>
        <v>2</v>
      </c>
      <c r="I32" s="55"/>
    </row>
    <row r="33" spans="2:9" s="14" customFormat="1" ht="14.1" customHeight="1" x14ac:dyDescent="0.2">
      <c r="B33" s="54"/>
      <c r="C33" s="39" t="s">
        <v>26</v>
      </c>
      <c r="D33" s="73">
        <f>IFERROR(VLOOKUP(H27,Table1[],11,FALSE),"")</f>
        <v>20</v>
      </c>
      <c r="E33" s="39" t="s">
        <v>25</v>
      </c>
      <c r="F33" s="73">
        <f>IFERROR(VLOOKUP(H27,Table1[],12,FALSE),"")</f>
        <v>0</v>
      </c>
      <c r="G33" s="39" t="s">
        <v>7</v>
      </c>
      <c r="H33" s="73">
        <f>IFERROR(VLOOKUP(H27,Table2[],8,FALSE),"")</f>
        <v>560</v>
      </c>
      <c r="I33" s="56"/>
    </row>
    <row r="34" spans="2:9" s="14" customFormat="1" ht="14.1" customHeight="1" x14ac:dyDescent="0.2">
      <c r="B34" s="54"/>
      <c r="C34" s="39" t="s">
        <v>23</v>
      </c>
      <c r="D34" s="73">
        <f>IFERROR(SUM(F31:F33)+SUM(D31:D33),"")</f>
        <v>233.08</v>
      </c>
      <c r="E34" s="39" t="s">
        <v>14</v>
      </c>
      <c r="F34" s="73">
        <f>IFERROR(VLOOKUP(H27,Table2[],10,FALSE),"")</f>
        <v>20</v>
      </c>
      <c r="G34" s="39" t="s">
        <v>22</v>
      </c>
      <c r="H34" s="73">
        <f>IFERROR(IFERROR(VLOOKUP(H27,Table2[],9,FALSE),"")+F34,"")</f>
        <v>253.08000000000004</v>
      </c>
      <c r="I34" s="56"/>
    </row>
    <row r="35" spans="2:9" s="14" customFormat="1" ht="14.1" customHeight="1" x14ac:dyDescent="0.2">
      <c r="B35" s="54"/>
      <c r="C35" s="35"/>
      <c r="D35" s="36"/>
      <c r="E35" s="35"/>
      <c r="F35" s="36"/>
      <c r="G35" s="62" t="s">
        <v>8</v>
      </c>
      <c r="H35" s="74">
        <f>IFERROR(VLOOKUP(H27,Table2[],11,FALSE),"")</f>
        <v>306.91999999999996</v>
      </c>
      <c r="I35" s="56"/>
    </row>
    <row r="36" spans="2:9" s="14" customFormat="1" ht="12" customHeight="1" thickBot="1" x14ac:dyDescent="0.25">
      <c r="B36" s="57"/>
      <c r="C36" s="58"/>
      <c r="D36" s="59"/>
      <c r="E36" s="58"/>
      <c r="F36" s="59"/>
      <c r="G36" s="58"/>
      <c r="H36" s="59"/>
      <c r="I36" s="60"/>
    </row>
    <row r="37" spans="2:9" ht="6.95" customHeight="1" thickTop="1" x14ac:dyDescent="0.2"/>
    <row r="38" spans="2:9" customFormat="1" ht="6.95" customHeight="1" thickBot="1" x14ac:dyDescent="0.25"/>
    <row r="39" spans="2:9" s="15" customFormat="1" ht="33.950000000000003" customHeight="1" thickTop="1" x14ac:dyDescent="0.2">
      <c r="B39" s="50"/>
      <c r="C39" s="83" t="str">
        <f>('Informacje o pracowniku'!$A$3)</f>
        <v>[Nazwa firmy]</v>
      </c>
      <c r="D39" s="83"/>
      <c r="E39" s="83"/>
      <c r="F39" s="83"/>
      <c r="G39" s="83"/>
      <c r="H39" s="83"/>
      <c r="I39" s="51"/>
    </row>
    <row r="40" spans="2:9" s="14" customFormat="1" ht="14.1" customHeight="1" x14ac:dyDescent="0.2">
      <c r="B40" s="52"/>
      <c r="C40" s="43" t="s">
        <v>18</v>
      </c>
      <c r="D40" s="78">
        <f>'Kalkulator płac'!$K$2</f>
        <v>39113</v>
      </c>
      <c r="E40" s="44" t="s">
        <v>11</v>
      </c>
      <c r="F40" s="45" t="str">
        <f>IFERROR(VLOOKUP(H40,Table1[],2),"")</f>
        <v/>
      </c>
      <c r="G40" s="48" t="s">
        <v>3</v>
      </c>
      <c r="H40" s="46"/>
      <c r="I40" s="53"/>
    </row>
    <row r="41" spans="2:9" s="14" customFormat="1" ht="9.9499999999999993" customHeight="1" x14ac:dyDescent="0.2">
      <c r="B41" s="52"/>
      <c r="C41" s="31"/>
      <c r="D41" s="32"/>
      <c r="E41" s="31"/>
      <c r="F41" s="33"/>
      <c r="G41" s="34"/>
      <c r="H41" s="34"/>
      <c r="I41" s="53"/>
    </row>
    <row r="42" spans="2:9" s="14" customFormat="1" ht="14.1" customHeight="1" x14ac:dyDescent="0.2">
      <c r="B42" s="54"/>
      <c r="C42" s="39" t="s">
        <v>6</v>
      </c>
      <c r="D42" s="38" t="str">
        <f>IFERROR(VLOOKUP(H40,Table1[],4),"")</f>
        <v/>
      </c>
      <c r="E42" s="39" t="s">
        <v>21</v>
      </c>
      <c r="F42" s="41" t="str">
        <f>IFERROR(VLOOKUP(H40,Table1[],5,FALSE),"")</f>
        <v/>
      </c>
      <c r="G42" s="37" t="s">
        <v>4</v>
      </c>
      <c r="H42" s="38" t="str">
        <f>IFERROR(VLOOKUP(H40,Table2[],3,FALSE),"")</f>
        <v/>
      </c>
      <c r="I42" s="55"/>
    </row>
    <row r="43" spans="2:9" s="14" customFormat="1" ht="14.1" customHeight="1" x14ac:dyDescent="0.2">
      <c r="B43" s="54"/>
      <c r="C43" s="37" t="s">
        <v>20</v>
      </c>
      <c r="D43" s="40" t="str">
        <f>IFERROR(VLOOKUP(H40,Table1[],3,FALSE),"")</f>
        <v/>
      </c>
      <c r="E43" s="39" t="s">
        <v>13</v>
      </c>
      <c r="F43" s="42" t="str">
        <f>IFERROR(VLOOKUP(H40,Table2[],7,FALSE),"")</f>
        <v/>
      </c>
      <c r="G43" s="39" t="s">
        <v>10</v>
      </c>
      <c r="H43" s="38" t="str">
        <f>IFERROR(VLOOKUP(H40,Table2[],5,FALSE),"")</f>
        <v/>
      </c>
      <c r="I43" s="55"/>
    </row>
    <row r="44" spans="2:9" s="14" customFormat="1" ht="14.1" customHeight="1" x14ac:dyDescent="0.2">
      <c r="B44" s="54"/>
      <c r="C44" s="39" t="s">
        <v>5</v>
      </c>
      <c r="D44" s="40" t="str">
        <f>IFERROR(IFERROR(VLOOKUP(H40,Table1[],8,FALSE),"")*H46,"")</f>
        <v/>
      </c>
      <c r="E44" s="39" t="s">
        <v>17</v>
      </c>
      <c r="F44" s="42" t="str">
        <f>IFERROR(IFERROR(VLOOKUP(H40,Table1[],7,FALSE),"")*H46,"")</f>
        <v/>
      </c>
      <c r="G44" s="39" t="s">
        <v>9</v>
      </c>
      <c r="H44" s="38" t="str">
        <f>IFERROR(VLOOKUP(H40,Table2[],4,FALSE),"")</f>
        <v/>
      </c>
      <c r="I44" s="55"/>
    </row>
    <row r="45" spans="2:9" s="14" customFormat="1" ht="14.1" customHeight="1" x14ac:dyDescent="0.2">
      <c r="B45" s="54"/>
      <c r="C45" s="39" t="s">
        <v>15</v>
      </c>
      <c r="D45" s="40" t="str">
        <f>IFERROR(IFERROR(VLOOKUP(H40,Table1[],9,FALSE),"")*H46,"")</f>
        <v/>
      </c>
      <c r="E45" s="39" t="s">
        <v>16</v>
      </c>
      <c r="F45" s="42" t="str">
        <f>IFERROR(IFERROR(VLOOKUP(H40,Table1[],6,FALSE),"")*H46,"")</f>
        <v/>
      </c>
      <c r="G45" s="39" t="s">
        <v>12</v>
      </c>
      <c r="H45" s="38" t="str">
        <f>IFERROR(VLOOKUP(H40,Table2[],6,FALSE),"")</f>
        <v/>
      </c>
      <c r="I45" s="55"/>
    </row>
    <row r="46" spans="2:9" s="14" customFormat="1" ht="14.1" customHeight="1" x14ac:dyDescent="0.2">
      <c r="B46" s="54"/>
      <c r="C46" s="39" t="s">
        <v>26</v>
      </c>
      <c r="D46" s="40" t="str">
        <f>IFERROR(VLOOKUP(H40,Table1[],11,FALSE),"")</f>
        <v/>
      </c>
      <c r="E46" s="39" t="s">
        <v>25</v>
      </c>
      <c r="F46" s="42" t="str">
        <f>IFERROR(VLOOKUP(H40,Table1[],12,FALSE),"")</f>
        <v/>
      </c>
      <c r="G46" s="39" t="s">
        <v>7</v>
      </c>
      <c r="H46" s="40" t="str">
        <f>IFERROR(VLOOKUP(H40,Table2[],8,FALSE),"")</f>
        <v/>
      </c>
      <c r="I46" s="56"/>
    </row>
    <row r="47" spans="2:9" s="14" customFormat="1" ht="14.1" customHeight="1" x14ac:dyDescent="0.2">
      <c r="B47" s="54"/>
      <c r="C47" s="39" t="s">
        <v>23</v>
      </c>
      <c r="D47" s="73">
        <f>IFERROR(SUM(F44:F46)+SUM(D44:D46),"")</f>
        <v>0</v>
      </c>
      <c r="E47" s="39" t="s">
        <v>14</v>
      </c>
      <c r="F47" s="42" t="str">
        <f>IFERROR(VLOOKUP(H40,Table2[],10,FALSE),"")</f>
        <v/>
      </c>
      <c r="G47" s="39" t="s">
        <v>22</v>
      </c>
      <c r="H47" s="40" t="str">
        <f>IFERROR(IFERROR(VLOOKUP(H40,Table2[],9,FALSE),"")+F47,"")</f>
        <v/>
      </c>
      <c r="I47" s="56"/>
    </row>
    <row r="48" spans="2:9" s="14" customFormat="1" ht="14.1" customHeight="1" x14ac:dyDescent="0.2">
      <c r="B48" s="54"/>
      <c r="C48" s="35"/>
      <c r="D48" s="36"/>
      <c r="E48" s="35"/>
      <c r="F48" s="49"/>
      <c r="G48" s="62" t="s">
        <v>8</v>
      </c>
      <c r="H48" s="63" t="str">
        <f>IFERROR(VLOOKUP(H40,Table2[],11,FALSE),"")</f>
        <v/>
      </c>
      <c r="I48" s="56"/>
    </row>
    <row r="49" spans="2:9" ht="12" customHeight="1" thickBot="1" x14ac:dyDescent="0.25">
      <c r="B49" s="57"/>
      <c r="C49" s="58"/>
      <c r="D49" s="59"/>
      <c r="E49" s="58"/>
      <c r="F49" s="59"/>
      <c r="G49" s="58"/>
      <c r="H49" s="59"/>
      <c r="I49" s="60"/>
    </row>
    <row r="50" spans="2:9" ht="13.5" thickTop="1" x14ac:dyDescent="0.2"/>
  </sheetData>
  <mergeCells count="4">
    <mergeCell ref="C2:H2"/>
    <mergeCell ref="C14:H14"/>
    <mergeCell ref="C26:H26"/>
    <mergeCell ref="C39:H39"/>
  </mergeCells>
  <phoneticPr fontId="2" type="noConversion"/>
  <printOptions horizontalCentered="1"/>
  <pageMargins left="0.6" right="0.6" top="0.6" bottom="0.6" header="0.5" footer="0.5"/>
  <pageSetup fitToHeight="0" orientation="landscape" r:id="rId1"/>
  <headerFooter alignWithMargins="0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MarketSpecific xmlns="29baff33-f40f-4664-8054-1bde3cabf4f6">false</MarketSpecific>
    <ApprovalStatus xmlns="29baff33-f40f-4664-8054-1bde3cabf4f6">InProgress</ApprovalStatus>
    <PrimaryImageGen xmlns="29baff33-f40f-4664-8054-1bde3cabf4f6">true</PrimaryImageGen>
    <ThumbnailAssetId xmlns="29baff33-f40f-4664-8054-1bde3cabf4f6" xsi:nil="true"/>
    <NumericId xmlns="29baff33-f40f-4664-8054-1bde3cabf4f6">-1</NumericId>
    <BusinessGroup xmlns="29baff33-f40f-4664-8054-1bde3cabf4f6" xsi:nil="true"/>
    <TPFriendlyName xmlns="29baff33-f40f-4664-8054-1bde3cabf4f6">Payroll calculator</TPFriendlyName>
    <SourceTitle xmlns="29baff33-f40f-4664-8054-1bde3cabf4f6">Payroll calculator</SourceTitle>
    <APEditor xmlns="29baff33-f40f-4664-8054-1bde3cabf4f6">
      <UserInfo>
        <DisplayName>REDMOND\v-luannv</DisplayName>
        <AccountId>92</AccountId>
        <AccountType/>
      </UserInfo>
    </APEditor>
    <OpenTemplate xmlns="29baff33-f40f-4664-8054-1bde3cabf4f6">true</OpenTemplate>
    <UALocComments xmlns="29baff33-f40f-4664-8054-1bde3cabf4f6" xsi:nil="true"/>
    <ParentAssetId xmlns="29baff33-f40f-4664-8054-1bde3cabf4f6" xsi:nil="true"/>
    <LastPublishResultLookup xmlns="29baff33-f40f-4664-8054-1bde3cabf4f6" xsi:nil="true"/>
    <PublishStatusLookup xmlns="29baff33-f40f-4664-8054-1bde3cabf4f6">
      <Value>90106</Value>
      <Value>344610</Value>
    </PublishStatusLookup>
    <IntlLangReviewDate xmlns="29baff33-f40f-4664-8054-1bde3cabf4f6" xsi:nil="true"/>
    <MachineTranslated xmlns="29baff33-f40f-4664-8054-1bde3cabf4f6">false</MachineTranslated>
    <OriginalSourceMarket xmlns="29baff33-f40f-4664-8054-1bde3cabf4f6">english</OriginalSourceMarket>
    <ContentItem xmlns="29baff33-f40f-4664-8054-1bde3cabf4f6" xsi:nil="true"/>
    <APDescription xmlns="29baff33-f40f-4664-8054-1bde3cabf4f6" xsi:nil="true"/>
    <ClipArtFilename xmlns="29baff33-f40f-4664-8054-1bde3cabf4f6" xsi:nil="true"/>
    <TPInstallLocation xmlns="29baff33-f40f-4664-8054-1bde3cabf4f6" xsi:nil="true"/>
    <PublishTargets xmlns="29baff33-f40f-4664-8054-1bde3cabf4f6">OfficeOnline</PublishTargets>
    <TimesCloned xmlns="29baff33-f40f-4664-8054-1bde3cabf4f6" xsi:nil="true"/>
    <Provider xmlns="29baff33-f40f-4664-8054-1bde3cabf4f6">EY006220130</Provider>
    <AcquiredFrom xmlns="29baff33-f40f-4664-8054-1bde3cabf4f6" xsi:nil="true"/>
    <LastHandOff xmlns="29baff33-f40f-4664-8054-1bde3cabf4f6" xsi:nil="true"/>
    <AssetStart xmlns="29baff33-f40f-4664-8054-1bde3cabf4f6">2009-10-20T10:32:00+00:00</AssetStart>
    <TPClientViewer xmlns="29baff33-f40f-4664-8054-1bde3cabf4f6" xsi:nil="true"/>
    <IsDeleted xmlns="29baff33-f40f-4664-8054-1bde3cabf4f6">false</IsDeleted>
    <TemplateStatus xmlns="29baff33-f40f-4664-8054-1bde3cabf4f6" xsi:nil="true"/>
    <SubmitterId xmlns="29baff33-f40f-4664-8054-1bde3cabf4f6" xsi:nil="true"/>
    <TPExecutable xmlns="29baff33-f40f-4664-8054-1bde3cabf4f6" xsi:nil="true"/>
    <AssetType xmlns="29baff33-f40f-4664-8054-1bde3cabf4f6">TP</AssetType>
    <ApprovalLog xmlns="29baff33-f40f-4664-8054-1bde3cabf4f6" xsi:nil="true"/>
    <CSXUpdate xmlns="29baff33-f40f-4664-8054-1bde3cabf4f6">false</CSXUpdate>
    <CSXSubmissionDate xmlns="29baff33-f40f-4664-8054-1bde3cabf4f6" xsi:nil="true"/>
    <BugNumber xmlns="29baff33-f40f-4664-8054-1bde3cabf4f6" xsi:nil="true"/>
    <Milestone xmlns="29baff33-f40f-4664-8054-1bde3cabf4f6" xsi:nil="true"/>
    <OriginAsset xmlns="29baff33-f40f-4664-8054-1bde3cabf4f6" xsi:nil="true"/>
    <TPComponent xmlns="29baff33-f40f-4664-8054-1bde3cabf4f6" xsi:nil="true"/>
    <AssetId xmlns="29baff33-f40f-4664-8054-1bde3cabf4f6">TP010193213</AssetId>
    <IntlLocPriority xmlns="29baff33-f40f-4664-8054-1bde3cabf4f6" xsi:nil="true"/>
    <TPLaunchHelpLink xmlns="29baff33-f40f-4664-8054-1bde3cabf4f6" xsi:nil="true"/>
    <TPApplication xmlns="29baff33-f40f-4664-8054-1bde3cabf4f6" xsi:nil="true"/>
    <PlannedPubDate xmlns="29baff33-f40f-4664-8054-1bde3cabf4f6" xsi:nil="true"/>
    <CrawlForDependencies xmlns="29baff33-f40f-4664-8054-1bde3cabf4f6">false</CrawlForDependencies>
    <HandoffToMSDN xmlns="29baff33-f40f-4664-8054-1bde3cabf4f6" xsi:nil="true"/>
    <IntlLangReviewer xmlns="29baff33-f40f-4664-8054-1bde3cabf4f6" xsi:nil="true"/>
    <TrustLevel xmlns="29baff33-f40f-4664-8054-1bde3cabf4f6">1 Microsoft Managed Content</TrustLevel>
    <IsSearchable xmlns="29baff33-f40f-4664-8054-1bde3cabf4f6">false</IsSearchable>
    <TPNamespace xmlns="29baff33-f40f-4664-8054-1bde3cabf4f6" xsi:nil="true"/>
    <Markets xmlns="29baff33-f40f-4664-8054-1bde3cabf4f6"/>
    <OutputCachingOn xmlns="29baff33-f40f-4664-8054-1bde3cabf4f6">false</OutputCachingOn>
    <IntlLangReview xmlns="29baff33-f40f-4664-8054-1bde3cabf4f6" xsi:nil="true"/>
    <UAProjectedTotalWords xmlns="29baff33-f40f-4664-8054-1bde3cabf4f6" xsi:nil="true"/>
    <APAuthor xmlns="29baff33-f40f-4664-8054-1bde3cabf4f6">
      <UserInfo>
        <DisplayName>REDMOND\cynvey</DisplayName>
        <AccountId>215</AccountId>
        <AccountType/>
      </UserInfo>
    </APAuthor>
    <TPAppVersion xmlns="29baff33-f40f-4664-8054-1bde3cabf4f6" xsi:nil="true"/>
    <TPCommandLine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UACurrentWords xmlns="29baff33-f40f-4664-8054-1bde3cabf4f6">0</UACurrentWords>
    <UALocRecommendation xmlns="29baff33-f40f-4664-8054-1bde3cabf4f6">Localize</UALocRecommendation>
    <ArtSampleDocs xmlns="29baff33-f40f-4664-8054-1bde3cabf4f6" xsi:nil="true"/>
    <UANotes xmlns="29baff33-f40f-4664-8054-1bde3cabf4f6" xsi:nil="true"/>
    <ShowIn xmlns="29baff33-f40f-4664-8054-1bde3cabf4f6">Show everywhere</ShowIn>
    <CSXHash xmlns="29baff33-f40f-4664-8054-1bde3cabf4f6" xsi:nil="true"/>
    <VoteCount xmlns="29baff33-f40f-4664-8054-1bde3cabf4f6" xsi:nil="true"/>
    <DSATActionTaken xmlns="29baff33-f40f-4664-8054-1bde3cabf4f6" xsi:nil="true"/>
    <AssetExpire xmlns="29baff33-f40f-4664-8054-1bde3cabf4f6">2100-01-01T00:00:00+00:00</AssetExpire>
    <CSXSubmissionMarket xmlns="29baff33-f40f-4664-8054-1bde3cabf4f6" xsi:nil="true"/>
    <FriendlyTitle xmlns="29baff33-f40f-4664-8054-1bde3cabf4f6" xsi:nil="true"/>
    <Downloads xmlns="29baff33-f40f-4664-8054-1bde3cabf4f6">0</Downloads>
    <Manager xmlns="29baff33-f40f-4664-8054-1bde3cabf4f6" xsi:nil="true"/>
    <OOCacheId xmlns="29baff33-f40f-4664-8054-1bde3cabf4f6" xsi:nil="true"/>
    <TemplateTemplateType xmlns="29baff33-f40f-4664-8054-1bde3cabf4f6">zz Autogen  10</TemplateTemplateType>
    <PolicheckWords xmlns="29baff33-f40f-4664-8054-1bde3cabf4f6" xsi:nil="true"/>
    <LegacyData xmlns="29baff33-f40f-4664-8054-1bde3cabf4f6" xsi:nil="true"/>
    <Providers xmlns="29baff33-f40f-4664-8054-1bde3cabf4f6" xsi:nil="true"/>
    <EditorialTags xmlns="29baff33-f40f-4664-8054-1bde3cabf4f6" xsi:nil="true"/>
    <InternalTagsTaxHTField0 xmlns="29baff33-f40f-4664-8054-1bde3cabf4f6">
      <Terms xmlns="http://schemas.microsoft.com/office/infopath/2007/PartnerControls"/>
    </InternalTagsTaxHTField0>
    <CampaignTagsTaxHTField0 xmlns="29baff33-f40f-4664-8054-1bde3cabf4f6">
      <Terms xmlns="http://schemas.microsoft.com/office/infopath/2007/PartnerControls"/>
    </CampaignTagsTaxHTField0>
    <LocOverallLocStatusLookup xmlns="29baff33-f40f-4664-8054-1bde3cabf4f6" xsi:nil="true"/>
    <LocOverallPreviewStatusLookup xmlns="29baff33-f40f-4664-8054-1bde3cabf4f6" xsi:nil="true"/>
    <BlockPublish xmlns="29baff33-f40f-4664-8054-1bde3cabf4f6" xsi:nil="true"/>
    <LocManualTestRequired xmlns="29baff33-f40f-4664-8054-1bde3cabf4f6" xsi:nil="true"/>
    <LocProcessedForMarketsLookup xmlns="29baff33-f40f-4664-8054-1bde3cabf4f6" xsi:nil="true"/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LocLastLocAttemptVersionTypeLookup xmlns="29baff33-f40f-4664-8054-1bde3cabf4f6" xsi:nil="true"/>
    <LocNewPublishedVersionLookup xmlns="29baff33-f40f-4664-8054-1bde3cabf4f6" xsi:nil="true"/>
    <LocProcessedForHandoffsLookup xmlns="29baff33-f40f-4664-8054-1bde3cabf4f6" xsi:nil="true"/>
    <LocPublishedDependentAssetsLookup xmlns="29baff33-f40f-4664-8054-1bde3cabf4f6" xsi:nil="true"/>
    <FeatureTagsTaxHTField0 xmlns="29baff33-f40f-4664-8054-1bde3cabf4f6">
      <Terms xmlns="http://schemas.microsoft.com/office/infopath/2007/PartnerControls"/>
    </FeatureTagsTaxHTField0>
    <LocOverallPublishStatusLookup xmlns="29baff33-f40f-4664-8054-1bde3cabf4f6" xsi:nil="true"/>
    <TaxCatchAll xmlns="29baff33-f40f-4664-8054-1bde3cabf4f6"/>
    <LocComments xmlns="29baff33-f40f-4664-8054-1bde3cabf4f6" xsi:nil="true"/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LocOverallHandbackStatusLookup xmlns="29baff33-f40f-4664-8054-1bde3cabf4f6" xsi:nil="true"/>
    <LocLastLocAttemptVersionLookup xmlns="29baff33-f40f-4664-8054-1bde3cabf4f6">44436</LocLastLocAttemptVersionLookup>
    <LocPublishedLinkedAssetsLookup xmlns="29baff33-f40f-4664-8054-1bde3cabf4f6" xsi:nil="true"/>
    <OriginalRelease xmlns="29baff33-f40f-4664-8054-1bde3cabf4f6">14</OriginalRelease>
    <LocMarketGroupTiers2 xmlns="29baff33-f40f-4664-8054-1bde3cabf4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75D131-846F-42F7-8ECD-9589CB9FA068}"/>
</file>

<file path=customXml/itemProps2.xml><?xml version="1.0" encoding="utf-8"?>
<ds:datastoreItem xmlns:ds="http://schemas.openxmlformats.org/officeDocument/2006/customXml" ds:itemID="{9166702D-CF3B-44B1-AC1A-E6FC6BE78521}"/>
</file>

<file path=customXml/itemProps3.xml><?xml version="1.0" encoding="utf-8"?>
<ds:datastoreItem xmlns:ds="http://schemas.openxmlformats.org/officeDocument/2006/customXml" ds:itemID="{F71046BB-C674-435B-AFF6-1974CC0F4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Informacje o pracowniku</vt:lpstr>
      <vt:lpstr>Kalkulator płac</vt:lpstr>
      <vt:lpstr>Indywidualny schemat płac</vt:lpstr>
      <vt:lpstr>'Indywidualny schemat płac'!Print_Area</vt:lpstr>
      <vt:lpstr>'Informacje o pracowniku'!Print_Area</vt:lpstr>
      <vt:lpstr>'Kalkulator płac'!Print_Area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subject/>
  <dc:creator/>
  <cp:keywords/>
  <dc:description/>
  <cp:lastModifiedBy/>
  <dcterms:created xsi:type="dcterms:W3CDTF">2006-08-07T19:28:17Z</dcterms:created>
  <dcterms:modified xsi:type="dcterms:W3CDTF">2012-06-05T07:14:34Z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2894400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