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rojects\Office_Online\technicians\DChludil\work\100391\1045\target\"/>
    </mc:Choice>
  </mc:AlternateContent>
  <bookViews>
    <workbookView xWindow="0" yWindow="0" windowWidth="25200" windowHeight="11925"/>
  </bookViews>
  <sheets>
    <sheet name="Wprowadzanie danych" sheetId="1" r:id="rId1"/>
    <sheet name="Raport sprzedaży" sheetId="2" r:id="rId2"/>
    <sheet name="Prognoza sprzedaży" sheetId="5" r:id="rId3"/>
  </sheets>
  <definedNames>
    <definedName name="Data_prognozy">'Prognoza sprzedaży'!$D$3</definedName>
    <definedName name="fData">'Prognoza sprzedaży'!$D$3</definedName>
    <definedName name="fDzień">'Prognoza sprzedaży'!$H$2</definedName>
    <definedName name="fMiesiąc">'Prognoza sprzedaży'!$G$2</definedName>
    <definedName name="fRok">'Prognoza sprzedaży'!$I$2</definedName>
    <definedName name="_xlnm.Print_Area" localSheetId="2">'Prognoza sprzedaży'!$B$2:$J$43</definedName>
    <definedName name="_xlnm.Print_Titles" localSheetId="1">'Prognoza sprzedaży'!$B:$E,'Prognoza sprzedaży'!$5:$5</definedName>
  </definedNames>
  <calcPr calcId="152511"/>
  <pivotCaches>
    <pivotCache cacheId="6" r:id="rId4"/>
  </pivotCaches>
</workbook>
</file>

<file path=xl/calcChain.xml><?xml version="1.0" encoding="utf-8"?>
<calcChain xmlns="http://schemas.openxmlformats.org/spreadsheetml/2006/main">
  <c r="B3" i="5" l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6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6" i="1"/>
  <c r="O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6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P8" i="1" l="1"/>
  <c r="P6" i="1"/>
  <c r="P23" i="1"/>
  <c r="P21" i="1"/>
  <c r="P19" i="1"/>
  <c r="P17" i="1"/>
  <c r="P15" i="1"/>
  <c r="P13" i="1"/>
  <c r="P11" i="1"/>
  <c r="P9" i="1"/>
  <c r="P7" i="1"/>
  <c r="P24" i="1"/>
  <c r="P22" i="1"/>
  <c r="P20" i="1"/>
  <c r="P18" i="1"/>
  <c r="P16" i="1"/>
  <c r="P14" i="1"/>
  <c r="P12" i="1"/>
  <c r="P10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J1" i="1"/>
  <c r="D3" i="5" l="1"/>
  <c r="F14" i="5" s="1"/>
  <c r="I14" i="5" l="1"/>
  <c r="D14" i="5"/>
  <c r="H7" i="5"/>
  <c r="H8" i="5"/>
  <c r="G8" i="5"/>
  <c r="G10" i="5"/>
  <c r="G6" i="5"/>
  <c r="G7" i="5"/>
  <c r="D7" i="5"/>
  <c r="D8" i="5"/>
  <c r="C8" i="5"/>
  <c r="C10" i="5"/>
  <c r="C6" i="5"/>
  <c r="C7" i="5"/>
  <c r="J7" i="5" l="1"/>
  <c r="G9" i="5"/>
  <c r="H9" i="5"/>
  <c r="J8" i="5"/>
  <c r="G11" i="5"/>
  <c r="I8" i="5"/>
  <c r="I7" i="5"/>
  <c r="J9" i="5" l="1"/>
  <c r="F7" i="5"/>
  <c r="C11" i="5"/>
  <c r="F8" i="5"/>
  <c r="D9" i="5"/>
  <c r="C9" i="5"/>
  <c r="E8" i="5"/>
  <c r="E7" i="5"/>
  <c r="F9" i="5" l="1"/>
</calcChain>
</file>

<file path=xl/sharedStrings.xml><?xml version="1.0" encoding="utf-8"?>
<sst xmlns="http://schemas.openxmlformats.org/spreadsheetml/2006/main" count="94" uniqueCount="55">
  <si>
    <t>A. Datum Corporation</t>
  </si>
  <si>
    <t>Contoso Pharmaceuticals</t>
  </si>
  <si>
    <t>Consolidated Messenger</t>
  </si>
  <si>
    <t>Proseware, Inc.</t>
  </si>
  <si>
    <t>Liceum plastyczne</t>
  </si>
  <si>
    <t>Trey Research</t>
  </si>
  <si>
    <t>Suma końcowa</t>
  </si>
  <si>
    <t>%</t>
  </si>
  <si>
    <t>Ilość</t>
  </si>
  <si>
    <t>Przychody</t>
  </si>
  <si>
    <t>Marża</t>
  </si>
  <si>
    <t>Liczba zamówień</t>
  </si>
  <si>
    <t>Średnia wartość zamówienia</t>
  </si>
  <si>
    <t>Sprzedaż</t>
  </si>
  <si>
    <t>% OPR</t>
  </si>
  <si>
    <r>
      <rPr>
        <sz val="22"/>
        <color theme="3"/>
        <rFont val="Arial Black"/>
        <family val="2"/>
        <scheme val="major"/>
      </rPr>
      <t xml:space="preserve">MIESIĘCZNIE </t>
    </r>
    <r>
      <rPr>
        <sz val="22"/>
        <color theme="4"/>
        <rFont val="Arial"/>
        <family val="2"/>
        <scheme val="minor"/>
      </rPr>
      <t>WPROWADZANIE DANYCH</t>
    </r>
  </si>
  <si>
    <t>MIESIĄC</t>
  </si>
  <si>
    <t>KWARTAŁ</t>
  </si>
  <si>
    <t xml:space="preserve">MIESIĄC </t>
  </si>
  <si>
    <t xml:space="preserve">KWARTAŁ </t>
  </si>
  <si>
    <t xml:space="preserve">ROCZNIE </t>
  </si>
  <si>
    <t>ROK</t>
  </si>
  <si>
    <t xml:space="preserve">ROK </t>
  </si>
  <si>
    <t>DATA</t>
  </si>
  <si>
    <t>FIRMA</t>
  </si>
  <si>
    <t>KWOTA</t>
  </si>
  <si>
    <t>PLANOWANE</t>
  </si>
  <si>
    <t>KOSZT</t>
  </si>
  <si>
    <t>PRZYCHÓD</t>
  </si>
  <si>
    <t>NR MIESIĄCA (UKRYTE)</t>
  </si>
  <si>
    <t>PROGNOZA</t>
  </si>
  <si>
    <t>SUMY</t>
  </si>
  <si>
    <r>
      <rPr>
        <sz val="22"/>
        <color theme="3"/>
        <rFont val="Arial Black"/>
        <family val="2"/>
        <scheme val="major"/>
      </rPr>
      <t xml:space="preserve">MIESIĘCZNIE </t>
    </r>
    <r>
      <rPr>
        <sz val="22"/>
        <color theme="4"/>
        <rFont val="Arial"/>
        <family val="2"/>
        <scheme val="minor"/>
      </rPr>
      <t>PROGNOZA SPRZEDAŻY</t>
    </r>
  </si>
  <si>
    <t>TEN MIESIĄC</t>
  </si>
  <si>
    <t>RZECZYWISTE</t>
  </si>
  <si>
    <t>PLANOWANE</t>
  </si>
  <si>
    <t>RÓŻNICA</t>
  </si>
  <si>
    <t>RZECZYWISTE OPR</t>
  </si>
  <si>
    <t>PLANOWANE OPR</t>
  </si>
  <si>
    <t>RÓŻNICA OPR</t>
  </si>
  <si>
    <t>NASTĘPNY MIESIĄC</t>
  </si>
  <si>
    <t>NASTĘPNY KWARTAŁ</t>
  </si>
  <si>
    <t>NASTĘPNY ROK</t>
  </si>
  <si>
    <t>HISTORIA SPRZEDAŻY</t>
  </si>
  <si>
    <t>PROGNOZA ROCZNA</t>
  </si>
  <si>
    <t>STRUMIEŃ PRZYCHODÓW</t>
  </si>
  <si>
    <t>PROGNOZA MIESIĘCZNA</t>
  </si>
  <si>
    <t>PROGNOZA KWARTALNA</t>
  </si>
  <si>
    <r>
      <rPr>
        <sz val="22"/>
        <color theme="3"/>
        <rFont val="Arial Black"/>
        <family val="2"/>
        <scheme val="major"/>
      </rPr>
      <t xml:space="preserve">MIESIĘCZNIE </t>
    </r>
    <r>
      <rPr>
        <sz val="22"/>
        <color theme="4"/>
        <rFont val="Arial"/>
        <family val="2"/>
        <scheme val="minor"/>
      </rPr>
      <t>RAPORT SPRZEDAŻY</t>
    </r>
  </si>
  <si>
    <t xml:space="preserve"> </t>
  </si>
  <si>
    <t xml:space="preserve">MIESIĄC  </t>
  </si>
  <si>
    <t xml:space="preserve">KWARTAŁ  </t>
  </si>
  <si>
    <t>Suma z KWOTA</t>
  </si>
  <si>
    <t>2013 Suma</t>
  </si>
  <si>
    <t>Kwartał 2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</si>
</sst>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&quot;$&quot;#,##0.00"/>
    <numFmt numFmtId="165" formatCode="mmmm"/>
    <numFmt numFmtId="166" formatCode="&quot;Quarter &quot;0"/>
    <numFmt numFmtId="167" formatCode="#,##0.00\ &quot;zł&quot;"/>
    <numFmt numFmtId="168" formatCode="&quot;Kwartał &quot;0"/>
    <numFmt numFmtId="169" formatCode="&quot;Kwartał&quot;0"/>
  </numFmts>
  <fonts count="16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2"/>
      <name val="Arial Black"/>
      <family val="1"/>
      <scheme val="maj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"/>
      <color theme="1"/>
      <name val="Arial Black"/>
      <scheme val="maj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/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Border="0" applyAlignment="0" applyProtection="0"/>
  </cellStyleXfs>
  <cellXfs count="6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65" fontId="3" fillId="5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Continuous"/>
    </xf>
    <xf numFmtId="0" fontId="3" fillId="5" borderId="0" xfId="0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0" fontId="9" fillId="5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164" fontId="7" fillId="0" borderId="4" xfId="4" applyNumberFormat="1" applyFill="1" applyBorder="1" applyAlignment="1">
      <alignment horizontal="left" vertical="center"/>
    </xf>
    <xf numFmtId="164" fontId="7" fillId="0" borderId="4" xfId="4" applyNumberFormat="1" applyFill="1" applyBorder="1" applyAlignment="1">
      <alignment horizontal="right" vertical="center"/>
    </xf>
    <xf numFmtId="0" fontId="7" fillId="0" borderId="0" xfId="4" applyFill="1" applyBorder="1" applyAlignment="1">
      <alignment vertical="center"/>
    </xf>
    <xf numFmtId="0" fontId="11" fillId="0" borderId="3" xfId="0" applyFont="1" applyFill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7" fillId="0" borderId="4" xfId="4" applyBorder="1" applyAlignment="1">
      <alignment horizontal="left" vertical="center"/>
    </xf>
    <xf numFmtId="0" fontId="9" fillId="5" borderId="2" xfId="1" applyNumberFormat="1" applyFont="1" applyFill="1" applyBorder="1" applyAlignment="1">
      <alignment horizontal="left" vertical="center" indent="1"/>
    </xf>
    <xf numFmtId="10" fontId="9" fillId="5" borderId="1" xfId="0" applyNumberFormat="1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0" borderId="2" xfId="1" applyNumberFormat="1" applyFont="1" applyFill="1" applyBorder="1" applyAlignment="1">
      <alignment horizontal="left" vertical="center" indent="1"/>
    </xf>
    <xf numFmtId="164" fontId="7" fillId="0" borderId="4" xfId="4" applyNumberFormat="1" applyFill="1" applyBorder="1" applyAlignment="1">
      <alignment horizontal="left" vertical="center" indent="1"/>
    </xf>
    <xf numFmtId="0" fontId="8" fillId="0" borderId="4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14" fontId="10" fillId="0" borderId="0" xfId="0" applyNumberFormat="1" applyFont="1" applyAlignment="1">
      <alignment horizontal="left" vertical="center"/>
    </xf>
    <xf numFmtId="0" fontId="0" fillId="0" borderId="0" xfId="0" pivotButton="1">
      <alignment vertical="center"/>
    </xf>
    <xf numFmtId="167" fontId="10" fillId="0" borderId="0" xfId="0" applyNumberFormat="1" applyFont="1" applyFill="1" applyBorder="1" applyAlignment="1">
      <alignment horizontal="left" vertical="center"/>
    </xf>
    <xf numFmtId="167" fontId="3" fillId="4" borderId="0" xfId="0" applyNumberFormat="1" applyFont="1" applyFill="1" applyBorder="1" applyAlignment="1">
      <alignment horizontal="left" vertical="center"/>
    </xf>
    <xf numFmtId="167" fontId="3" fillId="3" borderId="0" xfId="0" applyNumberFormat="1" applyFont="1" applyFill="1" applyBorder="1" applyAlignment="1">
      <alignment horizontal="left" vertical="center"/>
    </xf>
    <xf numFmtId="167" fontId="9" fillId="5" borderId="1" xfId="0" applyNumberFormat="1" applyFont="1" applyFill="1" applyBorder="1" applyAlignment="1">
      <alignment horizontal="left" vertical="center" indent="1"/>
    </xf>
    <xf numFmtId="0" fontId="9" fillId="5" borderId="1" xfId="0" applyNumberFormat="1" applyFont="1" applyFill="1" applyBorder="1" applyAlignment="1">
      <alignment horizontal="left" vertical="center" indent="1"/>
    </xf>
    <xf numFmtId="167" fontId="11" fillId="0" borderId="3" xfId="0" applyNumberFormat="1" applyFont="1" applyBorder="1" applyAlignment="1">
      <alignment horizontal="left"/>
    </xf>
    <xf numFmtId="165" fontId="0" fillId="0" borderId="0" xfId="0" applyNumberFormat="1" applyAlignment="1">
      <alignment horizontal="left" vertical="center"/>
    </xf>
    <xf numFmtId="166" fontId="0" fillId="0" borderId="0" xfId="0" applyNumberFormat="1">
      <alignment vertical="center"/>
    </xf>
    <xf numFmtId="0" fontId="2" fillId="0" borderId="0" xfId="0" applyFont="1" applyAlignment="1">
      <alignment horizontal="right" vertical="center"/>
    </xf>
    <xf numFmtId="167" fontId="0" fillId="0" borderId="0" xfId="0" applyNumberFormat="1">
      <alignment vertical="center"/>
    </xf>
    <xf numFmtId="0" fontId="10" fillId="0" borderId="0" xfId="0" applyFont="1">
      <alignment vertical="center"/>
    </xf>
    <xf numFmtId="167" fontId="10" fillId="0" borderId="0" xfId="0" applyNumberFormat="1" applyFont="1">
      <alignment vertical="center"/>
    </xf>
    <xf numFmtId="168" fontId="3" fillId="5" borderId="0" xfId="0" applyNumberFormat="1" applyFont="1" applyFill="1" applyBorder="1" applyAlignment="1">
      <alignment horizontal="left" vertical="center"/>
    </xf>
    <xf numFmtId="167" fontId="3" fillId="5" borderId="0" xfId="0" applyNumberFormat="1" applyFont="1" applyFill="1" applyBorder="1" applyAlignment="1">
      <alignment horizontal="left" vertical="center"/>
    </xf>
    <xf numFmtId="169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0" fontId="15" fillId="0" borderId="0" xfId="0" pivotButton="1" applyFont="1">
      <alignment vertical="center"/>
    </xf>
  </cellXfs>
  <cellStyles count="5">
    <cellStyle name="Dziesiętny" xfId="1" builtinId="3"/>
    <cellStyle name="Nagłówek 1" xfId="2" builtinId="16" customBuiltin="1"/>
    <cellStyle name="Nagłówek 2" xfId="3" builtinId="17" customBuiltin="1"/>
    <cellStyle name="Nagłówek 4" xfId="4" builtinId="19" customBuiltin="1"/>
    <cellStyle name="Normalny" xfId="0" builtinId="0" customBuiltin="1"/>
  </cellStyles>
  <dxfs count="69">
    <dxf>
      <font>
        <name val="Arial Black"/>
        <scheme val="major"/>
      </font>
    </dxf>
    <dxf>
      <font>
        <sz val="10"/>
      </font>
    </dxf>
    <dxf>
      <font>
        <sz val="10"/>
      </font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numFmt numFmtId="167" formatCode="#,##0.00\ &quot;zł&quot;"/>
    </dxf>
    <dxf>
      <font>
        <b/>
      </font>
    </dxf>
    <dxf>
      <font>
        <b/>
      </font>
    </dxf>
    <dxf>
      <numFmt numFmtId="169" formatCode="&quot;Kwartał&quot;0"/>
    </dxf>
    <dxf>
      <numFmt numFmtId="168" formatCode="&quot;Kwartał &quot;0"/>
    </dxf>
    <dxf>
      <numFmt numFmtId="168" formatCode="&quot;Kwartał &quot;0"/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numFmt numFmtId="168" formatCode="&quot;Kwartał &quot;0"/>
    </dxf>
    <dxf>
      <numFmt numFmtId="168" formatCode="&quot;Kwartał &quot;0"/>
    </dxf>
    <dxf>
      <numFmt numFmtId="169" formatCode="&quot;Kwartał&quot;0"/>
    </dxf>
    <dxf>
      <font>
        <b/>
      </font>
    </dxf>
    <dxf>
      <font>
        <b/>
      </font>
    </dxf>
    <dxf>
      <numFmt numFmtId="167" formatCode="#,##0.00\ &quot;zł&quot;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font>
        <sz val="10"/>
      </font>
    </dxf>
    <dxf>
      <font>
        <sz val="10"/>
      </font>
    </dxf>
    <dxf>
      <font>
        <name val="Arial Black"/>
        <scheme val="major"/>
      </font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7" formatCode="#,##0.00\ &quot;zł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7" formatCode="#,##0.00\ &quot;zł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7" formatCode="#,##0.00\ &quot;zł&quot;"/>
      <fill>
        <patternFill patternType="solid">
          <fgColor indexed="64"/>
          <bgColor theme="4" tint="0.79998168889431442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7" formatCode="#,##0.00\ &quot;zł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7" formatCode="#,##0.00\ &quot;zł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7" formatCode="#,##0.00\ &quot;zł&quot;"/>
      <fill>
        <patternFill patternType="solid">
          <fgColor indexed="64"/>
          <bgColor theme="4" tint="0.59999389629810485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0" formatCode="General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6" formatCode="&quot;Quarter &quot;0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5" formatCode="mmmm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numFmt numFmtId="167" formatCode="#,##0.00\ &quot;zł&quot;"/>
      <fill>
        <patternFill>
          <fgColor indexed="64"/>
          <bgColor theme="4" tint="0.39997558519241921"/>
        </patternFill>
      </fill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7" formatCode="#,##0.00\ &quot;zł&quot;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7" formatCode="#,##0.00\ &quot;zł&quot;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67" formatCode="#,##0.00\ &quot;zł&quot;"/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font>
        <b/>
        <strike/>
        <outline/>
        <shadow/>
        <u val="none"/>
        <vertAlign val="baseline"/>
        <sz val="8"/>
        <color theme="1"/>
        <name val="Arial"/>
        <scheme val="minor"/>
      </font>
      <numFmt numFmtId="170" formatCode="mm/dd/yyyy"/>
      <alignment horizontal="lef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color theme="1"/>
        <name val="Arial"/>
        <scheme val="minor"/>
      </font>
      <alignment horizontal="left"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2" defaultTableStyle="Monthly Raport sprzedaży Table Style" defaultPivotStyle="Monthly Raport sprzedaży PivotTable Style">
    <tableStyle name="Monthly Raport sprzedaży PivotTable Style" table="0" count="8">
      <tableStyleElement type="wholeTable" dxfId="68"/>
      <tableStyleElement type="headerRow" dxfId="67"/>
      <tableStyleElement type="totalRow" dxfId="66"/>
      <tableStyleElement type="secondSubtotalRow" dxfId="65"/>
      <tableStyleElement type="thirdSubtotalRow" dxfId="64"/>
      <tableStyleElement type="firstRowSubheading" dxfId="63"/>
      <tableStyleElement type="secondRowSubheading" dxfId="62"/>
      <tableStyleElement type="thirdRowSubheading" dxfId="61"/>
    </tableStyle>
    <tableStyle name="Monthly Raport sprzedaży Table Style" pivot="0" count="2">
      <tableStyleElement type="wholeTable" dxfId="60"/>
      <tableStyleElement type="headerRow" dxfId="5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'Wprowadzanie danych'!$D$5</c:f>
              <c:strCache>
                <c:ptCount val="1"/>
                <c:pt idx="0">
                  <c:v>KWOTA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'Wprowadzanie danych'!$B$6:$B$24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'Wprowadzanie danych'!$D$6:$D$24</c:f>
              <c:numCache>
                <c:formatCode>#\ ##0.00\ "zł"</c:formatCode>
                <c:ptCount val="19"/>
                <c:pt idx="0">
                  <c:v>6400</c:v>
                </c:pt>
                <c:pt idx="1">
                  <c:v>8200</c:v>
                </c:pt>
                <c:pt idx="2">
                  <c:v>4400</c:v>
                </c:pt>
                <c:pt idx="3">
                  <c:v>5400</c:v>
                </c:pt>
                <c:pt idx="4">
                  <c:v>5800</c:v>
                </c:pt>
                <c:pt idx="5">
                  <c:v>6200</c:v>
                </c:pt>
                <c:pt idx="6">
                  <c:v>6900</c:v>
                </c:pt>
                <c:pt idx="7">
                  <c:v>7500</c:v>
                </c:pt>
                <c:pt idx="8">
                  <c:v>8700</c:v>
                </c:pt>
                <c:pt idx="9">
                  <c:v>8500</c:v>
                </c:pt>
                <c:pt idx="10">
                  <c:v>7900</c:v>
                </c:pt>
                <c:pt idx="11">
                  <c:v>9100</c:v>
                </c:pt>
                <c:pt idx="12">
                  <c:v>5600</c:v>
                </c:pt>
                <c:pt idx="13">
                  <c:v>9300</c:v>
                </c:pt>
                <c:pt idx="14">
                  <c:v>8800</c:v>
                </c:pt>
                <c:pt idx="15">
                  <c:v>9100</c:v>
                </c:pt>
                <c:pt idx="16">
                  <c:v>9000</c:v>
                </c:pt>
                <c:pt idx="17">
                  <c:v>7500</c:v>
                </c:pt>
                <c:pt idx="18">
                  <c:v>9500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'Wprowadzanie danych'!$E$5</c:f>
              <c:strCache>
                <c:ptCount val="1"/>
                <c:pt idx="0">
                  <c:v>PLANOWANE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'Wprowadzanie danych'!$B$6:$B$24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'Wprowadzanie danych'!$E$6:$E$24</c:f>
              <c:numCache>
                <c:formatCode>#\ ##0.00\ "zł"</c:formatCode>
                <c:ptCount val="19"/>
                <c:pt idx="0">
                  <c:v>6200</c:v>
                </c:pt>
                <c:pt idx="1">
                  <c:v>8000</c:v>
                </c:pt>
                <c:pt idx="2">
                  <c:v>4200</c:v>
                </c:pt>
                <c:pt idx="3">
                  <c:v>5500</c:v>
                </c:pt>
                <c:pt idx="4">
                  <c:v>6000</c:v>
                </c:pt>
                <c:pt idx="5">
                  <c:v>6000</c:v>
                </c:pt>
                <c:pt idx="6">
                  <c:v>7500</c:v>
                </c:pt>
                <c:pt idx="7">
                  <c:v>7200</c:v>
                </c:pt>
                <c:pt idx="8">
                  <c:v>8500</c:v>
                </c:pt>
                <c:pt idx="9">
                  <c:v>8300</c:v>
                </c:pt>
                <c:pt idx="10">
                  <c:v>7700</c:v>
                </c:pt>
                <c:pt idx="11">
                  <c:v>8900</c:v>
                </c:pt>
                <c:pt idx="12">
                  <c:v>5800</c:v>
                </c:pt>
                <c:pt idx="13">
                  <c:v>9100</c:v>
                </c:pt>
                <c:pt idx="14">
                  <c:v>9350</c:v>
                </c:pt>
                <c:pt idx="15">
                  <c:v>9200</c:v>
                </c:pt>
                <c:pt idx="16">
                  <c:v>10000</c:v>
                </c:pt>
                <c:pt idx="17">
                  <c:v>8000</c:v>
                </c:pt>
                <c:pt idx="18">
                  <c:v>9200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'Wprowadzanie danych'!$F$5</c:f>
              <c:strCache>
                <c:ptCount val="1"/>
                <c:pt idx="0">
                  <c:v>KOSZT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'Wprowadzanie danych'!$B$6:$B$24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'Wprowadzanie danych'!$F$6:$F$24</c:f>
              <c:numCache>
                <c:formatCode>#\ ##0.00\ "zł"</c:formatCode>
                <c:ptCount val="19"/>
                <c:pt idx="0">
                  <c:v>4450</c:v>
                </c:pt>
                <c:pt idx="1">
                  <c:v>6400</c:v>
                </c:pt>
                <c:pt idx="2">
                  <c:v>2600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5400</c:v>
                </c:pt>
                <c:pt idx="7">
                  <c:v>6500</c:v>
                </c:pt>
                <c:pt idx="8">
                  <c:v>7250</c:v>
                </c:pt>
                <c:pt idx="9">
                  <c:v>7100</c:v>
                </c:pt>
                <c:pt idx="10">
                  <c:v>6600</c:v>
                </c:pt>
                <c:pt idx="11">
                  <c:v>7900</c:v>
                </c:pt>
                <c:pt idx="12">
                  <c:v>4500</c:v>
                </c:pt>
                <c:pt idx="13">
                  <c:v>7500</c:v>
                </c:pt>
                <c:pt idx="14">
                  <c:v>7100</c:v>
                </c:pt>
                <c:pt idx="15">
                  <c:v>7850</c:v>
                </c:pt>
                <c:pt idx="16">
                  <c:v>7575</c:v>
                </c:pt>
                <c:pt idx="17">
                  <c:v>5850</c:v>
                </c:pt>
                <c:pt idx="18">
                  <c:v>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'Wprowadzanie danych'!$G$5</c:f>
              <c:strCache>
                <c:ptCount val="1"/>
                <c:pt idx="0">
                  <c:v>PRZYCHÓD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'Wprowadzanie danych'!$B$6:$B$24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'Wprowadzanie danych'!$G$6:$G$24</c:f>
              <c:numCache>
                <c:formatCode>#\ ##0.00\ "zł"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251680"/>
        <c:axId val="282252240"/>
      </c:lineChart>
      <c:dateAx>
        <c:axId val="282251680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282252240"/>
        <c:crosses val="autoZero"/>
        <c:auto val="1"/>
        <c:lblOffset val="100"/>
        <c:baseTimeUnit val="days"/>
        <c:majorUnit val="1"/>
        <c:majorTimeUnit val="months"/>
      </c:dateAx>
      <c:valAx>
        <c:axId val="28225224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zł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2822516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'Wprowadzanie danych'!$O$5</c:f>
              <c:strCache>
                <c:ptCount val="1"/>
                <c:pt idx="0">
                  <c:v>MIESIĄC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'Wprowadzanie danych'!$B$6:$B$24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'Wprowadzanie danych'!$O$6:$O$24</c:f>
              <c:numCache>
                <c:formatCode>#\ ##0.00\ "zł"</c:formatCode>
                <c:ptCount val="19"/>
                <c:pt idx="0">
                  <c:v>14600</c:v>
                </c:pt>
                <c:pt idx="1">
                  <c:v>14600</c:v>
                </c:pt>
                <c:pt idx="2">
                  <c:v>28999.999999999996</c:v>
                </c:pt>
                <c:pt idx="3">
                  <c:v>29000</c:v>
                </c:pt>
                <c:pt idx="4">
                  <c:v>29000</c:v>
                </c:pt>
                <c:pt idx="5">
                  <c:v>29000</c:v>
                </c:pt>
                <c:pt idx="6">
                  <c:v>21600.000000000004</c:v>
                </c:pt>
                <c:pt idx="7">
                  <c:v>17950</c:v>
                </c:pt>
                <c:pt idx="8">
                  <c:v>10776.470588235294</c:v>
                </c:pt>
                <c:pt idx="9">
                  <c:v>12455.862068965516</c:v>
                </c:pt>
                <c:pt idx="10">
                  <c:v>13667.567567567567</c:v>
                </c:pt>
                <c:pt idx="11">
                  <c:v>17651.666666666668</c:v>
                </c:pt>
                <c:pt idx="12">
                  <c:v>19877.911646586344</c:v>
                </c:pt>
                <c:pt idx="13">
                  <c:v>21138.050314465407</c:v>
                </c:pt>
                <c:pt idx="14">
                  <c:v>17951.744186046511</c:v>
                </c:pt>
                <c:pt idx="15">
                  <c:v>20556.130108423687</c:v>
                </c:pt>
                <c:pt idx="16">
                  <c:v>21997.139141742522</c:v>
                </c:pt>
                <c:pt idx="17">
                  <c:v>22917.634523175278</c:v>
                </c:pt>
                <c:pt idx="18">
                  <c:v>20504.314720812181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255040"/>
        <c:axId val="282255600"/>
      </c:lineChart>
      <c:dateAx>
        <c:axId val="282255040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82255600"/>
        <c:crosses val="autoZero"/>
        <c:auto val="1"/>
        <c:lblOffset val="100"/>
        <c:baseTimeUnit val="days"/>
        <c:majorUnit val="1"/>
        <c:majorTimeUnit val="months"/>
      </c:dateAx>
      <c:valAx>
        <c:axId val="28225560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zł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2822550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'Wprowadzanie danych'!$P$5</c:f>
              <c:strCache>
                <c:ptCount val="1"/>
                <c:pt idx="0">
                  <c:v>KWARTAŁ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'Wprowadzanie danych'!$B$6:$B$24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'Wprowadzanie danych'!$P$6:$P$24</c:f>
              <c:numCache>
                <c:formatCode>#\ ##0.00\ "zł"</c:formatCode>
                <c:ptCount val="19"/>
                <c:pt idx="0">
                  <c:v>50800</c:v>
                </c:pt>
                <c:pt idx="1">
                  <c:v>50800</c:v>
                </c:pt>
                <c:pt idx="2">
                  <c:v>50800</c:v>
                </c:pt>
                <c:pt idx="3">
                  <c:v>50800</c:v>
                </c:pt>
                <c:pt idx="4">
                  <c:v>50800</c:v>
                </c:pt>
                <c:pt idx="5">
                  <c:v>50800</c:v>
                </c:pt>
                <c:pt idx="6">
                  <c:v>50800</c:v>
                </c:pt>
                <c:pt idx="7">
                  <c:v>50800</c:v>
                </c:pt>
                <c:pt idx="8">
                  <c:v>47400</c:v>
                </c:pt>
                <c:pt idx="9">
                  <c:v>47400</c:v>
                </c:pt>
                <c:pt idx="10">
                  <c:v>47400.000000000007</c:v>
                </c:pt>
                <c:pt idx="11">
                  <c:v>47400</c:v>
                </c:pt>
                <c:pt idx="12">
                  <c:v>47400</c:v>
                </c:pt>
                <c:pt idx="13">
                  <c:v>47400</c:v>
                </c:pt>
                <c:pt idx="14">
                  <c:v>43258.139534883725</c:v>
                </c:pt>
                <c:pt idx="15">
                  <c:v>42312.903225806447</c:v>
                </c:pt>
                <c:pt idx="16">
                  <c:v>41811.111111111109</c:v>
                </c:pt>
                <c:pt idx="17">
                  <c:v>41500</c:v>
                </c:pt>
                <c:pt idx="18">
                  <c:v>41288.23529411765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858576"/>
        <c:axId val="291859136"/>
      </c:lineChart>
      <c:dateAx>
        <c:axId val="29185857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91859136"/>
        <c:crosses val="autoZero"/>
        <c:auto val="1"/>
        <c:lblOffset val="100"/>
        <c:baseTimeUnit val="days"/>
        <c:majorUnit val="1"/>
        <c:majorTimeUnit val="months"/>
      </c:dateAx>
      <c:valAx>
        <c:axId val="29185913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zł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2918585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'Wprowadzanie danych'!$Q$5</c:f>
              <c:strCache>
                <c:ptCount val="1"/>
                <c:pt idx="0">
                  <c:v>ROK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'Wprowadzanie danych'!$B$6:$B$24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'Wprowadzanie danych'!$Q$6:$Q$24</c:f>
              <c:numCache>
                <c:formatCode>#\ ##0.00\ "zł"</c:formatCode>
                <c:ptCount val="19"/>
                <c:pt idx="0">
                  <c:v>143800</c:v>
                </c:pt>
                <c:pt idx="1">
                  <c:v>143800</c:v>
                </c:pt>
                <c:pt idx="2">
                  <c:v>143800</c:v>
                </c:pt>
                <c:pt idx="3">
                  <c:v>143800</c:v>
                </c:pt>
                <c:pt idx="4">
                  <c:v>143800</c:v>
                </c:pt>
                <c:pt idx="5">
                  <c:v>143800</c:v>
                </c:pt>
                <c:pt idx="6">
                  <c:v>143800</c:v>
                </c:pt>
                <c:pt idx="7">
                  <c:v>143800</c:v>
                </c:pt>
                <c:pt idx="8">
                  <c:v>143800</c:v>
                </c:pt>
                <c:pt idx="9">
                  <c:v>143800</c:v>
                </c:pt>
                <c:pt idx="10">
                  <c:v>143800</c:v>
                </c:pt>
                <c:pt idx="11">
                  <c:v>143800</c:v>
                </c:pt>
                <c:pt idx="12">
                  <c:v>143800</c:v>
                </c:pt>
                <c:pt idx="13">
                  <c:v>143800</c:v>
                </c:pt>
                <c:pt idx="14">
                  <c:v>143800</c:v>
                </c:pt>
                <c:pt idx="15">
                  <c:v>143800</c:v>
                </c:pt>
                <c:pt idx="16">
                  <c:v>143800</c:v>
                </c:pt>
                <c:pt idx="17">
                  <c:v>143800</c:v>
                </c:pt>
                <c:pt idx="18">
                  <c:v>143800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861376"/>
        <c:axId val="291861936"/>
      </c:lineChart>
      <c:dateAx>
        <c:axId val="29186137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91861936"/>
        <c:crosses val="autoZero"/>
        <c:auto val="1"/>
        <c:lblOffset val="100"/>
        <c:baseTimeUnit val="days"/>
        <c:majorUnit val="1"/>
        <c:majorTimeUnit val="months"/>
      </c:dateAx>
      <c:valAx>
        <c:axId val="29186193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zł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2918613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'Wprowadzanie danych'!$G$5</c:f>
              <c:strCache>
                <c:ptCount val="1"/>
                <c:pt idx="0">
                  <c:v>PRZYCHÓD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'Wprowadzanie danych'!$B$6:$B$24</c:f>
              <c:numCache>
                <c:formatCode>m/d/yyyy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'Wprowadzanie danych'!$G$6:$G$24</c:f>
              <c:numCache>
                <c:formatCode>#\ ##0.00\ "zł"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864176"/>
        <c:axId val="291864736"/>
      </c:lineChart>
      <c:dateAx>
        <c:axId val="291864176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291864736"/>
        <c:crosses val="autoZero"/>
        <c:auto val="1"/>
        <c:lblOffset val="100"/>
        <c:baseTimeUnit val="days"/>
        <c:majorUnit val="1"/>
        <c:majorTimeUnit val="months"/>
      </c:dateAx>
      <c:valAx>
        <c:axId val="29186473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\ ##0.00\ &quot;zł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2918641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ognoza sprzeda&#380;y'!A1"/><Relationship Id="rId1" Type="http://schemas.openxmlformats.org/officeDocument/2006/relationships/hyperlink" Target="#'Raport sprzeda&#380;y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ognoza sprzeda&#380;y'!A1"/><Relationship Id="rId1" Type="http://schemas.openxmlformats.org/officeDocument/2006/relationships/hyperlink" Target="#'Wprowadzanie danych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Raport sprzeda&#380;y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Wprowadzanie danych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476251</xdr:colOff>
      <xdr:row>1</xdr:row>
      <xdr:rowOff>85725</xdr:rowOff>
    </xdr:from>
    <xdr:to>
      <xdr:col>6</xdr:col>
      <xdr:colOff>849250</xdr:colOff>
      <xdr:row>1</xdr:row>
      <xdr:rowOff>314325</xdr:rowOff>
    </xdr:to>
    <xdr:sp macro="" textlink="">
      <xdr:nvSpPr>
        <xdr:cNvPr id="2" name="Raport sprzedaży" descr="Click to view Raport sprzedaży sheet." title="Raport sprzedaży navigation button">
          <a:hlinkClick xmlns:r="http://schemas.openxmlformats.org/officeDocument/2006/relationships" r:id="rId1" tooltip="Kliknij, aby wyświetlić arkusz Raport sprzedaży"/>
        </xdr:cNvPr>
        <xdr:cNvSpPr/>
      </xdr:nvSpPr>
      <xdr:spPr>
        <a:xfrm>
          <a:off x="4686301" y="228600"/>
          <a:ext cx="1106424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Raport sprzedaży</a:t>
          </a:r>
        </a:p>
      </xdr:txBody>
    </xdr:sp>
    <xdr:clientData fPrintsWithSheet="0"/>
  </xdr:twoCellAnchor>
  <xdr:twoCellAnchor>
    <xdr:from>
      <xdr:col>6</xdr:col>
      <xdr:colOff>904875</xdr:colOff>
      <xdr:row>1</xdr:row>
      <xdr:rowOff>85726</xdr:rowOff>
    </xdr:from>
    <xdr:to>
      <xdr:col>8</xdr:col>
      <xdr:colOff>414675</xdr:colOff>
      <xdr:row>1</xdr:row>
      <xdr:rowOff>314326</xdr:rowOff>
    </xdr:to>
    <xdr:sp macro="" textlink="">
      <xdr:nvSpPr>
        <xdr:cNvPr id="3" name="Prognoza sprzedaży" descr="Click to view Prognoza sprzedaży sheet." title="Prognoza sprzedaży navigation button">
          <a:hlinkClick xmlns:r="http://schemas.openxmlformats.org/officeDocument/2006/relationships" r:id="rId2" tooltip="Kliknij, aby wyświetlić arkusz Prognoza sprzedaży"/>
        </xdr:cNvPr>
        <xdr:cNvSpPr/>
      </xdr:nvSpPr>
      <xdr:spPr>
        <a:xfrm>
          <a:off x="7315200" y="228601"/>
          <a:ext cx="1414800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Prognoza sprzedaży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514351</xdr:colOff>
      <xdr:row>1</xdr:row>
      <xdr:rowOff>85725</xdr:rowOff>
    </xdr:from>
    <xdr:to>
      <xdr:col>10</xdr:col>
      <xdr:colOff>0</xdr:colOff>
      <xdr:row>1</xdr:row>
      <xdr:rowOff>316125</xdr:rowOff>
    </xdr:to>
    <xdr:sp macro="" textlink="">
      <xdr:nvSpPr>
        <xdr:cNvPr id="7" name="Raport sprzedaży" descr="Click to view Wprowadzanie danych sheet." title="Wprowadzanie danych navigation button">
          <a:hlinkClick xmlns:r="http://schemas.openxmlformats.org/officeDocument/2006/relationships" r:id="rId1" tooltip="Kliknij, aby wyświetlić arkusz Wprowadzanie danych"/>
        </xdr:cNvPr>
        <xdr:cNvSpPr/>
      </xdr:nvSpPr>
      <xdr:spPr>
        <a:xfrm>
          <a:off x="5343526" y="228600"/>
          <a:ext cx="1619249" cy="2304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Wprowadzanie danych</a:t>
          </a:r>
        </a:p>
      </xdr:txBody>
    </xdr:sp>
    <xdr:clientData fPrintsWithSheet="0"/>
  </xdr:twoCellAnchor>
  <xdr:twoCellAnchor>
    <xdr:from>
      <xdr:col>10</xdr:col>
      <xdr:colOff>114300</xdr:colOff>
      <xdr:row>1</xdr:row>
      <xdr:rowOff>85725</xdr:rowOff>
    </xdr:from>
    <xdr:to>
      <xdr:col>12</xdr:col>
      <xdr:colOff>462300</xdr:colOff>
      <xdr:row>1</xdr:row>
      <xdr:rowOff>316125</xdr:rowOff>
    </xdr:to>
    <xdr:sp macro="" textlink="">
      <xdr:nvSpPr>
        <xdr:cNvPr id="8" name="Prognoza sprzedaży" descr="Click to view Prognoza sprzedaży sheet." title="Prognoza sprzedaży navigation button">
          <a:hlinkClick xmlns:r="http://schemas.openxmlformats.org/officeDocument/2006/relationships" r:id="rId2" tooltip="Kliknij, aby wyświetlić arkusz Prognoza sprzedaży"/>
        </xdr:cNvPr>
        <xdr:cNvSpPr/>
      </xdr:nvSpPr>
      <xdr:spPr>
        <a:xfrm>
          <a:off x="7077075" y="228600"/>
          <a:ext cx="1414800" cy="2304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Prognoza sprzedaży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</xdr:row>
      <xdr:rowOff>114300</xdr:rowOff>
    </xdr:from>
    <xdr:to>
      <xdr:col>9</xdr:col>
      <xdr:colOff>876299</xdr:colOff>
      <xdr:row>27</xdr:row>
      <xdr:rowOff>142875</xdr:rowOff>
    </xdr:to>
    <xdr:graphicFrame macro="">
      <xdr:nvGraphicFramePr>
        <xdr:cNvPr id="4" name="Historia sprzedaży" descr="Sales history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30</xdr:row>
      <xdr:rowOff>9525</xdr:rowOff>
    </xdr:from>
    <xdr:to>
      <xdr:col>5</xdr:col>
      <xdr:colOff>141131</xdr:colOff>
      <xdr:row>35</xdr:row>
      <xdr:rowOff>92919</xdr:rowOff>
    </xdr:to>
    <xdr:graphicFrame macro="">
      <xdr:nvGraphicFramePr>
        <xdr:cNvPr id="5" name="Prognoza miesięczna" descr="Month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195264</xdr:colOff>
      <xdr:row>30</xdr:row>
      <xdr:rowOff>9525</xdr:rowOff>
    </xdr:from>
    <xdr:to>
      <xdr:col>9</xdr:col>
      <xdr:colOff>628651</xdr:colOff>
      <xdr:row>35</xdr:row>
      <xdr:rowOff>92919</xdr:rowOff>
    </xdr:to>
    <xdr:graphicFrame macro="">
      <xdr:nvGraphicFramePr>
        <xdr:cNvPr id="6" name="Prognoza kwartalna" descr="Quarte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38</xdr:row>
      <xdr:rowOff>9526</xdr:rowOff>
    </xdr:from>
    <xdr:to>
      <xdr:col>5</xdr:col>
      <xdr:colOff>141131</xdr:colOff>
      <xdr:row>43</xdr:row>
      <xdr:rowOff>57151</xdr:rowOff>
    </xdr:to>
    <xdr:graphicFrame macro="">
      <xdr:nvGraphicFramePr>
        <xdr:cNvPr id="7" name="Prognoza roczna" descr="Yea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198492</xdr:colOff>
      <xdr:row>38</xdr:row>
      <xdr:rowOff>9526</xdr:rowOff>
    </xdr:from>
    <xdr:to>
      <xdr:col>9</xdr:col>
      <xdr:colOff>628651</xdr:colOff>
      <xdr:row>43</xdr:row>
      <xdr:rowOff>64345</xdr:rowOff>
    </xdr:to>
    <xdr:graphicFrame macro="">
      <xdr:nvGraphicFramePr>
        <xdr:cNvPr id="8" name="Strumień przychodów" descr="Revenue stream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504825</xdr:colOff>
      <xdr:row>1</xdr:row>
      <xdr:rowOff>85725</xdr:rowOff>
    </xdr:from>
    <xdr:to>
      <xdr:col>6</xdr:col>
      <xdr:colOff>696849</xdr:colOff>
      <xdr:row>1</xdr:row>
      <xdr:rowOff>314325</xdr:rowOff>
    </xdr:to>
    <xdr:sp macro="" textlink="">
      <xdr:nvSpPr>
        <xdr:cNvPr id="10" name="Raport sprzedaży" descr="Click to view Wprowadzanie danych sheet." title="Wprowadzanie danych navigation button">
          <a:hlinkClick xmlns:r="http://schemas.openxmlformats.org/officeDocument/2006/relationships" r:id="rId6" tooltip="Kliknij, aby wyświetlić arkusz Wprowadzanie danych"/>
        </xdr:cNvPr>
        <xdr:cNvSpPr/>
      </xdr:nvSpPr>
      <xdr:spPr>
        <a:xfrm>
          <a:off x="5667375" y="228600"/>
          <a:ext cx="1382649" cy="22860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Wprowadzanie danych</a:t>
          </a:r>
        </a:p>
      </xdr:txBody>
    </xdr:sp>
    <xdr:clientData fPrintsWithSheet="0"/>
  </xdr:twoCellAnchor>
  <xdr:twoCellAnchor>
    <xdr:from>
      <xdr:col>6</xdr:col>
      <xdr:colOff>752475</xdr:colOff>
      <xdr:row>1</xdr:row>
      <xdr:rowOff>85725</xdr:rowOff>
    </xdr:from>
    <xdr:to>
      <xdr:col>7</xdr:col>
      <xdr:colOff>1076325</xdr:colOff>
      <xdr:row>1</xdr:row>
      <xdr:rowOff>314326</xdr:rowOff>
    </xdr:to>
    <xdr:sp macro="" textlink="">
      <xdr:nvSpPr>
        <xdr:cNvPr id="11" name="Prognoza sprzedaży" descr="Click to view Raport sprzedaży sheet." title="Raport sprzedaży navigation button">
          <a:hlinkClick xmlns:r="http://schemas.openxmlformats.org/officeDocument/2006/relationships" r:id="rId7" tooltip="Kliknij, aby wyświetlić arkusz Raport sprzedaży"/>
        </xdr:cNvPr>
        <xdr:cNvSpPr/>
      </xdr:nvSpPr>
      <xdr:spPr>
        <a:xfrm>
          <a:off x="7248525" y="228600"/>
          <a:ext cx="1704975" cy="228601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Raport sprzedaży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ver Adminstrator" refreshedDate="41246.637911689817" createdVersion="5" refreshedVersion="5" minRefreshableVersion="3" recordCount="19">
  <cacheSource type="worksheet">
    <worksheetSource name="tblDane"/>
  </cacheSource>
  <cacheFields count="16">
    <cacheField name="DATA" numFmtId="14">
      <sharedItems containsSemiMixedTypes="0" containsNonDate="0" containsDate="1" containsString="0" minDate="2013-04-23T00:00:00" maxDate="2013-12-12T00:00:00"/>
    </cacheField>
    <cacheField name="FIRMA" numFmtId="0">
      <sharedItems count="6">
        <s v="A. Datum Corporation"/>
        <s v="Contoso Pharmaceuticals"/>
        <s v="Consolidated Messenger"/>
        <s v="Proseware, Inc."/>
        <s v="Liceum plastyczne"/>
        <s v="Trey Research"/>
      </sharedItems>
    </cacheField>
    <cacheField name="KWOTA" numFmtId="167">
      <sharedItems containsSemiMixedTypes="0" containsString="0" containsNumber="1" containsInteger="1" minValue="4400" maxValue="9500"/>
    </cacheField>
    <cacheField name="PLANOWANE" numFmtId="167">
      <sharedItems containsSemiMixedTypes="0" containsString="0" containsNumber="1" containsInteger="1" minValue="4200" maxValue="10000"/>
    </cacheField>
    <cacheField name="KOSZT" numFmtId="167">
      <sharedItems containsSemiMixedTypes="0" containsString="0" containsNumber="1" containsInteger="1" minValue="2600" maxValue="8500"/>
    </cacheField>
    <cacheField name="PRZYCHÓD" numFmtId="167">
      <sharedItems containsSemiMixedTypes="0" containsString="0" containsNumber="1" containsInteger="1" minValue="900" maxValue="1950"/>
    </cacheField>
    <cacheField name="MIESIĄC" numFmtId="165">
      <sharedItems containsSemiMixedTypes="0" containsNonDate="0" containsDate="1" containsString="0" minDate="2013-04-01T00:00:00" maxDate="2013-12-02T00:00:00" count="9"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KWARTAŁ" numFmtId="168">
      <sharedItems containsSemiMixedTypes="0" containsString="0" containsNumber="1" containsInteger="1" minValue="2" maxValue="4" count="3">
        <n v="2"/>
        <n v="3"/>
        <n v="4"/>
      </sharedItems>
    </cacheField>
    <cacheField name="ROK" numFmtId="0">
      <sharedItems containsSemiMixedTypes="0" containsString="0" containsNumber="1" containsInteger="1" minValue="2013" maxValue="2013" count="1">
        <n v="2013"/>
      </sharedItems>
    </cacheField>
    <cacheField name="NR MIESIĄCA (UKRYTE)" numFmtId="0">
      <sharedItems containsSemiMixedTypes="0" containsString="0" containsNumber="1" containsInteger="1" minValue="4" maxValue="12"/>
    </cacheField>
    <cacheField name="MIESIĄC " numFmtId="167">
      <sharedItems containsSemiMixedTypes="0" containsString="0" containsNumber="1" containsInteger="1" minValue="8700" maxValue="25600"/>
    </cacheField>
    <cacheField name="KWARTAŁ " numFmtId="167">
      <sharedItems containsSemiMixedTypes="0" containsString="0" containsNumber="1" containsInteger="1" minValue="43900" maxValue="50800"/>
    </cacheField>
    <cacheField name="ROCZNIE " numFmtId="167">
      <sharedItems containsSemiMixedTypes="0" containsString="0" containsNumber="1" containsInteger="1" minValue="143800" maxValue="143800"/>
    </cacheField>
    <cacheField name="MIESIĄC  " numFmtId="167">
      <sharedItems containsSemiMixedTypes="0" containsString="0" containsNumber="1" minValue="10776.470588235294" maxValue="29000"/>
    </cacheField>
    <cacheField name="KWARTAŁ  " numFmtId="167">
      <sharedItems containsSemiMixedTypes="0" containsString="0" containsNumber="1" minValue="41288.23529411765" maxValue="50800"/>
    </cacheField>
    <cacheField name="ROK " numFmtId="167">
      <sharedItems containsSemiMixedTypes="0" containsString="0" containsNumber="1" containsInteger="1" minValue="143800" maxValue="14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3-04-23T00:00:00"/>
    <x v="0"/>
    <n v="6400"/>
    <n v="6200"/>
    <n v="4450"/>
    <n v="1950"/>
    <x v="0"/>
    <x v="0"/>
    <x v="0"/>
    <n v="4"/>
    <n v="14600"/>
    <n v="50800"/>
    <n v="143800"/>
    <n v="14600"/>
    <n v="50800"/>
    <n v="143800"/>
  </r>
  <r>
    <d v="2013-04-25T00:00:00"/>
    <x v="1"/>
    <n v="8200"/>
    <n v="8000"/>
    <n v="6400"/>
    <n v="1800"/>
    <x v="0"/>
    <x v="0"/>
    <x v="0"/>
    <n v="4"/>
    <n v="14600"/>
    <n v="50800"/>
    <n v="143800"/>
    <n v="14600"/>
    <n v="50800"/>
    <n v="143800"/>
  </r>
  <r>
    <d v="2013-05-07T00:00:00"/>
    <x v="2"/>
    <n v="4400"/>
    <n v="4200"/>
    <n v="2600"/>
    <n v="1800"/>
    <x v="1"/>
    <x v="0"/>
    <x v="0"/>
    <n v="5"/>
    <n v="21800"/>
    <n v="50800"/>
    <n v="143800"/>
    <n v="28999.999999999996"/>
    <n v="50800"/>
    <n v="143800"/>
  </r>
  <r>
    <d v="2013-05-14T00:00:00"/>
    <x v="3"/>
    <n v="5400"/>
    <n v="5500"/>
    <n v="4500"/>
    <n v="900"/>
    <x v="1"/>
    <x v="0"/>
    <x v="0"/>
    <n v="5"/>
    <n v="21800"/>
    <n v="50800"/>
    <n v="143800"/>
    <n v="29000"/>
    <n v="50800"/>
    <n v="143800"/>
  </r>
  <r>
    <d v="2013-05-14T00:00:00"/>
    <x v="4"/>
    <n v="5800"/>
    <n v="6000"/>
    <n v="4500"/>
    <n v="1300"/>
    <x v="1"/>
    <x v="0"/>
    <x v="0"/>
    <n v="5"/>
    <n v="21800"/>
    <n v="50800"/>
    <n v="143800"/>
    <n v="29000"/>
    <n v="50800"/>
    <n v="143800"/>
  </r>
  <r>
    <d v="2013-05-29T00:00:00"/>
    <x v="5"/>
    <n v="6200"/>
    <n v="6000"/>
    <n v="4500"/>
    <n v="1700"/>
    <x v="1"/>
    <x v="0"/>
    <x v="0"/>
    <n v="5"/>
    <n v="21800"/>
    <n v="50800"/>
    <n v="143800"/>
    <n v="29000"/>
    <n v="50800"/>
    <n v="143800"/>
  </r>
  <r>
    <d v="2013-06-10T00:00:00"/>
    <x v="0"/>
    <n v="6900"/>
    <n v="7500"/>
    <n v="5400"/>
    <n v="1500"/>
    <x v="2"/>
    <x v="0"/>
    <x v="0"/>
    <n v="6"/>
    <n v="14400"/>
    <n v="50800"/>
    <n v="143800"/>
    <n v="21600.000000000004"/>
    <n v="50800"/>
    <n v="143800"/>
  </r>
  <r>
    <d v="2013-06-21T00:00:00"/>
    <x v="1"/>
    <n v="7500"/>
    <n v="7200"/>
    <n v="6500"/>
    <n v="1000"/>
    <x v="2"/>
    <x v="0"/>
    <x v="0"/>
    <n v="6"/>
    <n v="14400"/>
    <n v="50800"/>
    <n v="143800"/>
    <n v="17950"/>
    <n v="50800"/>
    <n v="143800"/>
  </r>
  <r>
    <d v="2013-07-06T00:00:00"/>
    <x v="2"/>
    <n v="8700"/>
    <n v="8500"/>
    <n v="7250"/>
    <n v="1450"/>
    <x v="3"/>
    <x v="1"/>
    <x v="0"/>
    <n v="7"/>
    <n v="8700"/>
    <n v="49100"/>
    <n v="143800"/>
    <n v="10776.470588235294"/>
    <n v="47400"/>
    <n v="143800"/>
  </r>
  <r>
    <d v="2013-08-05T00:00:00"/>
    <x v="3"/>
    <n v="8500"/>
    <n v="8300"/>
    <n v="7100"/>
    <n v="1400"/>
    <x v="4"/>
    <x v="1"/>
    <x v="0"/>
    <n v="8"/>
    <n v="16400"/>
    <n v="49100"/>
    <n v="143800"/>
    <n v="12455.862068965516"/>
    <n v="47400"/>
    <n v="143800"/>
  </r>
  <r>
    <d v="2013-08-19T00:00:00"/>
    <x v="4"/>
    <n v="7900"/>
    <n v="7700"/>
    <n v="6600"/>
    <n v="1300"/>
    <x v="4"/>
    <x v="1"/>
    <x v="0"/>
    <n v="8"/>
    <n v="16400"/>
    <n v="49100"/>
    <n v="143800"/>
    <n v="13667.567567567567"/>
    <n v="47400.000000000007"/>
    <n v="143800"/>
  </r>
  <r>
    <d v="2013-09-04T00:00:00"/>
    <x v="5"/>
    <n v="9100"/>
    <n v="8900"/>
    <n v="7900"/>
    <n v="1200"/>
    <x v="5"/>
    <x v="1"/>
    <x v="0"/>
    <n v="9"/>
    <n v="24000"/>
    <n v="49100"/>
    <n v="143800"/>
    <n v="17651.666666666668"/>
    <n v="47400"/>
    <n v="143800"/>
  </r>
  <r>
    <d v="2013-09-20T00:00:00"/>
    <x v="1"/>
    <n v="5600"/>
    <n v="5800"/>
    <n v="4500"/>
    <n v="1100"/>
    <x v="5"/>
    <x v="1"/>
    <x v="0"/>
    <n v="9"/>
    <n v="24000"/>
    <n v="49100"/>
    <n v="143800"/>
    <n v="19877.911646586344"/>
    <n v="47400"/>
    <n v="143800"/>
  </r>
  <r>
    <d v="2013-09-25T00:00:00"/>
    <x v="2"/>
    <n v="9300"/>
    <n v="9100"/>
    <n v="7500"/>
    <n v="1800"/>
    <x v="5"/>
    <x v="1"/>
    <x v="0"/>
    <n v="9"/>
    <n v="24000"/>
    <n v="49100"/>
    <n v="143800"/>
    <n v="21138.050314465407"/>
    <n v="47400"/>
    <n v="143800"/>
  </r>
  <r>
    <d v="2013-10-15T00:00:00"/>
    <x v="3"/>
    <n v="8800"/>
    <n v="9350"/>
    <n v="7100"/>
    <n v="1700"/>
    <x v="6"/>
    <x v="2"/>
    <x v="0"/>
    <n v="10"/>
    <n v="8800"/>
    <n v="43900"/>
    <n v="143800"/>
    <n v="17951.744186046511"/>
    <n v="43258.139534883725"/>
    <n v="143800"/>
  </r>
  <r>
    <d v="2013-11-05T00:00:00"/>
    <x v="4"/>
    <n v="9100"/>
    <n v="9200"/>
    <n v="7850"/>
    <n v="1250"/>
    <x v="7"/>
    <x v="2"/>
    <x v="0"/>
    <n v="11"/>
    <n v="25600"/>
    <n v="43900"/>
    <n v="143800"/>
    <n v="20556.130108423687"/>
    <n v="42312.903225806447"/>
    <n v="143800"/>
  </r>
  <r>
    <d v="2013-11-26T00:00:00"/>
    <x v="5"/>
    <n v="9000"/>
    <n v="10000"/>
    <n v="7575"/>
    <n v="1425"/>
    <x v="7"/>
    <x v="2"/>
    <x v="0"/>
    <n v="11"/>
    <n v="25600"/>
    <n v="43900"/>
    <n v="143800"/>
    <n v="21997.139141742522"/>
    <n v="41811.111111111109"/>
    <n v="143800"/>
  </r>
  <r>
    <d v="2013-11-30T00:00:00"/>
    <x v="5"/>
    <n v="7500"/>
    <n v="8000"/>
    <n v="5850"/>
    <n v="1650"/>
    <x v="7"/>
    <x v="2"/>
    <x v="0"/>
    <n v="11"/>
    <n v="25600"/>
    <n v="43900"/>
    <n v="143800"/>
    <n v="22917.634523175278"/>
    <n v="41500"/>
    <n v="143800"/>
  </r>
  <r>
    <d v="2013-12-11T00:00:00"/>
    <x v="1"/>
    <n v="9500"/>
    <n v="9200"/>
    <n v="8500"/>
    <n v="1000"/>
    <x v="8"/>
    <x v="2"/>
    <x v="0"/>
    <n v="12"/>
    <n v="9500"/>
    <n v="43900"/>
    <n v="143800"/>
    <n v="20504.314720812181"/>
    <n v="41288.23529411765"/>
    <n v="143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6" applyNumberFormats="0" applyBorderFormats="0" applyFontFormats="0" applyPatternFormats="0" applyAlignmentFormats="0" applyWidthHeightFormats="1" dataCaption="Wartości" updatedVersion="5" minRefreshableVersion="3" showDrill="0" useAutoFormatting="1" itemPrintTitles="1" createdVersion="5" indent="0" outline="1" outlineData="1" multipleFieldFilters="0" rowHeaderCaption="ROK">
  <location ref="B5:F28" firstHeaderRow="1" firstDataRow="1" firstDataCol="4"/>
  <pivotFields count="16">
    <pivotField numFmtId="14" showAll="0"/>
    <pivotField axis="axisRow" outline="0" showAll="0">
      <items count="7">
        <item x="0"/>
        <item x="2"/>
        <item x="1"/>
        <item x="4"/>
        <item x="3"/>
        <item x="5"/>
        <item t="default"/>
      </items>
    </pivotField>
    <pivotField dataField="1" numFmtId="167" showAll="0"/>
    <pivotField numFmtId="167" showAll="0"/>
    <pivotField numFmtId="167" showAll="0"/>
    <pivotField numFmtId="164" showAll="0"/>
    <pivotField axis="axisRow" numFmtId="165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subtotalCaption="Kwartał 2 Suma" numFmtId="166" outline="0" showAll="0">
      <items count="4">
        <item x="0"/>
        <item x="1"/>
        <item x="2"/>
        <item t="default"/>
      </items>
    </pivotField>
    <pivotField axis="axisRow" outline="0" showAll="0">
      <items count="2">
        <item x="0"/>
        <item t="default"/>
      </items>
    </pivotField>
    <pivotField showAll="0"/>
    <pivotField numFmtId="167" showAll="0"/>
    <pivotField numFmtId="167" showAll="0"/>
    <pivotField numFmtId="167" showAll="0"/>
    <pivotField numFmtId="167" showAll="0"/>
    <pivotField numFmtId="167" showAll="0"/>
    <pivotField numFmtId="167" showAll="0"/>
  </pivotFields>
  <rowFields count="4">
    <field x="8"/>
    <field x="7"/>
    <field x="6"/>
    <field x="1"/>
  </rowFields>
  <rowItems count="23">
    <i>
      <x/>
      <x/>
      <x/>
      <x/>
    </i>
    <i r="3">
      <x v="2"/>
    </i>
    <i r="2">
      <x v="1"/>
      <x v="1"/>
    </i>
    <i r="3">
      <x v="3"/>
    </i>
    <i r="3">
      <x v="4"/>
    </i>
    <i r="3">
      <x v="5"/>
    </i>
    <i r="2">
      <x v="2"/>
      <x/>
    </i>
    <i r="3">
      <x v="2"/>
    </i>
    <i t="default" r="1">
      <x/>
    </i>
    <i r="1">
      <x v="1"/>
      <x v="3"/>
      <x v="1"/>
    </i>
    <i r="2">
      <x v="4"/>
      <x v="3"/>
    </i>
    <i r="3">
      <x v="4"/>
    </i>
    <i r="2">
      <x v="5"/>
      <x v="1"/>
    </i>
    <i r="3">
      <x v="2"/>
    </i>
    <i r="3">
      <x v="5"/>
    </i>
    <i t="default" r="1">
      <x v="1"/>
    </i>
    <i r="1">
      <x v="2"/>
      <x v="6"/>
      <x v="4"/>
    </i>
    <i r="2">
      <x v="7"/>
      <x v="3"/>
    </i>
    <i r="3">
      <x v="5"/>
    </i>
    <i r="2">
      <x v="8"/>
      <x v="2"/>
    </i>
    <i t="default" r="1">
      <x v="2"/>
    </i>
    <i t="default">
      <x/>
    </i>
    <i t="grand">
      <x/>
    </i>
  </rowItems>
  <colItems count="1">
    <i/>
  </colItems>
  <dataFields count="1">
    <dataField name="Suma z KWOTA" fld="2" baseField="0" baseItem="0" numFmtId="167"/>
  </dataFields>
  <formats count="17">
    <format dxfId="36">
      <pivotArea field="8" type="button" dataOnly="0" labelOnly="1" outline="0" axis="axisRow" fieldPosition="0"/>
    </format>
    <format dxfId="35">
      <pivotArea field="8" type="button" dataOnly="0" labelOnly="1" outline="0" axis="axisRow" fieldPosition="0"/>
    </format>
    <format dxfId="34">
      <pivotArea dataOnly="0" labelOnly="1" outline="0" axis="axisValues" fieldPosition="0"/>
    </format>
    <format dxfId="33">
      <pivotArea dataOnly="0" labelOnly="1" outline="0" axis="axisValues" fieldPosition="0"/>
    </format>
    <format dxfId="32">
      <pivotArea dataOnly="0" labelOnly="1" fieldPosition="0">
        <references count="1">
          <reference field="8" count="0"/>
        </references>
      </pivotArea>
    </format>
    <format dxfId="31">
      <pivotArea dataOnly="0" labelOnly="1" fieldPosition="0">
        <references count="2">
          <reference field="7" count="1">
            <x v="0"/>
          </reference>
          <reference field="8" count="0" selected="0"/>
        </references>
      </pivotArea>
    </format>
    <format dxfId="30">
      <pivotArea dataOnly="0" labelOnly="1" fieldPosition="0">
        <references count="2">
          <reference field="7" count="1">
            <x v="1"/>
          </reference>
          <reference field="8" count="0" selected="0"/>
        </references>
      </pivotArea>
    </format>
    <format dxfId="29">
      <pivotArea dataOnly="0" labelOnly="1" fieldPosition="0">
        <references count="2">
          <reference field="7" count="1">
            <x v="2"/>
          </reference>
          <reference field="8" count="0" selected="0"/>
        </references>
      </pivotArea>
    </format>
    <format dxfId="28">
      <pivotArea dataOnly="0" labelOnly="1" fieldPosition="0">
        <references count="3">
          <reference field="6" count="3">
            <x v="0"/>
            <x v="1"/>
            <x v="2"/>
          </reference>
          <reference field="7" count="1" selected="0">
            <x v="0"/>
          </reference>
          <reference field="8" count="0" selected="0"/>
        </references>
      </pivotArea>
    </format>
    <format dxfId="27">
      <pivotArea dataOnly="0" labelOnly="1" fieldPosition="0">
        <references count="3">
          <reference field="6" count="3">
            <x v="3"/>
            <x v="4"/>
            <x v="5"/>
          </reference>
          <reference field="7" count="1" selected="0">
            <x v="1"/>
          </reference>
          <reference field="8" count="0" selected="0"/>
        </references>
      </pivotArea>
    </format>
    <format dxfId="26">
      <pivotArea dataOnly="0" labelOnly="1" fieldPosition="0">
        <references count="3">
          <reference field="6" count="3">
            <x v="6"/>
            <x v="7"/>
            <x v="8"/>
          </reference>
          <reference field="7" count="1" selected="0">
            <x v="2"/>
          </reference>
          <reference field="8" count="0" selected="0"/>
        </references>
      </pivotArea>
    </format>
    <format dxfId="25">
      <pivotArea outline="0" collapsedLevelsAreSubtotals="1" fieldPosition="0"/>
    </format>
    <format dxfId="24">
      <pivotArea dataOnly="0" labelOnly="1" fieldPosition="0">
        <references count="1">
          <reference field="8" count="0" defaultSubtotal="1"/>
        </references>
      </pivotArea>
    </format>
    <format dxfId="23">
      <pivotArea outline="0" collapsedLevelsAreSubtotals="1" fieldPosition="0">
        <references count="1">
          <reference field="8" count="0" selected="0" defaultSubtotal="1"/>
        </references>
      </pivotArea>
    </format>
    <format dxfId="22">
      <pivotArea dataOnly="0" labelOnly="1" fieldPosition="0">
        <references count="2">
          <reference field="7" count="1">
            <x v="0"/>
          </reference>
          <reference field="8" count="0" selected="0"/>
        </references>
      </pivotArea>
    </format>
    <format dxfId="21">
      <pivotArea dataOnly="0" labelOnly="1" fieldPosition="0">
        <references count="2">
          <reference field="7" count="1">
            <x v="1"/>
          </reference>
          <reference field="8" count="0" selected="0"/>
        </references>
      </pivotArea>
    </format>
    <format dxfId="20">
      <pivotArea dataOnly="0" labelOnly="1" fieldPosition="0">
        <references count="2">
          <reference field="7" count="1">
            <x v="2"/>
          </reference>
          <reference field="8" count="0" selected="0"/>
        </references>
      </pivotArea>
    </format>
  </formats>
  <pivotTableStyleInfo name="Monthly Raport sprzedaży PivotTable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Dane" displayName="tblDane" ref="B5:Q24" totalsRowShown="0" headerRowDxfId="58" dataDxfId="57">
  <autoFilter ref="B5:Q24"/>
  <tableColumns count="16">
    <tableColumn id="1" name="DATA" dataDxfId="56"/>
    <tableColumn id="2" name="FIRMA" dataDxfId="55"/>
    <tableColumn id="3" name="KWOTA" dataDxfId="54"/>
    <tableColumn id="4" name="PLANOWANE" dataDxfId="53"/>
    <tableColumn id="5" name="KOSZT" dataDxfId="52"/>
    <tableColumn id="16" name="PRZYCHÓD" dataDxfId="51">
      <calculatedColumnFormula>tblDane[[#This Row],[KWOTA]]-tblDane[[#This Row],[KOSZT]]</calculatedColumnFormula>
    </tableColumn>
    <tableColumn id="6" name="MIESIĄC" dataDxfId="50">
      <calculatedColumnFormula>DATE(YEAR('Wprowadzanie danych'!$B6),MONTH('Wprowadzanie danych'!$B6),1)</calculatedColumnFormula>
    </tableColumn>
    <tableColumn id="7" name="KWARTAŁ" dataDxfId="49">
      <calculatedColumnFormula>LOOKUP(MONTH('Wprowadzanie danych'!$H6),{1,1;2,1;3,1;4,2;5,2;6,2;7,3;8,3;9,3;10,4;11,4;12,4})</calculatedColumnFormula>
    </tableColumn>
    <tableColumn id="8" name="ROK" dataDxfId="48">
      <calculatedColumnFormula>YEAR('Wprowadzanie danych'!$B6)</calculatedColumnFormula>
    </tableColumn>
    <tableColumn id="12" name="NR MIESIĄCA (UKRYTE)" dataDxfId="47">
      <calculatedColumnFormula>MONTH(tblDane[[#This Row],[DATA]])</calculatedColumnFormula>
    </tableColumn>
    <tableColumn id="9" name="MIESIĄC " dataDxfId="46">
      <calculatedColumnFormula>SUMIFS(tblDane[KWOTA],tblDane[DATA],"&gt;="&amp;EOMONTH(tblDane[[#This Row],[DATA]],-1)+1,tblDane[DATA],"&lt;="&amp;EOMONTH(tblDane[[#This Row],[DATA]],0))</calculatedColumnFormula>
    </tableColumn>
    <tableColumn id="10" name="KWARTAŁ " dataDxfId="45">
      <calculatedColumnFormula>SUMIFS(tblDane[KWOTA],tblDane[DATA],"&gt;="&amp;DATE(YEAR(tblDane[[#This Row],[DATA]]),1,1),tblDane[DATA],"&lt;="&amp;DATE(YEAR(tblDane[[#This Row],[DATA]]),12,31),tblDane[KWARTAŁ],tblDane[[#This Row],[KWARTAŁ]])</calculatedColumnFormula>
    </tableColumn>
    <tableColumn id="11" name="ROCZNIE " dataDxfId="44">
      <calculatedColumnFormula>SUMIFS(tblDane[KWOTA],tblDane[DATA],"&gt;="&amp;DATE(YEAR(tblDane[[#This Row],[DATA]]),1,1),tblDane[DATA],"&lt;="&amp;DATE(YEAR(tblDane[[#This Row],[DATA]]),12,31))</calculatedColumnFormula>
    </tableColumn>
    <tableColumn id="13" name="MIESIĄC  " dataDxfId="43">
      <calculatedColumnFormula>IFERROR(TREND($L$6:INDEX($L:$L,ROW(),1),$K$6:INDEX($K:$K,ROW(),1),IF(MONTH(tblDane[[#This Row],[DATA]])=12,13,MONTH(tblDane[[#This Row],[DATA]])+1)),"")</calculatedColumnFormula>
    </tableColumn>
    <tableColumn id="14" name="KWARTAŁ  " dataDxfId="42">
      <calculatedColumnFormula>IFERROR(TREND($M$6:INDEX($M:$M,ROW(),1),$I$6:INDEX($I:$I,ROW(),1),IF(tblDane[[#This Row],[KWARTAŁ]]=4,5,tblDane[[#This Row],[KWARTAŁ]]+1)),"")</calculatedColumnFormula>
    </tableColumn>
    <tableColumn id="15" name="ROK " dataDxfId="41">
      <calculatedColumnFormula>IFERROR(TREND($N$6:INDEX($N:$N,ROW(),1),$J$6:INDEX($J:$J,ROW(),1),tblDane[[#This Row],[ROK]]+1),"")</calculatedColumnFormula>
    </tableColumn>
  </tableColumns>
  <tableStyleInfo name="Monthly Raport sprzedaży Table Style" showFirstColumn="0" showLastColumn="0" showRowStripes="0" showColumnStripes="0"/>
  <extLst>
    <ext xmlns:x14="http://schemas.microsoft.com/office/spreadsheetml/2009/9/main" uri="{504A1905-F514-4f6f-8877-14C23A59335A}">
      <x14:table altText="Tabela Wprowadzanie danych miesięcznych" altTextSummary="W tej tabeli wprowadź dane miesięczne, takie jak data, firma, kwota, planowane, koszt, przychód, miesiąc, kwartał i rok. Bieżące i prognozowane dane zostaną obliczone."/>
    </ext>
  </extLst>
</table>
</file>

<file path=xl/theme/theme1.xml><?xml version="1.0" encoding="utf-8"?>
<a:theme xmlns:a="http://schemas.openxmlformats.org/drawingml/2006/main" name="Office Theme">
  <a:themeElements>
    <a:clrScheme name="Monthly Raport sprzedaży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Raport sprzedaży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Q24"/>
  <sheetViews>
    <sheetView showGridLines="0" tabSelected="1" zoomScaleNormal="100" workbookViewId="0"/>
  </sheetViews>
  <sheetFormatPr defaultRowHeight="17.25" customHeight="1" x14ac:dyDescent="0.2"/>
  <cols>
    <col min="1" max="1" width="2" style="3" customWidth="1"/>
    <col min="2" max="2" width="16" style="3" customWidth="1"/>
    <col min="3" max="3" width="37" style="3" customWidth="1"/>
    <col min="4" max="4" width="16.83203125" style="3" customWidth="1"/>
    <col min="5" max="5" width="23.33203125" style="3" customWidth="1"/>
    <col min="6" max="6" width="17" style="3" customWidth="1"/>
    <col min="7" max="7" width="17.6640625" style="3" customWidth="1"/>
    <col min="8" max="8" width="15.6640625" style="3" customWidth="1"/>
    <col min="9" max="9" width="17.5" style="3" customWidth="1"/>
    <col min="10" max="10" width="12.83203125" style="3" customWidth="1"/>
    <col min="11" max="11" width="0.1640625" style="3" customWidth="1"/>
    <col min="12" max="12" width="13.83203125" style="3" customWidth="1"/>
    <col min="13" max="13" width="16.33203125" style="3" customWidth="1"/>
    <col min="14" max="14" width="13.83203125" style="3" customWidth="1"/>
    <col min="15" max="15" width="14" style="3" customWidth="1"/>
    <col min="16" max="16" width="16.6640625" style="3" customWidth="1"/>
    <col min="17" max="17" width="12.6640625" style="3" customWidth="1"/>
    <col min="18" max="16384" width="9.33203125" style="3"/>
  </cols>
  <sheetData>
    <row r="1" spans="2:17" customFormat="1" ht="11.25" customHeight="1" x14ac:dyDescent="0.2">
      <c r="J1">
        <f>365*2</f>
        <v>730</v>
      </c>
    </row>
    <row r="2" spans="2:17" customFormat="1" ht="33.75" customHeight="1" x14ac:dyDescent="0.2">
      <c r="B2" s="2" t="s">
        <v>15</v>
      </c>
    </row>
    <row r="3" spans="2:17" customFormat="1" ht="17.25" customHeight="1" x14ac:dyDescent="0.2">
      <c r="L3" s="23" t="s">
        <v>31</v>
      </c>
      <c r="M3" s="6"/>
      <c r="N3" s="6"/>
      <c r="O3" s="23" t="s">
        <v>30</v>
      </c>
      <c r="P3" s="6"/>
      <c r="Q3" s="6"/>
    </row>
    <row r="4" spans="2:17" customFormat="1" ht="11.25" customHeight="1" x14ac:dyDescent="0.2">
      <c r="L4" s="24"/>
      <c r="M4" s="25"/>
      <c r="N4" s="26"/>
      <c r="O4" s="24"/>
      <c r="P4" s="25"/>
      <c r="Q4" s="26"/>
    </row>
    <row r="5" spans="2:17" ht="17.25" customHeight="1" x14ac:dyDescent="0.2">
      <c r="B5" s="46" t="s">
        <v>23</v>
      </c>
      <c r="C5" s="46" t="s">
        <v>24</v>
      </c>
      <c r="D5" s="35" t="s">
        <v>25</v>
      </c>
      <c r="E5" s="35" t="s">
        <v>26</v>
      </c>
      <c r="F5" s="35" t="s">
        <v>27</v>
      </c>
      <c r="G5" s="35" t="s">
        <v>28</v>
      </c>
      <c r="H5" s="35" t="s">
        <v>16</v>
      </c>
      <c r="I5" s="35" t="s">
        <v>17</v>
      </c>
      <c r="J5" s="35" t="s">
        <v>21</v>
      </c>
      <c r="K5" s="35" t="s">
        <v>29</v>
      </c>
      <c r="L5" s="35" t="s">
        <v>18</v>
      </c>
      <c r="M5" s="35" t="s">
        <v>19</v>
      </c>
      <c r="N5" s="35" t="s">
        <v>20</v>
      </c>
      <c r="O5" s="35" t="s">
        <v>50</v>
      </c>
      <c r="P5" s="35" t="s">
        <v>51</v>
      </c>
      <c r="Q5" s="35" t="s">
        <v>22</v>
      </c>
    </row>
    <row r="6" spans="2:17" ht="17.25" customHeight="1" x14ac:dyDescent="0.2">
      <c r="B6" s="47">
        <f>40657+(365*2)</f>
        <v>41387</v>
      </c>
      <c r="C6" s="4" t="s">
        <v>0</v>
      </c>
      <c r="D6" s="49">
        <v>6400</v>
      </c>
      <c r="E6" s="49">
        <v>6200</v>
      </c>
      <c r="F6" s="49">
        <v>4450</v>
      </c>
      <c r="G6" s="62">
        <f>tblDane[[#This Row],[KWOTA]]-tblDane[[#This Row],[KOSZT]]</f>
        <v>1950</v>
      </c>
      <c r="H6" s="5">
        <f>DATE(YEAR('Wprowadzanie danych'!$B6),MONTH('Wprowadzanie danych'!$B6),1)</f>
        <v>41365</v>
      </c>
      <c r="I6" s="61">
        <f>LOOKUP(MONTH('Wprowadzanie danych'!$H6),{1,1;2,1;3,1;4,2;5,2;6,2;7,3;8,3;9,3;10,4;11,4;12,4})</f>
        <v>2</v>
      </c>
      <c r="J6" s="7">
        <f>YEAR('Wprowadzanie danych'!$B6)</f>
        <v>2013</v>
      </c>
      <c r="K6" s="8">
        <f>MONTH(tblDane[[#This Row],[DATA]])</f>
        <v>4</v>
      </c>
      <c r="L6" s="50">
        <f>SUMIFS(tblDane[KWOTA],tblDane[DATA],"&gt;="&amp;EOMONTH(tblDane[[#This Row],[DATA]],-1)+1,tblDane[DATA],"&lt;="&amp;EOMONTH(tblDane[[#This Row],[DATA]],0))</f>
        <v>14600</v>
      </c>
      <c r="M6" s="50">
        <f>SUMIFS(tblDane[KWOTA],tblDane[DATA],"&gt;="&amp;DATE(YEAR(tblDane[[#This Row],[DATA]]),1,1),tblDane[DATA],"&lt;="&amp;DATE(YEAR(tblDane[[#This Row],[DATA]]),12,31),tblDane[KWARTAŁ],tblDane[[#This Row],[KWARTAŁ]])</f>
        <v>50800</v>
      </c>
      <c r="N6" s="50">
        <f>SUMIFS(tblDane[KWOTA],tblDane[DATA],"&gt;="&amp;DATE(YEAR(tblDane[[#This Row],[DATA]]),1,1),tblDane[DATA],"&lt;="&amp;DATE(YEAR(tblDane[[#This Row],[DATA]]),12,31))</f>
        <v>143800</v>
      </c>
      <c r="O6" s="51">
        <f>IFERROR(TREND($L$6:INDEX($L:$L,ROW(),1),$K$6:INDEX($K:$K,ROW(),1),IF(MONTH(tblDane[[#This Row],[DATA]])=12,13,MONTH(tblDane[[#This Row],[DATA]])+1)),"")</f>
        <v>14600</v>
      </c>
      <c r="P6" s="51">
        <f>IFERROR(TREND($M$6:INDEX($M:$M,ROW(),1),$I$6:INDEX($I:$I,ROW(),1),IF(tblDane[[#This Row],[KWARTAŁ]]=4,5,tblDane[[#This Row],[KWARTAŁ]]+1)),"")</f>
        <v>50800</v>
      </c>
      <c r="Q6" s="51">
        <f>IFERROR(TREND($N$6:INDEX($N:$N,ROW(),1),$J$6:INDEX($J:$J,ROW(),1),tblDane[[#This Row],[ROK]]+1),"")</f>
        <v>143800</v>
      </c>
    </row>
    <row r="7" spans="2:17" ht="17.25" customHeight="1" x14ac:dyDescent="0.2">
      <c r="B7" s="47">
        <f>40659+(365*2)</f>
        <v>41389</v>
      </c>
      <c r="C7" s="4" t="s">
        <v>1</v>
      </c>
      <c r="D7" s="49">
        <v>8200</v>
      </c>
      <c r="E7" s="49">
        <v>8000</v>
      </c>
      <c r="F7" s="49">
        <v>6400</v>
      </c>
      <c r="G7" s="62">
        <f>tblDane[[#This Row],[KWOTA]]-tblDane[[#This Row],[KOSZT]]</f>
        <v>1800</v>
      </c>
      <c r="H7" s="5">
        <f>DATE(YEAR('Wprowadzanie danych'!$B7),MONTH('Wprowadzanie danych'!$B7),1)</f>
        <v>41365</v>
      </c>
      <c r="I7" s="61">
        <f>LOOKUP(MONTH('Wprowadzanie danych'!$H7),{1,1;2,1;3,1;4,2;5,2;6,2;7,3;8,3;9,3;10,4;11,4;12,4})</f>
        <v>2</v>
      </c>
      <c r="J7" s="7">
        <f>YEAR('Wprowadzanie danych'!$B7)</f>
        <v>2013</v>
      </c>
      <c r="K7" s="8">
        <f>MONTH(tblDane[[#This Row],[DATA]])</f>
        <v>4</v>
      </c>
      <c r="L7" s="50">
        <f>SUMIFS(tblDane[KWOTA],tblDane[DATA],"&gt;="&amp;EOMONTH(tblDane[[#This Row],[DATA]],-1)+1,tblDane[DATA],"&lt;="&amp;EOMONTH(tblDane[[#This Row],[DATA]],0))</f>
        <v>14600</v>
      </c>
      <c r="M7" s="50">
        <f>SUMIFS(tblDane[KWOTA],tblDane[DATA],"&gt;="&amp;DATE(YEAR(tblDane[[#This Row],[DATA]]),1,1),tblDane[DATA],"&lt;="&amp;DATE(YEAR(tblDane[[#This Row],[DATA]]),12,31),tblDane[KWARTAŁ],tblDane[[#This Row],[KWARTAŁ]])</f>
        <v>50800</v>
      </c>
      <c r="N7" s="50">
        <f>SUMIFS(tblDane[KWOTA],tblDane[DATA],"&gt;="&amp;DATE(YEAR(tblDane[[#This Row],[DATA]]),1,1),tblDane[DATA],"&lt;="&amp;DATE(YEAR(tblDane[[#This Row],[DATA]]),12,31))</f>
        <v>143800</v>
      </c>
      <c r="O7" s="51">
        <f>IFERROR(TREND($L$6:INDEX($L:$L,ROW(),1),$K$6:INDEX($K:$K,ROW(),1),IF(MONTH(tblDane[[#This Row],[DATA]])=12,13,MONTH(tblDane[[#This Row],[DATA]])+1)),"")</f>
        <v>14600</v>
      </c>
      <c r="P7" s="51">
        <f>IFERROR(TREND($M$6:INDEX($M:$M,ROW(),1),$I$6:INDEX($I:$I,ROW(),1),IF(tblDane[[#This Row],[KWARTAŁ]]=4,5,tblDane[[#This Row],[KWARTAŁ]]+1)),"")</f>
        <v>50800</v>
      </c>
      <c r="Q7" s="51">
        <f>IFERROR(TREND($N$6:INDEX($N:$N,ROW(),1),$J$6:INDEX($J:$J,ROW(),1),tblDane[[#This Row],[ROK]]+1),"")</f>
        <v>143800</v>
      </c>
    </row>
    <row r="8" spans="2:17" ht="17.25" customHeight="1" x14ac:dyDescent="0.2">
      <c r="B8" s="47">
        <f>40671+(365*2)</f>
        <v>41401</v>
      </c>
      <c r="C8" s="4" t="s">
        <v>2</v>
      </c>
      <c r="D8" s="49">
        <v>4400</v>
      </c>
      <c r="E8" s="49">
        <v>4200</v>
      </c>
      <c r="F8" s="49">
        <v>2600</v>
      </c>
      <c r="G8" s="62">
        <f>tblDane[[#This Row],[KWOTA]]-tblDane[[#This Row],[KOSZT]]</f>
        <v>1800</v>
      </c>
      <c r="H8" s="5">
        <f>DATE(YEAR('Wprowadzanie danych'!$B8),MONTH('Wprowadzanie danych'!$B8),1)</f>
        <v>41395</v>
      </c>
      <c r="I8" s="61">
        <f>LOOKUP(MONTH('Wprowadzanie danych'!$H8),{1,1;2,1;3,1;4,2;5,2;6,2;7,3;8,3;9,3;10,4;11,4;12,4})</f>
        <v>2</v>
      </c>
      <c r="J8" s="7">
        <f>YEAR('Wprowadzanie danych'!$B8)</f>
        <v>2013</v>
      </c>
      <c r="K8" s="8">
        <f>MONTH(tblDane[[#This Row],[DATA]])</f>
        <v>5</v>
      </c>
      <c r="L8" s="50">
        <f>SUMIFS(tblDane[KWOTA],tblDane[DATA],"&gt;="&amp;EOMONTH(tblDane[[#This Row],[DATA]],-1)+1,tblDane[DATA],"&lt;="&amp;EOMONTH(tblDane[[#This Row],[DATA]],0))</f>
        <v>21800</v>
      </c>
      <c r="M8" s="50">
        <f>SUMIFS(tblDane[KWOTA],tblDane[DATA],"&gt;="&amp;DATE(YEAR(tblDane[[#This Row],[DATA]]),1,1),tblDane[DATA],"&lt;="&amp;DATE(YEAR(tblDane[[#This Row],[DATA]]),12,31),tblDane[KWARTAŁ],tblDane[[#This Row],[KWARTAŁ]])</f>
        <v>50800</v>
      </c>
      <c r="N8" s="50">
        <f>SUMIFS(tblDane[KWOTA],tblDane[DATA],"&gt;="&amp;DATE(YEAR(tblDane[[#This Row],[DATA]]),1,1),tblDane[DATA],"&lt;="&amp;DATE(YEAR(tblDane[[#This Row],[DATA]]),12,31))</f>
        <v>143800</v>
      </c>
      <c r="O8" s="51">
        <f>IFERROR(TREND($L$6:INDEX($L:$L,ROW(),1),$K$6:INDEX($K:$K,ROW(),1),IF(MONTH(tblDane[[#This Row],[DATA]])=12,13,MONTH(tblDane[[#This Row],[DATA]])+1)),"")</f>
        <v>28999.999999999996</v>
      </c>
      <c r="P8" s="51">
        <f>IFERROR(TREND($M$6:INDEX($M:$M,ROW(),1),$I$6:INDEX($I:$I,ROW(),1),IF(tblDane[[#This Row],[KWARTAŁ]]=4,5,tblDane[[#This Row],[KWARTAŁ]]+1)),"")</f>
        <v>50800</v>
      </c>
      <c r="Q8" s="51">
        <f>IFERROR(TREND($N$6:INDEX($N:$N,ROW(),1),$J$6:INDEX($J:$J,ROW(),1),tblDane[[#This Row],[ROK]]+1),"")</f>
        <v>143800</v>
      </c>
    </row>
    <row r="9" spans="2:17" ht="17.25" customHeight="1" x14ac:dyDescent="0.2">
      <c r="B9" s="47">
        <f>40678+(365*2)</f>
        <v>41408</v>
      </c>
      <c r="C9" s="4" t="s">
        <v>3</v>
      </c>
      <c r="D9" s="49">
        <v>5400</v>
      </c>
      <c r="E9" s="49">
        <v>5500</v>
      </c>
      <c r="F9" s="49">
        <v>4500</v>
      </c>
      <c r="G9" s="62">
        <f>tblDane[[#This Row],[KWOTA]]-tblDane[[#This Row],[KOSZT]]</f>
        <v>900</v>
      </c>
      <c r="H9" s="5">
        <f>DATE(YEAR('Wprowadzanie danych'!$B9),MONTH('Wprowadzanie danych'!$B9),1)</f>
        <v>41395</v>
      </c>
      <c r="I9" s="61">
        <f>LOOKUP(MONTH('Wprowadzanie danych'!$H9),{1,1;2,1;3,1;4,2;5,2;6,2;7,3;8,3;9,3;10,4;11,4;12,4})</f>
        <v>2</v>
      </c>
      <c r="J9" s="7">
        <f>YEAR('Wprowadzanie danych'!$B9)</f>
        <v>2013</v>
      </c>
      <c r="K9" s="8">
        <f>MONTH(tblDane[[#This Row],[DATA]])</f>
        <v>5</v>
      </c>
      <c r="L9" s="50">
        <f>SUMIFS(tblDane[KWOTA],tblDane[DATA],"&gt;="&amp;EOMONTH(tblDane[[#This Row],[DATA]],-1)+1,tblDane[DATA],"&lt;="&amp;EOMONTH(tblDane[[#This Row],[DATA]],0))</f>
        <v>21800</v>
      </c>
      <c r="M9" s="50">
        <f>SUMIFS(tblDane[KWOTA],tblDane[DATA],"&gt;="&amp;DATE(YEAR(tblDane[[#This Row],[DATA]]),1,1),tblDane[DATA],"&lt;="&amp;DATE(YEAR(tblDane[[#This Row],[DATA]]),12,31),tblDane[KWARTAŁ],tblDane[[#This Row],[KWARTAŁ]])</f>
        <v>50800</v>
      </c>
      <c r="N9" s="50">
        <f>SUMIFS(tblDane[KWOTA],tblDane[DATA],"&gt;="&amp;DATE(YEAR(tblDane[[#This Row],[DATA]]),1,1),tblDane[DATA],"&lt;="&amp;DATE(YEAR(tblDane[[#This Row],[DATA]]),12,31))</f>
        <v>143800</v>
      </c>
      <c r="O9" s="51">
        <f>IFERROR(TREND($L$6:INDEX($L:$L,ROW(),1),$K$6:INDEX($K:$K,ROW(),1),IF(MONTH(tblDane[[#This Row],[DATA]])=12,13,MONTH(tblDane[[#This Row],[DATA]])+1)),"")</f>
        <v>29000</v>
      </c>
      <c r="P9" s="51">
        <f>IFERROR(TREND($M$6:INDEX($M:$M,ROW(),1),$I$6:INDEX($I:$I,ROW(),1),IF(tblDane[[#This Row],[KWARTAŁ]]=4,5,tblDane[[#This Row],[KWARTAŁ]]+1)),"")</f>
        <v>50800</v>
      </c>
      <c r="Q9" s="51">
        <f>IFERROR(TREND($N$6:INDEX($N:$N,ROW(),1),$J$6:INDEX($J:$J,ROW(),1),tblDane[[#This Row],[ROK]]+1),"")</f>
        <v>143800</v>
      </c>
    </row>
    <row r="10" spans="2:17" ht="17.25" customHeight="1" x14ac:dyDescent="0.2">
      <c r="B10" s="47">
        <f>40678+(365*2)</f>
        <v>41408</v>
      </c>
      <c r="C10" s="4" t="s">
        <v>4</v>
      </c>
      <c r="D10" s="49">
        <v>5800</v>
      </c>
      <c r="E10" s="49">
        <v>6000</v>
      </c>
      <c r="F10" s="49">
        <v>4500</v>
      </c>
      <c r="G10" s="62">
        <f>tblDane[[#This Row],[KWOTA]]-tblDane[[#This Row],[KOSZT]]</f>
        <v>1300</v>
      </c>
      <c r="H10" s="5">
        <f>DATE(YEAR('Wprowadzanie danych'!$B10),MONTH('Wprowadzanie danych'!$B10),1)</f>
        <v>41395</v>
      </c>
      <c r="I10" s="61">
        <f>LOOKUP(MONTH('Wprowadzanie danych'!$H10),{1,1;2,1;3,1;4,2;5,2;6,2;7,3;8,3;9,3;10,4;11,4;12,4})</f>
        <v>2</v>
      </c>
      <c r="J10" s="7">
        <f>YEAR('Wprowadzanie danych'!$B10)</f>
        <v>2013</v>
      </c>
      <c r="K10" s="8">
        <f>MONTH(tblDane[[#This Row],[DATA]])</f>
        <v>5</v>
      </c>
      <c r="L10" s="50">
        <f>SUMIFS(tblDane[KWOTA],tblDane[DATA],"&gt;="&amp;EOMONTH(tblDane[[#This Row],[DATA]],-1)+1,tblDane[DATA],"&lt;="&amp;EOMONTH(tblDane[[#This Row],[DATA]],0))</f>
        <v>21800</v>
      </c>
      <c r="M10" s="50">
        <f>SUMIFS(tblDane[KWOTA],tblDane[DATA],"&gt;="&amp;DATE(YEAR(tblDane[[#This Row],[DATA]]),1,1),tblDane[DATA],"&lt;="&amp;DATE(YEAR(tblDane[[#This Row],[DATA]]),12,31),tblDane[KWARTAŁ],tblDane[[#This Row],[KWARTAŁ]])</f>
        <v>50800</v>
      </c>
      <c r="N10" s="50">
        <f>SUMIFS(tblDane[KWOTA],tblDane[DATA],"&gt;="&amp;DATE(YEAR(tblDane[[#This Row],[DATA]]),1,1),tblDane[DATA],"&lt;="&amp;DATE(YEAR(tblDane[[#This Row],[DATA]]),12,31))</f>
        <v>143800</v>
      </c>
      <c r="O10" s="51">
        <f>IFERROR(TREND($L$6:INDEX($L:$L,ROW(),1),$K$6:INDEX($K:$K,ROW(),1),IF(MONTH(tblDane[[#This Row],[DATA]])=12,13,MONTH(tblDane[[#This Row],[DATA]])+1)),"")</f>
        <v>29000</v>
      </c>
      <c r="P10" s="51">
        <f>IFERROR(TREND($M$6:INDEX($M:$M,ROW(),1),$I$6:INDEX($I:$I,ROW(),1),IF(tblDane[[#This Row],[KWARTAŁ]]=4,5,tblDane[[#This Row],[KWARTAŁ]]+1)),"")</f>
        <v>50800</v>
      </c>
      <c r="Q10" s="51">
        <f>IFERROR(TREND($N$6:INDEX($N:$N,ROW(),1),$J$6:INDEX($J:$J,ROW(),1),tblDane[[#This Row],[ROK]]+1),"")</f>
        <v>143800</v>
      </c>
    </row>
    <row r="11" spans="2:17" ht="17.25" customHeight="1" x14ac:dyDescent="0.2">
      <c r="B11" s="47">
        <f>40693+(365*2)</f>
        <v>41423</v>
      </c>
      <c r="C11" s="4" t="s">
        <v>5</v>
      </c>
      <c r="D11" s="49">
        <v>6200</v>
      </c>
      <c r="E11" s="49">
        <v>6000</v>
      </c>
      <c r="F11" s="49">
        <v>4500</v>
      </c>
      <c r="G11" s="62">
        <f>tblDane[[#This Row],[KWOTA]]-tblDane[[#This Row],[KOSZT]]</f>
        <v>1700</v>
      </c>
      <c r="H11" s="5">
        <f>DATE(YEAR('Wprowadzanie danych'!$B11),MONTH('Wprowadzanie danych'!$B11),1)</f>
        <v>41395</v>
      </c>
      <c r="I11" s="61">
        <f>LOOKUP(MONTH('Wprowadzanie danych'!$H11),{1,1;2,1;3,1;4,2;5,2;6,2;7,3;8,3;9,3;10,4;11,4;12,4})</f>
        <v>2</v>
      </c>
      <c r="J11" s="7">
        <f>YEAR('Wprowadzanie danych'!$B11)</f>
        <v>2013</v>
      </c>
      <c r="K11" s="8">
        <f>MONTH(tblDane[[#This Row],[DATA]])</f>
        <v>5</v>
      </c>
      <c r="L11" s="50">
        <f>SUMIFS(tblDane[KWOTA],tblDane[DATA],"&gt;="&amp;EOMONTH(tblDane[[#This Row],[DATA]],-1)+1,tblDane[DATA],"&lt;="&amp;EOMONTH(tblDane[[#This Row],[DATA]],0))</f>
        <v>21800</v>
      </c>
      <c r="M11" s="50">
        <f>SUMIFS(tblDane[KWOTA],tblDane[DATA],"&gt;="&amp;DATE(YEAR(tblDane[[#This Row],[DATA]]),1,1),tblDane[DATA],"&lt;="&amp;DATE(YEAR(tblDane[[#This Row],[DATA]]),12,31),tblDane[KWARTAŁ],tblDane[[#This Row],[KWARTAŁ]])</f>
        <v>50800</v>
      </c>
      <c r="N11" s="50">
        <f>SUMIFS(tblDane[KWOTA],tblDane[DATA],"&gt;="&amp;DATE(YEAR(tblDane[[#This Row],[DATA]]),1,1),tblDane[DATA],"&lt;="&amp;DATE(YEAR(tblDane[[#This Row],[DATA]]),12,31))</f>
        <v>143800</v>
      </c>
      <c r="O11" s="51">
        <f>IFERROR(TREND($L$6:INDEX($L:$L,ROW(),1),$K$6:INDEX($K:$K,ROW(),1),IF(MONTH(tblDane[[#This Row],[DATA]])=12,13,MONTH(tblDane[[#This Row],[DATA]])+1)),"")</f>
        <v>29000</v>
      </c>
      <c r="P11" s="51">
        <f>IFERROR(TREND($M$6:INDEX($M:$M,ROW(),1),$I$6:INDEX($I:$I,ROW(),1),IF(tblDane[[#This Row],[KWARTAŁ]]=4,5,tblDane[[#This Row],[KWARTAŁ]]+1)),"")</f>
        <v>50800</v>
      </c>
      <c r="Q11" s="51">
        <f>IFERROR(TREND($N$6:INDEX($N:$N,ROW(),1),$J$6:INDEX($J:$J,ROW(),1),tblDane[[#This Row],[ROK]]+1),"")</f>
        <v>143800</v>
      </c>
    </row>
    <row r="12" spans="2:17" ht="17.25" customHeight="1" x14ac:dyDescent="0.2">
      <c r="B12" s="47">
        <f>40705+(365*2)</f>
        <v>41435</v>
      </c>
      <c r="C12" s="4" t="s">
        <v>0</v>
      </c>
      <c r="D12" s="49">
        <v>6900</v>
      </c>
      <c r="E12" s="49">
        <v>7500</v>
      </c>
      <c r="F12" s="49">
        <v>5400</v>
      </c>
      <c r="G12" s="62">
        <f>tblDane[[#This Row],[KWOTA]]-tblDane[[#This Row],[KOSZT]]</f>
        <v>1500</v>
      </c>
      <c r="H12" s="5">
        <f>DATE(YEAR('Wprowadzanie danych'!$B12),MONTH('Wprowadzanie danych'!$B12),1)</f>
        <v>41426</v>
      </c>
      <c r="I12" s="61">
        <f>LOOKUP(MONTH('Wprowadzanie danych'!$H12),{1,1;2,1;3,1;4,2;5,2;6,2;7,3;8,3;9,3;10,4;11,4;12,4})</f>
        <v>2</v>
      </c>
      <c r="J12" s="7">
        <f>YEAR('Wprowadzanie danych'!$B12)</f>
        <v>2013</v>
      </c>
      <c r="K12" s="8">
        <f>MONTH(tblDane[[#This Row],[DATA]])</f>
        <v>6</v>
      </c>
      <c r="L12" s="50">
        <f>SUMIFS(tblDane[KWOTA],tblDane[DATA],"&gt;="&amp;EOMONTH(tblDane[[#This Row],[DATA]],-1)+1,tblDane[DATA],"&lt;="&amp;EOMONTH(tblDane[[#This Row],[DATA]],0))</f>
        <v>14400</v>
      </c>
      <c r="M12" s="50">
        <f>SUMIFS(tblDane[KWOTA],tblDane[DATA],"&gt;="&amp;DATE(YEAR(tblDane[[#This Row],[DATA]]),1,1),tblDane[DATA],"&lt;="&amp;DATE(YEAR(tblDane[[#This Row],[DATA]]),12,31),tblDane[KWARTAŁ],tblDane[[#This Row],[KWARTAŁ]])</f>
        <v>50800</v>
      </c>
      <c r="N12" s="50">
        <f>SUMIFS(tblDane[KWOTA],tblDane[DATA],"&gt;="&amp;DATE(YEAR(tblDane[[#This Row],[DATA]]),1,1),tblDane[DATA],"&lt;="&amp;DATE(YEAR(tblDane[[#This Row],[DATA]]),12,31))</f>
        <v>143800</v>
      </c>
      <c r="O12" s="51">
        <f>IFERROR(TREND($L$6:INDEX($L:$L,ROW(),1),$K$6:INDEX($K:$K,ROW(),1),IF(MONTH(tblDane[[#This Row],[DATA]])=12,13,MONTH(tblDane[[#This Row],[DATA]])+1)),"")</f>
        <v>21600.000000000004</v>
      </c>
      <c r="P12" s="51">
        <f>IFERROR(TREND($M$6:INDEX($M:$M,ROW(),1),$I$6:INDEX($I:$I,ROW(),1),IF(tblDane[[#This Row],[KWARTAŁ]]=4,5,tblDane[[#This Row],[KWARTAŁ]]+1)),"")</f>
        <v>50800</v>
      </c>
      <c r="Q12" s="51">
        <f>IFERROR(TREND($N$6:INDEX($N:$N,ROW(),1),$J$6:INDEX($J:$J,ROW(),1),tblDane[[#This Row],[ROK]]+1),"")</f>
        <v>143800</v>
      </c>
    </row>
    <row r="13" spans="2:17" ht="17.25" customHeight="1" x14ac:dyDescent="0.2">
      <c r="B13" s="47">
        <f>40716+(365*2)</f>
        <v>41446</v>
      </c>
      <c r="C13" s="4" t="s">
        <v>1</v>
      </c>
      <c r="D13" s="49">
        <v>7500</v>
      </c>
      <c r="E13" s="49">
        <v>7200</v>
      </c>
      <c r="F13" s="49">
        <v>6500</v>
      </c>
      <c r="G13" s="62">
        <f>tblDane[[#This Row],[KWOTA]]-tblDane[[#This Row],[KOSZT]]</f>
        <v>1000</v>
      </c>
      <c r="H13" s="5">
        <f>DATE(YEAR('Wprowadzanie danych'!$B13),MONTH('Wprowadzanie danych'!$B13),1)</f>
        <v>41426</v>
      </c>
      <c r="I13" s="61">
        <f>LOOKUP(MONTH('Wprowadzanie danych'!$H13),{1,1;2,1;3,1;4,2;5,2;6,2;7,3;8,3;9,3;10,4;11,4;12,4})</f>
        <v>2</v>
      </c>
      <c r="J13" s="7">
        <f>YEAR('Wprowadzanie danych'!$B13)</f>
        <v>2013</v>
      </c>
      <c r="K13" s="8">
        <f>MONTH(tblDane[[#This Row],[DATA]])</f>
        <v>6</v>
      </c>
      <c r="L13" s="50">
        <f>SUMIFS(tblDane[KWOTA],tblDane[DATA],"&gt;="&amp;EOMONTH(tblDane[[#This Row],[DATA]],-1)+1,tblDane[DATA],"&lt;="&amp;EOMONTH(tblDane[[#This Row],[DATA]],0))</f>
        <v>14400</v>
      </c>
      <c r="M13" s="50">
        <f>SUMIFS(tblDane[KWOTA],tblDane[DATA],"&gt;="&amp;DATE(YEAR(tblDane[[#This Row],[DATA]]),1,1),tblDane[DATA],"&lt;="&amp;DATE(YEAR(tblDane[[#This Row],[DATA]]),12,31),tblDane[KWARTAŁ],tblDane[[#This Row],[KWARTAŁ]])</f>
        <v>50800</v>
      </c>
      <c r="N13" s="50">
        <f>SUMIFS(tblDane[KWOTA],tblDane[DATA],"&gt;="&amp;DATE(YEAR(tblDane[[#This Row],[DATA]]),1,1),tblDane[DATA],"&lt;="&amp;DATE(YEAR(tblDane[[#This Row],[DATA]]),12,31))</f>
        <v>143800</v>
      </c>
      <c r="O13" s="51">
        <f>IFERROR(TREND($L$6:INDEX($L:$L,ROW(),1),$K$6:INDEX($K:$K,ROW(),1),IF(MONTH(tblDane[[#This Row],[DATA]])=12,13,MONTH(tblDane[[#This Row],[DATA]])+1)),"")</f>
        <v>17950</v>
      </c>
      <c r="P13" s="51">
        <f>IFERROR(TREND($M$6:INDEX($M:$M,ROW(),1),$I$6:INDEX($I:$I,ROW(),1),IF(tblDane[[#This Row],[KWARTAŁ]]=4,5,tblDane[[#This Row],[KWARTAŁ]]+1)),"")</f>
        <v>50800</v>
      </c>
      <c r="Q13" s="51">
        <f>IFERROR(TREND($N$6:INDEX($N:$N,ROW(),1),$J$6:INDEX($J:$J,ROW(),1),tblDane[[#This Row],[ROK]]+1),"")</f>
        <v>143800</v>
      </c>
    </row>
    <row r="14" spans="2:17" ht="17.25" customHeight="1" x14ac:dyDescent="0.2">
      <c r="B14" s="47">
        <f>40731+(365*2)</f>
        <v>41461</v>
      </c>
      <c r="C14" s="4" t="s">
        <v>2</v>
      </c>
      <c r="D14" s="49">
        <v>8700</v>
      </c>
      <c r="E14" s="49">
        <v>8500</v>
      </c>
      <c r="F14" s="49">
        <v>7250</v>
      </c>
      <c r="G14" s="62">
        <f>tblDane[[#This Row],[KWOTA]]-tblDane[[#This Row],[KOSZT]]</f>
        <v>1450</v>
      </c>
      <c r="H14" s="5">
        <f>DATE(YEAR('Wprowadzanie danych'!$B14),MONTH('Wprowadzanie danych'!$B14),1)</f>
        <v>41456</v>
      </c>
      <c r="I14" s="61">
        <f>LOOKUP(MONTH('Wprowadzanie danych'!$H14),{1,1;2,1;3,1;4,2;5,2;6,2;7,3;8,3;9,3;10,4;11,4;12,4})</f>
        <v>3</v>
      </c>
      <c r="J14" s="7">
        <f>YEAR('Wprowadzanie danych'!$B14)</f>
        <v>2013</v>
      </c>
      <c r="K14" s="8">
        <f>MONTH(tblDane[[#This Row],[DATA]])</f>
        <v>7</v>
      </c>
      <c r="L14" s="50">
        <f>SUMIFS(tblDane[KWOTA],tblDane[DATA],"&gt;="&amp;EOMONTH(tblDane[[#This Row],[DATA]],-1)+1,tblDane[DATA],"&lt;="&amp;EOMONTH(tblDane[[#This Row],[DATA]],0))</f>
        <v>8700</v>
      </c>
      <c r="M14" s="50">
        <f>SUMIFS(tblDane[KWOTA],tblDane[DATA],"&gt;="&amp;DATE(YEAR(tblDane[[#This Row],[DATA]]),1,1),tblDane[DATA],"&lt;="&amp;DATE(YEAR(tblDane[[#This Row],[DATA]]),12,31),tblDane[KWARTAŁ],tblDane[[#This Row],[KWARTAŁ]])</f>
        <v>49100</v>
      </c>
      <c r="N14" s="50">
        <f>SUMIFS(tblDane[KWOTA],tblDane[DATA],"&gt;="&amp;DATE(YEAR(tblDane[[#This Row],[DATA]]),1,1),tblDane[DATA],"&lt;="&amp;DATE(YEAR(tblDane[[#This Row],[DATA]]),12,31))</f>
        <v>143800</v>
      </c>
      <c r="O14" s="51">
        <f>IFERROR(TREND($L$6:INDEX($L:$L,ROW(),1),$K$6:INDEX($K:$K,ROW(),1),IF(MONTH(tblDane[[#This Row],[DATA]])=12,13,MONTH(tblDane[[#This Row],[DATA]])+1)),"")</f>
        <v>10776.470588235294</v>
      </c>
      <c r="P14" s="51">
        <f>IFERROR(TREND($M$6:INDEX($M:$M,ROW(),1),$I$6:INDEX($I:$I,ROW(),1),IF(tblDane[[#This Row],[KWARTAŁ]]=4,5,tblDane[[#This Row],[KWARTAŁ]]+1)),"")</f>
        <v>47400</v>
      </c>
      <c r="Q14" s="51">
        <f>IFERROR(TREND($N$6:INDEX($N:$N,ROW(),1),$J$6:INDEX($J:$J,ROW(),1),tblDane[[#This Row],[ROK]]+1),"")</f>
        <v>143800</v>
      </c>
    </row>
    <row r="15" spans="2:17" ht="17.25" customHeight="1" x14ac:dyDescent="0.2">
      <c r="B15" s="47">
        <f>40761+(365*2)</f>
        <v>41491</v>
      </c>
      <c r="C15" s="4" t="s">
        <v>3</v>
      </c>
      <c r="D15" s="49">
        <v>8500</v>
      </c>
      <c r="E15" s="49">
        <v>8300</v>
      </c>
      <c r="F15" s="49">
        <v>7100</v>
      </c>
      <c r="G15" s="62">
        <f>tblDane[[#This Row],[KWOTA]]-tblDane[[#This Row],[KOSZT]]</f>
        <v>1400</v>
      </c>
      <c r="H15" s="5">
        <f>DATE(YEAR('Wprowadzanie danych'!$B15),MONTH('Wprowadzanie danych'!$B15),1)</f>
        <v>41487</v>
      </c>
      <c r="I15" s="61">
        <f>LOOKUP(MONTH('Wprowadzanie danych'!$H15),{1,1;2,1;3,1;4,2;5,2;6,2;7,3;8,3;9,3;10,4;11,4;12,4})</f>
        <v>3</v>
      </c>
      <c r="J15" s="7">
        <f>YEAR('Wprowadzanie danych'!$B15)</f>
        <v>2013</v>
      </c>
      <c r="K15" s="8">
        <f>MONTH(tblDane[[#This Row],[DATA]])</f>
        <v>8</v>
      </c>
      <c r="L15" s="50">
        <f>SUMIFS(tblDane[KWOTA],tblDane[DATA],"&gt;="&amp;EOMONTH(tblDane[[#This Row],[DATA]],-1)+1,tblDane[DATA],"&lt;="&amp;EOMONTH(tblDane[[#This Row],[DATA]],0))</f>
        <v>16400</v>
      </c>
      <c r="M15" s="50">
        <f>SUMIFS(tblDane[KWOTA],tblDane[DATA],"&gt;="&amp;DATE(YEAR(tblDane[[#This Row],[DATA]]),1,1),tblDane[DATA],"&lt;="&amp;DATE(YEAR(tblDane[[#This Row],[DATA]]),12,31),tblDane[KWARTAŁ],tblDane[[#This Row],[KWARTAŁ]])</f>
        <v>49100</v>
      </c>
      <c r="N15" s="50">
        <f>SUMIFS(tblDane[KWOTA],tblDane[DATA],"&gt;="&amp;DATE(YEAR(tblDane[[#This Row],[DATA]]),1,1),tblDane[DATA],"&lt;="&amp;DATE(YEAR(tblDane[[#This Row],[DATA]]),12,31))</f>
        <v>143800</v>
      </c>
      <c r="O15" s="51">
        <f>IFERROR(TREND($L$6:INDEX($L:$L,ROW(),1),$K$6:INDEX($K:$K,ROW(),1),IF(MONTH(tblDane[[#This Row],[DATA]])=12,13,MONTH(tblDane[[#This Row],[DATA]])+1)),"")</f>
        <v>12455.862068965516</v>
      </c>
      <c r="P15" s="51">
        <f>IFERROR(TREND($M$6:INDEX($M:$M,ROW(),1),$I$6:INDEX($I:$I,ROW(),1),IF(tblDane[[#This Row],[KWARTAŁ]]=4,5,tblDane[[#This Row],[KWARTAŁ]]+1)),"")</f>
        <v>47400</v>
      </c>
      <c r="Q15" s="51">
        <f>IFERROR(TREND($N$6:INDEX($N:$N,ROW(),1),$J$6:INDEX($J:$J,ROW(),1),tblDane[[#This Row],[ROK]]+1),"")</f>
        <v>143800</v>
      </c>
    </row>
    <row r="16" spans="2:17" ht="17.25" customHeight="1" x14ac:dyDescent="0.2">
      <c r="B16" s="47">
        <f>40775+(365*2)</f>
        <v>41505</v>
      </c>
      <c r="C16" s="4" t="s">
        <v>4</v>
      </c>
      <c r="D16" s="49">
        <v>7900</v>
      </c>
      <c r="E16" s="49">
        <v>7700</v>
      </c>
      <c r="F16" s="49">
        <v>6600</v>
      </c>
      <c r="G16" s="62">
        <f>tblDane[[#This Row],[KWOTA]]-tblDane[[#This Row],[KOSZT]]</f>
        <v>1300</v>
      </c>
      <c r="H16" s="5">
        <f>DATE(YEAR('Wprowadzanie danych'!$B16),MONTH('Wprowadzanie danych'!$B16),1)</f>
        <v>41487</v>
      </c>
      <c r="I16" s="61">
        <f>LOOKUP(MONTH('Wprowadzanie danych'!$H16),{1,1;2,1;3,1;4,2;5,2;6,2;7,3;8,3;9,3;10,4;11,4;12,4})</f>
        <v>3</v>
      </c>
      <c r="J16" s="7">
        <f>YEAR('Wprowadzanie danych'!$B16)</f>
        <v>2013</v>
      </c>
      <c r="K16" s="8">
        <f>MONTH(tblDane[[#This Row],[DATA]])</f>
        <v>8</v>
      </c>
      <c r="L16" s="50">
        <f>SUMIFS(tblDane[KWOTA],tblDane[DATA],"&gt;="&amp;EOMONTH(tblDane[[#This Row],[DATA]],-1)+1,tblDane[DATA],"&lt;="&amp;EOMONTH(tblDane[[#This Row],[DATA]],0))</f>
        <v>16400</v>
      </c>
      <c r="M16" s="50">
        <f>SUMIFS(tblDane[KWOTA],tblDane[DATA],"&gt;="&amp;DATE(YEAR(tblDane[[#This Row],[DATA]]),1,1),tblDane[DATA],"&lt;="&amp;DATE(YEAR(tblDane[[#This Row],[DATA]]),12,31),tblDane[KWARTAŁ],tblDane[[#This Row],[KWARTAŁ]])</f>
        <v>49100</v>
      </c>
      <c r="N16" s="50">
        <f>SUMIFS(tblDane[KWOTA],tblDane[DATA],"&gt;="&amp;DATE(YEAR(tblDane[[#This Row],[DATA]]),1,1),tblDane[DATA],"&lt;="&amp;DATE(YEAR(tblDane[[#This Row],[DATA]]),12,31))</f>
        <v>143800</v>
      </c>
      <c r="O16" s="51">
        <f>IFERROR(TREND($L$6:INDEX($L:$L,ROW(),1),$K$6:INDEX($K:$K,ROW(),1),IF(MONTH(tblDane[[#This Row],[DATA]])=12,13,MONTH(tblDane[[#This Row],[DATA]])+1)),"")</f>
        <v>13667.567567567567</v>
      </c>
      <c r="P16" s="51">
        <f>IFERROR(TREND($M$6:INDEX($M:$M,ROW(),1),$I$6:INDEX($I:$I,ROW(),1),IF(tblDane[[#This Row],[KWARTAŁ]]=4,5,tblDane[[#This Row],[KWARTAŁ]]+1)),"")</f>
        <v>47400.000000000007</v>
      </c>
      <c r="Q16" s="51">
        <f>IFERROR(TREND($N$6:INDEX($N:$N,ROW(),1),$J$6:INDEX($J:$J,ROW(),1),tblDane[[#This Row],[ROK]]+1),"")</f>
        <v>143800</v>
      </c>
    </row>
    <row r="17" spans="2:17" ht="17.25" customHeight="1" x14ac:dyDescent="0.2">
      <c r="B17" s="47">
        <f>40791+(365*2)</f>
        <v>41521</v>
      </c>
      <c r="C17" s="4" t="s">
        <v>5</v>
      </c>
      <c r="D17" s="49">
        <v>9100</v>
      </c>
      <c r="E17" s="49">
        <v>8900</v>
      </c>
      <c r="F17" s="49">
        <v>7900</v>
      </c>
      <c r="G17" s="62">
        <f>tblDane[[#This Row],[KWOTA]]-tblDane[[#This Row],[KOSZT]]</f>
        <v>1200</v>
      </c>
      <c r="H17" s="5">
        <f>DATE(YEAR('Wprowadzanie danych'!$B17),MONTH('Wprowadzanie danych'!$B17),1)</f>
        <v>41518</v>
      </c>
      <c r="I17" s="61">
        <f>LOOKUP(MONTH('Wprowadzanie danych'!$H17),{1,1;2,1;3,1;4,2;5,2;6,2;7,3;8,3;9,3;10,4;11,4;12,4})</f>
        <v>3</v>
      </c>
      <c r="J17" s="7">
        <f>YEAR('Wprowadzanie danych'!$B17)</f>
        <v>2013</v>
      </c>
      <c r="K17" s="8">
        <f>MONTH(tblDane[[#This Row],[DATA]])</f>
        <v>9</v>
      </c>
      <c r="L17" s="50">
        <f>SUMIFS(tblDane[KWOTA],tblDane[DATA],"&gt;="&amp;EOMONTH(tblDane[[#This Row],[DATA]],-1)+1,tblDane[DATA],"&lt;="&amp;EOMONTH(tblDane[[#This Row],[DATA]],0))</f>
        <v>24000</v>
      </c>
      <c r="M17" s="50">
        <f>SUMIFS(tblDane[KWOTA],tblDane[DATA],"&gt;="&amp;DATE(YEAR(tblDane[[#This Row],[DATA]]),1,1),tblDane[DATA],"&lt;="&amp;DATE(YEAR(tblDane[[#This Row],[DATA]]),12,31),tblDane[KWARTAŁ],tblDane[[#This Row],[KWARTAŁ]])</f>
        <v>49100</v>
      </c>
      <c r="N17" s="50">
        <f>SUMIFS(tblDane[KWOTA],tblDane[DATA],"&gt;="&amp;DATE(YEAR(tblDane[[#This Row],[DATA]]),1,1),tblDane[DATA],"&lt;="&amp;DATE(YEAR(tblDane[[#This Row],[DATA]]),12,31))</f>
        <v>143800</v>
      </c>
      <c r="O17" s="51">
        <f>IFERROR(TREND($L$6:INDEX($L:$L,ROW(),1),$K$6:INDEX($K:$K,ROW(),1),IF(MONTH(tblDane[[#This Row],[DATA]])=12,13,MONTH(tblDane[[#This Row],[DATA]])+1)),"")</f>
        <v>17651.666666666668</v>
      </c>
      <c r="P17" s="51">
        <f>IFERROR(TREND($M$6:INDEX($M:$M,ROW(),1),$I$6:INDEX($I:$I,ROW(),1),IF(tblDane[[#This Row],[KWARTAŁ]]=4,5,tblDane[[#This Row],[KWARTAŁ]]+1)),"")</f>
        <v>47400</v>
      </c>
      <c r="Q17" s="51">
        <f>IFERROR(TREND($N$6:INDEX($N:$N,ROW(),1),$J$6:INDEX($J:$J,ROW(),1),tblDane[[#This Row],[ROK]]+1),"")</f>
        <v>143800</v>
      </c>
    </row>
    <row r="18" spans="2:17" ht="17.25" customHeight="1" x14ac:dyDescent="0.2">
      <c r="B18" s="47">
        <f>40807+(365*2)</f>
        <v>41537</v>
      </c>
      <c r="C18" s="4" t="s">
        <v>1</v>
      </c>
      <c r="D18" s="49">
        <v>5600</v>
      </c>
      <c r="E18" s="49">
        <v>5800</v>
      </c>
      <c r="F18" s="49">
        <v>4500</v>
      </c>
      <c r="G18" s="62">
        <f>tblDane[[#This Row],[KWOTA]]-tblDane[[#This Row],[KOSZT]]</f>
        <v>1100</v>
      </c>
      <c r="H18" s="5">
        <f>DATE(YEAR('Wprowadzanie danych'!$B18),MONTH('Wprowadzanie danych'!$B18),1)</f>
        <v>41518</v>
      </c>
      <c r="I18" s="61">
        <f>LOOKUP(MONTH('Wprowadzanie danych'!$H18),{1,1;2,1;3,1;4,2;5,2;6,2;7,3;8,3;9,3;10,4;11,4;12,4})</f>
        <v>3</v>
      </c>
      <c r="J18" s="7">
        <f>YEAR('Wprowadzanie danych'!$B18)</f>
        <v>2013</v>
      </c>
      <c r="K18" s="8">
        <f>MONTH(tblDane[[#This Row],[DATA]])</f>
        <v>9</v>
      </c>
      <c r="L18" s="50">
        <f>SUMIFS(tblDane[KWOTA],tblDane[DATA],"&gt;="&amp;EOMONTH(tblDane[[#This Row],[DATA]],-1)+1,tblDane[DATA],"&lt;="&amp;EOMONTH(tblDane[[#This Row],[DATA]],0))</f>
        <v>24000</v>
      </c>
      <c r="M18" s="50">
        <f>SUMIFS(tblDane[KWOTA],tblDane[DATA],"&gt;="&amp;DATE(YEAR(tblDane[[#This Row],[DATA]]),1,1),tblDane[DATA],"&lt;="&amp;DATE(YEAR(tblDane[[#This Row],[DATA]]),12,31),tblDane[KWARTAŁ],tblDane[[#This Row],[KWARTAŁ]])</f>
        <v>49100</v>
      </c>
      <c r="N18" s="50">
        <f>SUMIFS(tblDane[KWOTA],tblDane[DATA],"&gt;="&amp;DATE(YEAR(tblDane[[#This Row],[DATA]]),1,1),tblDane[DATA],"&lt;="&amp;DATE(YEAR(tblDane[[#This Row],[DATA]]),12,31))</f>
        <v>143800</v>
      </c>
      <c r="O18" s="51">
        <f>IFERROR(TREND($L$6:INDEX($L:$L,ROW(),1),$K$6:INDEX($K:$K,ROW(),1),IF(MONTH(tblDane[[#This Row],[DATA]])=12,13,MONTH(tblDane[[#This Row],[DATA]])+1)),"")</f>
        <v>19877.911646586344</v>
      </c>
      <c r="P18" s="51">
        <f>IFERROR(TREND($M$6:INDEX($M:$M,ROW(),1),$I$6:INDEX($I:$I,ROW(),1),IF(tblDane[[#This Row],[KWARTAŁ]]=4,5,tblDane[[#This Row],[KWARTAŁ]]+1)),"")</f>
        <v>47400</v>
      </c>
      <c r="Q18" s="51">
        <f>IFERROR(TREND($N$6:INDEX($N:$N,ROW(),1),$J$6:INDEX($J:$J,ROW(),1),tblDane[[#This Row],[ROK]]+1),"")</f>
        <v>143800</v>
      </c>
    </row>
    <row r="19" spans="2:17" ht="17.25" customHeight="1" x14ac:dyDescent="0.2">
      <c r="B19" s="47">
        <f>40812+(365*2)</f>
        <v>41542</v>
      </c>
      <c r="C19" s="4" t="s">
        <v>2</v>
      </c>
      <c r="D19" s="49">
        <v>9300</v>
      </c>
      <c r="E19" s="49">
        <v>9100</v>
      </c>
      <c r="F19" s="49">
        <v>7500</v>
      </c>
      <c r="G19" s="62">
        <f>tblDane[[#This Row],[KWOTA]]-tblDane[[#This Row],[KOSZT]]</f>
        <v>1800</v>
      </c>
      <c r="H19" s="5">
        <f>DATE(YEAR('Wprowadzanie danych'!$B19),MONTH('Wprowadzanie danych'!$B19),1)</f>
        <v>41518</v>
      </c>
      <c r="I19" s="61">
        <f>LOOKUP(MONTH('Wprowadzanie danych'!$H19),{1,1;2,1;3,1;4,2;5,2;6,2;7,3;8,3;9,3;10,4;11,4;12,4})</f>
        <v>3</v>
      </c>
      <c r="J19" s="7">
        <f>YEAR('Wprowadzanie danych'!$B19)</f>
        <v>2013</v>
      </c>
      <c r="K19" s="8">
        <f>MONTH(tblDane[[#This Row],[DATA]])</f>
        <v>9</v>
      </c>
      <c r="L19" s="50">
        <f>SUMIFS(tblDane[KWOTA],tblDane[DATA],"&gt;="&amp;EOMONTH(tblDane[[#This Row],[DATA]],-1)+1,tblDane[DATA],"&lt;="&amp;EOMONTH(tblDane[[#This Row],[DATA]],0))</f>
        <v>24000</v>
      </c>
      <c r="M19" s="50">
        <f>SUMIFS(tblDane[KWOTA],tblDane[DATA],"&gt;="&amp;DATE(YEAR(tblDane[[#This Row],[DATA]]),1,1),tblDane[DATA],"&lt;="&amp;DATE(YEAR(tblDane[[#This Row],[DATA]]),12,31),tblDane[KWARTAŁ],tblDane[[#This Row],[KWARTAŁ]])</f>
        <v>49100</v>
      </c>
      <c r="N19" s="50">
        <f>SUMIFS(tblDane[KWOTA],tblDane[DATA],"&gt;="&amp;DATE(YEAR(tblDane[[#This Row],[DATA]]),1,1),tblDane[DATA],"&lt;="&amp;DATE(YEAR(tblDane[[#This Row],[DATA]]),12,31))</f>
        <v>143800</v>
      </c>
      <c r="O19" s="51">
        <f>IFERROR(TREND($L$6:INDEX($L:$L,ROW(),1),$K$6:INDEX($K:$K,ROW(),1),IF(MONTH(tblDane[[#This Row],[DATA]])=12,13,MONTH(tblDane[[#This Row],[DATA]])+1)),"")</f>
        <v>21138.050314465407</v>
      </c>
      <c r="P19" s="51">
        <f>IFERROR(TREND($M$6:INDEX($M:$M,ROW(),1),$I$6:INDEX($I:$I,ROW(),1),IF(tblDane[[#This Row],[KWARTAŁ]]=4,5,tblDane[[#This Row],[KWARTAŁ]]+1)),"")</f>
        <v>47400</v>
      </c>
      <c r="Q19" s="51">
        <f>IFERROR(TREND($N$6:INDEX($N:$N,ROW(),1),$J$6:INDEX($J:$J,ROW(),1),tblDane[[#This Row],[ROK]]+1),"")</f>
        <v>143800</v>
      </c>
    </row>
    <row r="20" spans="2:17" ht="17.25" customHeight="1" x14ac:dyDescent="0.2">
      <c r="B20" s="47">
        <f>40832+(365*2)</f>
        <v>41562</v>
      </c>
      <c r="C20" s="4" t="s">
        <v>3</v>
      </c>
      <c r="D20" s="49">
        <v>8800</v>
      </c>
      <c r="E20" s="49">
        <v>9350</v>
      </c>
      <c r="F20" s="49">
        <v>7100</v>
      </c>
      <c r="G20" s="62">
        <f>tblDane[[#This Row],[KWOTA]]-tblDane[[#This Row],[KOSZT]]</f>
        <v>1700</v>
      </c>
      <c r="H20" s="5">
        <f>DATE(YEAR('Wprowadzanie danych'!$B20),MONTH('Wprowadzanie danych'!$B20),1)</f>
        <v>41548</v>
      </c>
      <c r="I20" s="61">
        <f>LOOKUP(MONTH('Wprowadzanie danych'!$H20),{1,1;2,1;3,1;4,2;5,2;6,2;7,3;8,3;9,3;10,4;11,4;12,4})</f>
        <v>4</v>
      </c>
      <c r="J20" s="7">
        <f>YEAR('Wprowadzanie danych'!$B20)</f>
        <v>2013</v>
      </c>
      <c r="K20" s="8">
        <f>MONTH(tblDane[[#This Row],[DATA]])</f>
        <v>10</v>
      </c>
      <c r="L20" s="50">
        <f>SUMIFS(tblDane[KWOTA],tblDane[DATA],"&gt;="&amp;EOMONTH(tblDane[[#This Row],[DATA]],-1)+1,tblDane[DATA],"&lt;="&amp;EOMONTH(tblDane[[#This Row],[DATA]],0))</f>
        <v>8800</v>
      </c>
      <c r="M20" s="50">
        <f>SUMIFS(tblDane[KWOTA],tblDane[DATA],"&gt;="&amp;DATE(YEAR(tblDane[[#This Row],[DATA]]),1,1),tblDane[DATA],"&lt;="&amp;DATE(YEAR(tblDane[[#This Row],[DATA]]),12,31),tblDane[KWARTAŁ],tblDane[[#This Row],[KWARTAŁ]])</f>
        <v>43900</v>
      </c>
      <c r="N20" s="50">
        <f>SUMIFS(tblDane[KWOTA],tblDane[DATA],"&gt;="&amp;DATE(YEAR(tblDane[[#This Row],[DATA]]),1,1),tblDane[DATA],"&lt;="&amp;DATE(YEAR(tblDane[[#This Row],[DATA]]),12,31))</f>
        <v>143800</v>
      </c>
      <c r="O20" s="51">
        <f>IFERROR(TREND($L$6:INDEX($L:$L,ROW(),1),$K$6:INDEX($K:$K,ROW(),1),IF(MONTH(tblDane[[#This Row],[DATA]])=12,13,MONTH(tblDane[[#This Row],[DATA]])+1)),"")</f>
        <v>17951.744186046511</v>
      </c>
      <c r="P20" s="51">
        <f>IFERROR(TREND($M$6:INDEX($M:$M,ROW(),1),$I$6:INDEX($I:$I,ROW(),1),IF(tblDane[[#This Row],[KWARTAŁ]]=4,5,tblDane[[#This Row],[KWARTAŁ]]+1)),"")</f>
        <v>43258.139534883725</v>
      </c>
      <c r="Q20" s="51">
        <f>IFERROR(TREND($N$6:INDEX($N:$N,ROW(),1),$J$6:INDEX($J:$J,ROW(),1),tblDane[[#This Row],[ROK]]+1),"")</f>
        <v>143800</v>
      </c>
    </row>
    <row r="21" spans="2:17" ht="17.25" customHeight="1" x14ac:dyDescent="0.2">
      <c r="B21" s="47">
        <f>40853+(365*2)</f>
        <v>41583</v>
      </c>
      <c r="C21" s="4" t="s">
        <v>4</v>
      </c>
      <c r="D21" s="49">
        <v>9100</v>
      </c>
      <c r="E21" s="49">
        <v>9200</v>
      </c>
      <c r="F21" s="49">
        <v>7850</v>
      </c>
      <c r="G21" s="62">
        <f>tblDane[[#This Row],[KWOTA]]-tblDane[[#This Row],[KOSZT]]</f>
        <v>1250</v>
      </c>
      <c r="H21" s="5">
        <f>DATE(YEAR('Wprowadzanie danych'!$B21),MONTH('Wprowadzanie danych'!$B21),1)</f>
        <v>41579</v>
      </c>
      <c r="I21" s="61">
        <f>LOOKUP(MONTH('Wprowadzanie danych'!$H21),{1,1;2,1;3,1;4,2;5,2;6,2;7,3;8,3;9,3;10,4;11,4;12,4})</f>
        <v>4</v>
      </c>
      <c r="J21" s="7">
        <f>YEAR('Wprowadzanie danych'!$B21)</f>
        <v>2013</v>
      </c>
      <c r="K21" s="8">
        <f>MONTH(tblDane[[#This Row],[DATA]])</f>
        <v>11</v>
      </c>
      <c r="L21" s="50">
        <f>SUMIFS(tblDane[KWOTA],tblDane[DATA],"&gt;="&amp;EOMONTH(tblDane[[#This Row],[DATA]],-1)+1,tblDane[DATA],"&lt;="&amp;EOMONTH(tblDane[[#This Row],[DATA]],0))</f>
        <v>25600</v>
      </c>
      <c r="M21" s="50">
        <f>SUMIFS(tblDane[KWOTA],tblDane[DATA],"&gt;="&amp;DATE(YEAR(tblDane[[#This Row],[DATA]]),1,1),tblDane[DATA],"&lt;="&amp;DATE(YEAR(tblDane[[#This Row],[DATA]]),12,31),tblDane[KWARTAŁ],tblDane[[#This Row],[KWARTAŁ]])</f>
        <v>43900</v>
      </c>
      <c r="N21" s="50">
        <f>SUMIFS(tblDane[KWOTA],tblDane[DATA],"&gt;="&amp;DATE(YEAR(tblDane[[#This Row],[DATA]]),1,1),tblDane[DATA],"&lt;="&amp;DATE(YEAR(tblDane[[#This Row],[DATA]]),12,31))</f>
        <v>143800</v>
      </c>
      <c r="O21" s="51">
        <f>IFERROR(TREND($L$6:INDEX($L:$L,ROW(),1),$K$6:INDEX($K:$K,ROW(),1),IF(MONTH(tblDane[[#This Row],[DATA]])=12,13,MONTH(tblDane[[#This Row],[DATA]])+1)),"")</f>
        <v>20556.130108423687</v>
      </c>
      <c r="P21" s="51">
        <f>IFERROR(TREND($M$6:INDEX($M:$M,ROW(),1),$I$6:INDEX($I:$I,ROW(),1),IF(tblDane[[#This Row],[KWARTAŁ]]=4,5,tblDane[[#This Row],[KWARTAŁ]]+1)),"")</f>
        <v>42312.903225806447</v>
      </c>
      <c r="Q21" s="51">
        <f>IFERROR(TREND($N$6:INDEX($N:$N,ROW(),1),$J$6:INDEX($J:$J,ROW(),1),tblDane[[#This Row],[ROK]]+1),"")</f>
        <v>143800</v>
      </c>
    </row>
    <row r="22" spans="2:17" ht="17.25" customHeight="1" x14ac:dyDescent="0.2">
      <c r="B22" s="47">
        <f>40874+(365*2)</f>
        <v>41604</v>
      </c>
      <c r="C22" s="4" t="s">
        <v>5</v>
      </c>
      <c r="D22" s="49">
        <v>9000</v>
      </c>
      <c r="E22" s="49">
        <v>10000</v>
      </c>
      <c r="F22" s="49">
        <v>7575</v>
      </c>
      <c r="G22" s="62">
        <f>tblDane[[#This Row],[KWOTA]]-tblDane[[#This Row],[KOSZT]]</f>
        <v>1425</v>
      </c>
      <c r="H22" s="5">
        <f>DATE(YEAR('Wprowadzanie danych'!$B22),MONTH('Wprowadzanie danych'!$B22),1)</f>
        <v>41579</v>
      </c>
      <c r="I22" s="61">
        <f>LOOKUP(MONTH('Wprowadzanie danych'!$H22),{1,1;2,1;3,1;4,2;5,2;6,2;7,3;8,3;9,3;10,4;11,4;12,4})</f>
        <v>4</v>
      </c>
      <c r="J22" s="7">
        <f>YEAR('Wprowadzanie danych'!$B22)</f>
        <v>2013</v>
      </c>
      <c r="K22" s="8">
        <f>MONTH(tblDane[[#This Row],[DATA]])</f>
        <v>11</v>
      </c>
      <c r="L22" s="50">
        <f>SUMIFS(tblDane[KWOTA],tblDane[DATA],"&gt;="&amp;EOMONTH(tblDane[[#This Row],[DATA]],-1)+1,tblDane[DATA],"&lt;="&amp;EOMONTH(tblDane[[#This Row],[DATA]],0))</f>
        <v>25600</v>
      </c>
      <c r="M22" s="50">
        <f>SUMIFS(tblDane[KWOTA],tblDane[DATA],"&gt;="&amp;DATE(YEAR(tblDane[[#This Row],[DATA]]),1,1),tblDane[DATA],"&lt;="&amp;DATE(YEAR(tblDane[[#This Row],[DATA]]),12,31),tblDane[KWARTAŁ],tblDane[[#This Row],[KWARTAŁ]])</f>
        <v>43900</v>
      </c>
      <c r="N22" s="50">
        <f>SUMIFS(tblDane[KWOTA],tblDane[DATA],"&gt;="&amp;DATE(YEAR(tblDane[[#This Row],[DATA]]),1,1),tblDane[DATA],"&lt;="&amp;DATE(YEAR(tblDane[[#This Row],[DATA]]),12,31))</f>
        <v>143800</v>
      </c>
      <c r="O22" s="51">
        <f>IFERROR(TREND($L$6:INDEX($L:$L,ROW(),1),$K$6:INDEX($K:$K,ROW(),1),IF(MONTH(tblDane[[#This Row],[DATA]])=12,13,MONTH(tblDane[[#This Row],[DATA]])+1)),"")</f>
        <v>21997.139141742522</v>
      </c>
      <c r="P22" s="51">
        <f>IFERROR(TREND($M$6:INDEX($M:$M,ROW(),1),$I$6:INDEX($I:$I,ROW(),1),IF(tblDane[[#This Row],[KWARTAŁ]]=4,5,tblDane[[#This Row],[KWARTAŁ]]+1)),"")</f>
        <v>41811.111111111109</v>
      </c>
      <c r="Q22" s="51">
        <f>IFERROR(TREND($N$6:INDEX($N:$N,ROW(),1),$J$6:INDEX($J:$J,ROW(),1),tblDane[[#This Row],[ROK]]+1),"")</f>
        <v>143800</v>
      </c>
    </row>
    <row r="23" spans="2:17" ht="17.25" customHeight="1" x14ac:dyDescent="0.2">
      <c r="B23" s="47">
        <f>40878+(365*2)</f>
        <v>41608</v>
      </c>
      <c r="C23" s="4" t="s">
        <v>5</v>
      </c>
      <c r="D23" s="49">
        <v>7500</v>
      </c>
      <c r="E23" s="49">
        <v>8000</v>
      </c>
      <c r="F23" s="49">
        <v>5850</v>
      </c>
      <c r="G23" s="62">
        <f>tblDane[[#This Row],[KWOTA]]-tblDane[[#This Row],[KOSZT]]</f>
        <v>1650</v>
      </c>
      <c r="H23" s="5">
        <f>DATE(YEAR('Wprowadzanie danych'!$B23),MONTH('Wprowadzanie danych'!$B23),1)</f>
        <v>41579</v>
      </c>
      <c r="I23" s="61">
        <f>LOOKUP(MONTH('Wprowadzanie danych'!$H23),{1,1;2,1;3,1;4,2;5,2;6,2;7,3;8,3;9,3;10,4;11,4;12,4})</f>
        <v>4</v>
      </c>
      <c r="J23" s="7">
        <f>YEAR('Wprowadzanie danych'!$B23)</f>
        <v>2013</v>
      </c>
      <c r="K23" s="8">
        <f>MONTH(tblDane[[#This Row],[DATA]])</f>
        <v>11</v>
      </c>
      <c r="L23" s="50">
        <f>SUMIFS(tblDane[KWOTA],tblDane[DATA],"&gt;="&amp;EOMONTH(tblDane[[#This Row],[DATA]],-1)+1,tblDane[DATA],"&lt;="&amp;EOMONTH(tblDane[[#This Row],[DATA]],0))</f>
        <v>25600</v>
      </c>
      <c r="M23" s="50">
        <f>SUMIFS(tblDane[KWOTA],tblDane[DATA],"&gt;="&amp;DATE(YEAR(tblDane[[#This Row],[DATA]]),1,1),tblDane[DATA],"&lt;="&amp;DATE(YEAR(tblDane[[#This Row],[DATA]]),12,31),tblDane[KWARTAŁ],tblDane[[#This Row],[KWARTAŁ]])</f>
        <v>43900</v>
      </c>
      <c r="N23" s="50">
        <f>SUMIFS(tblDane[KWOTA],tblDane[DATA],"&gt;="&amp;DATE(YEAR(tblDane[[#This Row],[DATA]]),1,1),tblDane[DATA],"&lt;="&amp;DATE(YEAR(tblDane[[#This Row],[DATA]]),12,31))</f>
        <v>143800</v>
      </c>
      <c r="O23" s="51">
        <f>IFERROR(TREND($L$6:INDEX($L:$L,ROW(),1),$K$6:INDEX($K:$K,ROW(),1),IF(MONTH(tblDane[[#This Row],[DATA]])=12,13,MONTH(tblDane[[#This Row],[DATA]])+1)),"")</f>
        <v>22917.634523175278</v>
      </c>
      <c r="P23" s="51">
        <f>IFERROR(TREND($M$6:INDEX($M:$M,ROW(),1),$I$6:INDEX($I:$I,ROW(),1),IF(tblDane[[#This Row],[KWARTAŁ]]=4,5,tblDane[[#This Row],[KWARTAŁ]]+1)),"")</f>
        <v>41500</v>
      </c>
      <c r="Q23" s="51">
        <f>IFERROR(TREND($N$6:INDEX($N:$N,ROW(),1),$J$6:INDEX($J:$J,ROW(),1),tblDane[[#This Row],[ROK]]+1),"")</f>
        <v>143800</v>
      </c>
    </row>
    <row r="24" spans="2:17" ht="17.25" customHeight="1" x14ac:dyDescent="0.2">
      <c r="B24" s="47">
        <f>40889+(365*2)</f>
        <v>41619</v>
      </c>
      <c r="C24" s="4" t="s">
        <v>1</v>
      </c>
      <c r="D24" s="49">
        <v>9500</v>
      </c>
      <c r="E24" s="49">
        <v>9200</v>
      </c>
      <c r="F24" s="49">
        <v>8500</v>
      </c>
      <c r="G24" s="62">
        <f>tblDane[[#This Row],[KWOTA]]-tblDane[[#This Row],[KOSZT]]</f>
        <v>1000</v>
      </c>
      <c r="H24" s="5">
        <f>DATE(YEAR('Wprowadzanie danych'!$B24),MONTH('Wprowadzanie danych'!$B24),1)</f>
        <v>41609</v>
      </c>
      <c r="I24" s="61">
        <f>LOOKUP(MONTH('Wprowadzanie danych'!$H24),{1,1;2,1;3,1;4,2;5,2;6,2;7,3;8,3;9,3;10,4;11,4;12,4})</f>
        <v>4</v>
      </c>
      <c r="J24" s="7">
        <f>YEAR('Wprowadzanie danych'!$B24)</f>
        <v>2013</v>
      </c>
      <c r="K24" s="8">
        <f>MONTH(tblDane[[#This Row],[DATA]])</f>
        <v>12</v>
      </c>
      <c r="L24" s="50">
        <f>SUMIFS(tblDane[KWOTA],tblDane[DATA],"&gt;="&amp;EOMONTH(tblDane[[#This Row],[DATA]],-1)+1,tblDane[DATA],"&lt;="&amp;EOMONTH(tblDane[[#This Row],[DATA]],0))</f>
        <v>9500</v>
      </c>
      <c r="M24" s="50">
        <f>SUMIFS(tblDane[KWOTA],tblDane[DATA],"&gt;="&amp;DATE(YEAR(tblDane[[#This Row],[DATA]]),1,1),tblDane[DATA],"&lt;="&amp;DATE(YEAR(tblDane[[#This Row],[DATA]]),12,31),tblDane[KWARTAŁ],tblDane[[#This Row],[KWARTAŁ]])</f>
        <v>43900</v>
      </c>
      <c r="N24" s="50">
        <f>SUMIFS(tblDane[KWOTA],tblDane[DATA],"&gt;="&amp;DATE(YEAR(tblDane[[#This Row],[DATA]]),1,1),tblDane[DATA],"&lt;="&amp;DATE(YEAR(tblDane[[#This Row],[DATA]]),12,31))</f>
        <v>143800</v>
      </c>
      <c r="O24" s="51">
        <f>IFERROR(TREND($L$6:INDEX($L:$L,ROW(),1),$K$6:INDEX($K:$K,ROW(),1),IF(MONTH(tblDane[[#This Row],[DATA]])=12,13,MONTH(tblDane[[#This Row],[DATA]])+1)),"")</f>
        <v>20504.314720812181</v>
      </c>
      <c r="P24" s="51">
        <f>IFERROR(TREND($M$6:INDEX($M:$M,ROW(),1),$I$6:INDEX($I:$I,ROW(),1),IF(tblDane[[#This Row],[KWARTAŁ]]=4,5,tblDane[[#This Row],[KWARTAŁ]]+1)),"")</f>
        <v>41288.23529411765</v>
      </c>
      <c r="Q24" s="51">
        <f>IFERROR(TREND($N$6:INDEX($N:$N,ROW(),1),$J$6:INDEX($J:$J,ROW(),1),tblDane[[#This Row],[ROK]]+1),"")</f>
        <v>143800</v>
      </c>
    </row>
  </sheetData>
  <printOptions horizontalCentered="1"/>
  <pageMargins left="0.25" right="0.25" top="0.75" bottom="0.75" header="0.3" footer="0.3"/>
  <pageSetup paperSize="9" fitToHeight="0" orientation="landscape" horizont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F66"/>
  <sheetViews>
    <sheetView showGridLines="0" zoomScaleNormal="100" workbookViewId="0"/>
  </sheetViews>
  <sheetFormatPr defaultRowHeight="17.25" customHeight="1" x14ac:dyDescent="0.2"/>
  <cols>
    <col min="1" max="1" width="2" style="31" customWidth="1"/>
    <col min="2" max="3" width="15.33203125" style="28" customWidth="1"/>
    <col min="4" max="4" width="11.1640625" style="29" customWidth="1"/>
    <col min="5" max="5" width="22" style="29" customWidth="1"/>
    <col min="6" max="6" width="18.33203125" style="30" customWidth="1"/>
    <col min="7" max="16384" width="9.33203125" style="31"/>
  </cols>
  <sheetData>
    <row r="1" spans="1:6" s="27" customFormat="1" ht="11.25" customHeight="1" x14ac:dyDescent="0.2">
      <c r="B1" s="28"/>
      <c r="C1" s="28"/>
      <c r="D1" s="29"/>
      <c r="E1" s="29"/>
      <c r="F1" s="30"/>
    </row>
    <row r="2" spans="1:6" customFormat="1" ht="33.75" x14ac:dyDescent="0.2">
      <c r="B2" s="2" t="s">
        <v>48</v>
      </c>
    </row>
    <row r="3" spans="1:6" ht="17.25" customHeight="1" x14ac:dyDescent="0.2">
      <c r="A3" s="27"/>
    </row>
    <row r="4" spans="1:6" ht="17.25" customHeight="1" x14ac:dyDescent="0.2">
      <c r="A4" s="27"/>
    </row>
    <row r="5" spans="1:6" ht="15" x14ac:dyDescent="0.2">
      <c r="B5" s="65" t="s">
        <v>21</v>
      </c>
      <c r="C5" s="48" t="s">
        <v>17</v>
      </c>
      <c r="D5" s="48" t="s">
        <v>16</v>
      </c>
      <c r="E5" s="48" t="s">
        <v>24</v>
      </c>
      <c r="F5" s="57" t="s">
        <v>52</v>
      </c>
    </row>
    <row r="6" spans="1:6" ht="17.25" customHeight="1" x14ac:dyDescent="0.2">
      <c r="B6" s="32">
        <v>2013</v>
      </c>
      <c r="C6" s="63">
        <v>2</v>
      </c>
      <c r="D6" s="55">
        <v>41365</v>
      </c>
      <c r="E6" t="s">
        <v>0</v>
      </c>
      <c r="F6" s="58">
        <v>6400</v>
      </c>
    </row>
    <row r="7" spans="1:6" ht="17.25" customHeight="1" x14ac:dyDescent="0.2">
      <c r="B7" s="32"/>
      <c r="C7" s="63"/>
      <c r="D7" s="32"/>
      <c r="E7" t="s">
        <v>1</v>
      </c>
      <c r="F7" s="58">
        <v>8200</v>
      </c>
    </row>
    <row r="8" spans="1:6" ht="17.25" customHeight="1" x14ac:dyDescent="0.2">
      <c r="B8" s="32"/>
      <c r="C8" s="63"/>
      <c r="D8" s="55">
        <v>41395</v>
      </c>
      <c r="E8" t="s">
        <v>2</v>
      </c>
      <c r="F8" s="58">
        <v>4400</v>
      </c>
    </row>
    <row r="9" spans="1:6" ht="17.25" customHeight="1" x14ac:dyDescent="0.2">
      <c r="B9" s="32"/>
      <c r="C9" s="63"/>
      <c r="D9" s="32"/>
      <c r="E9" t="s">
        <v>4</v>
      </c>
      <c r="F9" s="58">
        <v>5800</v>
      </c>
    </row>
    <row r="10" spans="1:6" ht="17.25" customHeight="1" x14ac:dyDescent="0.2">
      <c r="B10" s="32"/>
      <c r="C10" s="63"/>
      <c r="D10" s="32"/>
      <c r="E10" t="s">
        <v>3</v>
      </c>
      <c r="F10" s="58">
        <v>5400</v>
      </c>
    </row>
    <row r="11" spans="1:6" ht="17.25" customHeight="1" x14ac:dyDescent="0.2">
      <c r="B11" s="32"/>
      <c r="C11" s="63"/>
      <c r="D11" s="32"/>
      <c r="E11" t="s">
        <v>5</v>
      </c>
      <c r="F11" s="58">
        <v>6200</v>
      </c>
    </row>
    <row r="12" spans="1:6" ht="17.25" customHeight="1" x14ac:dyDescent="0.2">
      <c r="B12" s="32"/>
      <c r="C12" s="63"/>
      <c r="D12" s="55">
        <v>41426</v>
      </c>
      <c r="E12" t="s">
        <v>0</v>
      </c>
      <c r="F12" s="58">
        <v>6900</v>
      </c>
    </row>
    <row r="13" spans="1:6" ht="17.25" customHeight="1" x14ac:dyDescent="0.2">
      <c r="B13" s="32"/>
      <c r="C13" s="63"/>
      <c r="D13" s="32"/>
      <c r="E13" t="s">
        <v>1</v>
      </c>
      <c r="F13" s="58">
        <v>7500</v>
      </c>
    </row>
    <row r="14" spans="1:6" ht="17.25" customHeight="1" x14ac:dyDescent="0.2">
      <c r="B14" s="32"/>
      <c r="C14" s="56" t="s">
        <v>54</v>
      </c>
      <c r="D14"/>
      <c r="E14"/>
      <c r="F14" s="58">
        <v>50800</v>
      </c>
    </row>
    <row r="15" spans="1:6" ht="17.25" customHeight="1" x14ac:dyDescent="0.2">
      <c r="B15" s="32"/>
      <c r="C15" s="64">
        <v>3</v>
      </c>
      <c r="D15" s="55">
        <v>41456</v>
      </c>
      <c r="E15" t="s">
        <v>2</v>
      </c>
      <c r="F15" s="58">
        <v>8700</v>
      </c>
    </row>
    <row r="16" spans="1:6" ht="17.25" customHeight="1" x14ac:dyDescent="0.2">
      <c r="B16" s="32"/>
      <c r="C16" s="64"/>
      <c r="D16" s="55">
        <v>41487</v>
      </c>
      <c r="E16" t="s">
        <v>4</v>
      </c>
      <c r="F16" s="58">
        <v>7900</v>
      </c>
    </row>
    <row r="17" spans="2:6" ht="17.25" customHeight="1" x14ac:dyDescent="0.2">
      <c r="B17" s="32"/>
      <c r="C17" s="64"/>
      <c r="D17" s="32"/>
      <c r="E17" t="s">
        <v>3</v>
      </c>
      <c r="F17" s="58">
        <v>8500</v>
      </c>
    </row>
    <row r="18" spans="2:6" ht="17.25" customHeight="1" x14ac:dyDescent="0.2">
      <c r="B18" s="32"/>
      <c r="C18" s="64"/>
      <c r="D18" s="55">
        <v>41518</v>
      </c>
      <c r="E18" t="s">
        <v>2</v>
      </c>
      <c r="F18" s="58">
        <v>9300</v>
      </c>
    </row>
    <row r="19" spans="2:6" ht="17.25" customHeight="1" x14ac:dyDescent="0.2">
      <c r="B19" s="32"/>
      <c r="C19" s="64"/>
      <c r="D19" s="32"/>
      <c r="E19" t="s">
        <v>1</v>
      </c>
      <c r="F19" s="58">
        <v>5600</v>
      </c>
    </row>
    <row r="20" spans="2:6" ht="17.25" customHeight="1" x14ac:dyDescent="0.2">
      <c r="B20" s="32"/>
      <c r="C20" s="64"/>
      <c r="D20" s="32"/>
      <c r="E20" t="s">
        <v>5</v>
      </c>
      <c r="F20" s="58">
        <v>9100</v>
      </c>
    </row>
    <row r="21" spans="2:6" ht="17.25" customHeight="1" x14ac:dyDescent="0.2">
      <c r="B21" s="32"/>
      <c r="C21" s="56" t="s">
        <v>54</v>
      </c>
      <c r="D21"/>
      <c r="E21"/>
      <c r="F21" s="58">
        <v>49100</v>
      </c>
    </row>
    <row r="22" spans="2:6" ht="17.25" customHeight="1" x14ac:dyDescent="0.2">
      <c r="B22" s="32"/>
      <c r="C22" s="64">
        <v>4</v>
      </c>
      <c r="D22" s="55">
        <v>41548</v>
      </c>
      <c r="E22" t="s">
        <v>3</v>
      </c>
      <c r="F22" s="58">
        <v>8800</v>
      </c>
    </row>
    <row r="23" spans="2:6" ht="17.25" customHeight="1" x14ac:dyDescent="0.2">
      <c r="B23" s="32"/>
      <c r="C23" s="64"/>
      <c r="D23" s="55">
        <v>41579</v>
      </c>
      <c r="E23" t="s">
        <v>4</v>
      </c>
      <c r="F23" s="58">
        <v>9100</v>
      </c>
    </row>
    <row r="24" spans="2:6" ht="17.25" customHeight="1" x14ac:dyDescent="0.2">
      <c r="B24" s="32"/>
      <c r="C24" s="64"/>
      <c r="D24" s="32"/>
      <c r="E24" t="s">
        <v>5</v>
      </c>
      <c r="F24" s="58">
        <v>16500</v>
      </c>
    </row>
    <row r="25" spans="2:6" ht="17.25" customHeight="1" x14ac:dyDescent="0.2">
      <c r="B25" s="32"/>
      <c r="C25" s="64"/>
      <c r="D25" s="55">
        <v>41609</v>
      </c>
      <c r="E25" t="s">
        <v>1</v>
      </c>
      <c r="F25" s="58">
        <v>9500</v>
      </c>
    </row>
    <row r="26" spans="2:6" ht="17.25" customHeight="1" x14ac:dyDescent="0.2">
      <c r="B26" s="32"/>
      <c r="C26" s="56" t="s">
        <v>54</v>
      </c>
      <c r="D26"/>
      <c r="E26"/>
      <c r="F26" s="58">
        <v>43900</v>
      </c>
    </row>
    <row r="27" spans="2:6" ht="11.25" x14ac:dyDescent="0.2">
      <c r="B27" s="59" t="s">
        <v>53</v>
      </c>
      <c r="C27" s="59"/>
      <c r="D27" s="59"/>
      <c r="E27" s="59"/>
      <c r="F27" s="60">
        <v>143800</v>
      </c>
    </row>
    <row r="28" spans="2:6" ht="11.25" x14ac:dyDescent="0.2">
      <c r="B28" t="s">
        <v>6</v>
      </c>
      <c r="C28"/>
      <c r="D28"/>
      <c r="E28"/>
      <c r="F28" s="58">
        <v>143800</v>
      </c>
    </row>
    <row r="29" spans="2:6" ht="17.25" customHeight="1" x14ac:dyDescent="0.2">
      <c r="B29"/>
      <c r="C29"/>
      <c r="D29"/>
      <c r="E29"/>
      <c r="F29"/>
    </row>
    <row r="30" spans="2:6" ht="11.25" x14ac:dyDescent="0.2">
      <c r="B30"/>
      <c r="C30"/>
      <c r="D30"/>
      <c r="E30"/>
    </row>
    <row r="31" spans="2:6" ht="11.25" x14ac:dyDescent="0.2">
      <c r="B31"/>
      <c r="C31"/>
      <c r="D31"/>
      <c r="E31"/>
    </row>
    <row r="32" spans="2:6" ht="11.25" x14ac:dyDescent="0.2">
      <c r="B32"/>
      <c r="C32"/>
      <c r="D32"/>
      <c r="E32"/>
    </row>
    <row r="33" spans="2:5" ht="11.25" x14ac:dyDescent="0.2">
      <c r="B33"/>
      <c r="C33"/>
      <c r="D33"/>
      <c r="E33"/>
    </row>
    <row r="34" spans="2:5" ht="11.25" x14ac:dyDescent="0.2">
      <c r="B34"/>
      <c r="C34"/>
      <c r="D34"/>
      <c r="E34"/>
    </row>
    <row r="35" spans="2:5" ht="11.25" x14ac:dyDescent="0.2">
      <c r="B35"/>
      <c r="C35"/>
      <c r="D35"/>
      <c r="E35"/>
    </row>
    <row r="36" spans="2:5" ht="11.25" x14ac:dyDescent="0.2">
      <c r="B36"/>
      <c r="C36"/>
      <c r="D36"/>
      <c r="E36"/>
    </row>
    <row r="37" spans="2:5" ht="11.25" x14ac:dyDescent="0.2">
      <c r="B37"/>
      <c r="C37"/>
      <c r="D37"/>
      <c r="E37"/>
    </row>
    <row r="38" spans="2:5" ht="11.25" x14ac:dyDescent="0.2">
      <c r="B38"/>
      <c r="C38"/>
      <c r="D38"/>
    </row>
    <row r="39" spans="2:5" ht="11.25" x14ac:dyDescent="0.2">
      <c r="B39"/>
      <c r="C39"/>
      <c r="D39"/>
    </row>
    <row r="40" spans="2:5" ht="11.25" x14ac:dyDescent="0.2">
      <c r="B40"/>
      <c r="C40"/>
      <c r="D40"/>
    </row>
    <row r="41" spans="2:5" ht="11.25" x14ac:dyDescent="0.2">
      <c r="B41"/>
      <c r="C41"/>
      <c r="D41"/>
    </row>
    <row r="42" spans="2:5" ht="11.25" x14ac:dyDescent="0.2">
      <c r="B42"/>
      <c r="C42"/>
      <c r="D42"/>
    </row>
    <row r="43" spans="2:5" ht="11.25" x14ac:dyDescent="0.2">
      <c r="B43"/>
      <c r="C43"/>
      <c r="D43"/>
    </row>
    <row r="44" spans="2:5" ht="11.25" x14ac:dyDescent="0.2">
      <c r="B44"/>
      <c r="C44"/>
      <c r="D44"/>
    </row>
    <row r="45" spans="2:5" ht="11.25" x14ac:dyDescent="0.2">
      <c r="B45"/>
      <c r="C45"/>
      <c r="D45"/>
    </row>
    <row r="46" spans="2:5" ht="11.25" x14ac:dyDescent="0.2">
      <c r="B46"/>
      <c r="C46"/>
      <c r="D46"/>
    </row>
    <row r="47" spans="2:5" ht="11.25" x14ac:dyDescent="0.2">
      <c r="B47"/>
      <c r="C47"/>
      <c r="D47"/>
    </row>
    <row r="48" spans="2:5" ht="11.25" x14ac:dyDescent="0.2">
      <c r="B48"/>
      <c r="C48"/>
      <c r="D48"/>
    </row>
    <row r="49" spans="2:3" ht="11.25" x14ac:dyDescent="0.2">
      <c r="B49"/>
      <c r="C49"/>
    </row>
    <row r="50" spans="2:3" ht="11.25" x14ac:dyDescent="0.2">
      <c r="B50"/>
      <c r="C50"/>
    </row>
    <row r="51" spans="2:3" ht="11.25" x14ac:dyDescent="0.2">
      <c r="B51"/>
      <c r="C51"/>
    </row>
    <row r="52" spans="2:3" ht="11.25" x14ac:dyDescent="0.2">
      <c r="B52"/>
      <c r="C52"/>
    </row>
    <row r="53" spans="2:3" ht="11.25" x14ac:dyDescent="0.2">
      <c r="B53"/>
      <c r="C53"/>
    </row>
    <row r="54" spans="2:3" ht="11.25" x14ac:dyDescent="0.2">
      <c r="B54"/>
      <c r="C54"/>
    </row>
    <row r="55" spans="2:3" ht="11.25" x14ac:dyDescent="0.2">
      <c r="B55"/>
      <c r="C55"/>
    </row>
    <row r="56" spans="2:3" ht="11.25" x14ac:dyDescent="0.2">
      <c r="B56"/>
      <c r="C56"/>
    </row>
    <row r="57" spans="2:3" ht="11.25" x14ac:dyDescent="0.2">
      <c r="B57"/>
      <c r="C57"/>
    </row>
    <row r="58" spans="2:3" ht="11.25" x14ac:dyDescent="0.2">
      <c r="B58"/>
      <c r="C58"/>
    </row>
    <row r="59" spans="2:3" ht="11.25" x14ac:dyDescent="0.2">
      <c r="B59"/>
      <c r="C59"/>
    </row>
    <row r="60" spans="2:3" ht="11.25" x14ac:dyDescent="0.2">
      <c r="B60"/>
      <c r="C60"/>
    </row>
    <row r="61" spans="2:3" ht="11.25" x14ac:dyDescent="0.2">
      <c r="B61"/>
      <c r="C61"/>
    </row>
    <row r="62" spans="2:3" ht="11.25" x14ac:dyDescent="0.2">
      <c r="B62"/>
      <c r="C62"/>
    </row>
    <row r="63" spans="2:3" ht="11.25" x14ac:dyDescent="0.2">
      <c r="B63"/>
      <c r="C63"/>
    </row>
    <row r="64" spans="2:3" ht="11.25" x14ac:dyDescent="0.2">
      <c r="B64"/>
      <c r="C64"/>
    </row>
    <row r="65" spans="2:3" ht="11.25" x14ac:dyDescent="0.2">
      <c r="B65"/>
      <c r="C65"/>
    </row>
    <row r="66" spans="2:3" ht="11.25" x14ac:dyDescent="0.2">
      <c r="B66"/>
      <c r="C66"/>
    </row>
  </sheetData>
  <conditionalFormatting sqref="E1:E4 E38:E1048553">
    <cfRule type="expression" dxfId="40" priority="4">
      <formula>(LEN($E1)&gt;0)*(LEN($D2)&gt;0)</formula>
    </cfRule>
  </conditionalFormatting>
  <conditionalFormatting sqref="D1:D5 D49:D1048576 F30:F1048576">
    <cfRule type="expression" dxfId="39" priority="3">
      <formula>(LEN($D1)&gt;0)*(LEN($C1)=0)</formula>
    </cfRule>
  </conditionalFormatting>
  <conditionalFormatting sqref="F1:F5">
    <cfRule type="expression" dxfId="38" priority="1">
      <formula>(LEN($D1)&gt;0)*(LEN($C1)=0)</formula>
    </cfRule>
  </conditionalFormatting>
  <conditionalFormatting sqref="E1048554:E1048576">
    <cfRule type="expression" dxfId="37" priority="10">
      <formula>(LEN($E1048554)&gt;0)*(LEN($D1)&gt;0)</formula>
    </cfRule>
  </conditionalFormatting>
  <printOptions horizontalCentered="1"/>
  <pageMargins left="0.25" right="0.25" top="0.75" bottom="0.75" header="0.3" footer="0.3"/>
  <pageSetup paperSize="9" fitToHeight="0" orientation="portrait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autoPageBreaks="0" fitToPage="1"/>
  </sheetPr>
  <dimension ref="B2:J43"/>
  <sheetViews>
    <sheetView showGridLines="0" zoomScaleNormal="100" workbookViewId="0"/>
  </sheetViews>
  <sheetFormatPr defaultRowHeight="11.25" x14ac:dyDescent="0.2"/>
  <cols>
    <col min="1" max="1" width="2" customWidth="1"/>
    <col min="2" max="2" width="32.6640625" customWidth="1"/>
    <col min="3" max="3" width="18.33203125" customWidth="1"/>
    <col min="4" max="4" width="17.33203125" customWidth="1"/>
    <col min="5" max="5" width="20" customWidth="1"/>
    <col min="6" max="6" width="23.33203125" customWidth="1"/>
    <col min="7" max="7" width="24.1640625" customWidth="1"/>
    <col min="8" max="8" width="22.5" customWidth="1"/>
    <col min="9" max="9" width="18.5" customWidth="1"/>
    <col min="10" max="10" width="16" customWidth="1"/>
  </cols>
  <sheetData>
    <row r="2" spans="2:10" ht="33.75" x14ac:dyDescent="0.2">
      <c r="B2" s="2" t="s">
        <v>32</v>
      </c>
    </row>
    <row r="3" spans="2:10" ht="27.75" customHeight="1" x14ac:dyDescent="0.2">
      <c r="B3" s="20" t="str">
        <f ca="1">"DZISIEJSZA DATA: "&amp;UPPER(TEXT(TODAY(),"d mmm rrr"))</f>
        <v>DZISIEJSZA DATA: 3 GRU 2012</v>
      </c>
      <c r="D3" s="22">
        <f ca="1">--TRIM(RIGHT(B3,LEN(B3)-FIND(":",B3)))</f>
        <v>41246</v>
      </c>
    </row>
    <row r="4" spans="2:10" ht="15" customHeight="1" x14ac:dyDescent="0.2"/>
    <row r="5" spans="2:10" ht="18.75" customHeight="1" x14ac:dyDescent="0.2">
      <c r="B5" s="45" t="s">
        <v>33</v>
      </c>
      <c r="C5" s="44" t="s">
        <v>34</v>
      </c>
      <c r="D5" s="44" t="s">
        <v>35</v>
      </c>
      <c r="E5" s="44" t="s">
        <v>36</v>
      </c>
      <c r="F5" s="44" t="s">
        <v>7</v>
      </c>
      <c r="G5" s="44" t="s">
        <v>37</v>
      </c>
      <c r="H5" s="44" t="s">
        <v>38</v>
      </c>
      <c r="I5" s="44" t="s">
        <v>39</v>
      </c>
      <c r="J5" s="34" t="s">
        <v>14</v>
      </c>
    </row>
    <row r="6" spans="2:10" s="3" customFormat="1" ht="15" customHeight="1" x14ac:dyDescent="0.2">
      <c r="B6" s="9" t="s">
        <v>8</v>
      </c>
      <c r="C6" s="40">
        <f ca="1">COUNTIF('Wprowadzanie danych'!$B$6:$B$24,"&gt;="&amp;DATE(fRok,MONTH(fData),1))-COUNTIF('Wprowadzanie danych'!$B$6:$B$24,"&gt;"&amp;EOMONTH(fData,0))</f>
        <v>0</v>
      </c>
      <c r="D6" s="43"/>
      <c r="E6" s="11"/>
      <c r="F6" s="12"/>
      <c r="G6" s="40">
        <f ca="1">COUNTIF(tblDane[DATA],"&lt;="&amp;EOMONTH(fData,0))</f>
        <v>0</v>
      </c>
      <c r="H6" s="10"/>
      <c r="I6" s="10"/>
      <c r="J6" s="13"/>
    </row>
    <row r="7" spans="2:10" s="3" customFormat="1" ht="15" customHeight="1" x14ac:dyDescent="0.2">
      <c r="B7" s="14" t="s">
        <v>13</v>
      </c>
      <c r="C7" s="52">
        <f ca="1">SUMIF(tblDane[DATA],"&gt;="&amp;DATE(fRok,MONTH(fData),1),tblDane[KWOTA])-SUMIF(tblDane[DATA],"&gt;"&amp;EOMONTH(fData,0),tblDane[KWOTA])</f>
        <v>0</v>
      </c>
      <c r="D7" s="52">
        <f ca="1">SUMIF('Wprowadzanie danych'!$B$6:$B$24,"&gt;="&amp;DATE(fRok,MONTH(fData),1),'Wprowadzanie danych'!$E$6:$E$24)-SUMIF('Wprowadzanie danych'!$B$6:$B$24,"&gt;"&amp;EOMONTH(fData,0),'Wprowadzanie danych'!$E$6:$E$24)</f>
        <v>0</v>
      </c>
      <c r="E7" s="52">
        <f ca="1">D7-C7</f>
        <v>0</v>
      </c>
      <c r="F7" s="41" t="str">
        <f ca="1">IFERROR(D7/C7,"-")</f>
        <v>-</v>
      </c>
      <c r="G7" s="52">
        <f ca="1">SUMIF(tblDane[DATA],"&lt;="&amp;EOMONTH(fData,0),tblDane[KWOTA])</f>
        <v>0</v>
      </c>
      <c r="H7" s="52">
        <f ca="1">SUMIF(tblDane[DATA],"&lt;="&amp;EOMONTH(fData,0),tblDane[PLANOWANE])</f>
        <v>0</v>
      </c>
      <c r="I7" s="52">
        <f ca="1">H7-G7</f>
        <v>0</v>
      </c>
      <c r="J7" s="15" t="str">
        <f ca="1">IFERROR(H7/G7,"")</f>
        <v/>
      </c>
    </row>
    <row r="8" spans="2:10" s="3" customFormat="1" ht="15" customHeight="1" x14ac:dyDescent="0.2">
      <c r="B8" s="14" t="s">
        <v>9</v>
      </c>
      <c r="C8" s="52">
        <f ca="1">(SUMIF(tblDane[DATA],"&gt;="&amp;DATE(fRok,MONTH(fData),1),tblDane[KWOTA])-SUMIF(tblDane[DATA],"&gt;"&amp;EOMONTH(fData,0),tblDane[KWOTA]))-(SUMIF(tblDane[DATA],"&gt;="&amp;DATE(fRok,MONTH(fData),1),tblDane[KOSZT])-SUMIF(tblDane[DATA],"&gt;"&amp;EOMONTH(fData,0),tblDane[KOSZT]))</f>
        <v>0</v>
      </c>
      <c r="D8" s="52">
        <f ca="1">(SUMIF('Wprowadzanie danych'!$B$6:$B$24,"&gt;="&amp;DATE(fRok,MONTH(fData),1),'Wprowadzanie danych'!$E$6:$E$24)-SUMIF('Wprowadzanie danych'!$B$6:$B$24,"&gt;"&amp;EOMONTH(fData,0),'Wprowadzanie danych'!$E$6:$E$24))-(SUMIF('Wprowadzanie danych'!$B$6:$B$24,"&gt;="&amp;DATE(fRok,MONTH(fData),1),'Wprowadzanie danych'!$F$6:$F$24)-SUMIF('Wprowadzanie danych'!$B$6:$B$24,"&gt;"&amp;EOMONTH(fData,0),'Wprowadzanie danych'!$F$6:$F$24))</f>
        <v>0</v>
      </c>
      <c r="E8" s="52">
        <f ca="1">D8-C8</f>
        <v>0</v>
      </c>
      <c r="F8" s="41" t="str">
        <f ca="1">IFERROR(D8/C8,"-")</f>
        <v>-</v>
      </c>
      <c r="G8" s="52">
        <f ca="1">SUMIF('Wprowadzanie danych'!$B$6:$B$24,"&lt;="&amp;EOMONTH(fData,0),'Wprowadzanie danych'!$F$6:$F$24)</f>
        <v>0</v>
      </c>
      <c r="H8" s="52">
        <f ca="1">SUMIF(tblDane[DATA],"&lt;="&amp;EOMONTH(fData,0),tblDane[KOSZT])</f>
        <v>0</v>
      </c>
      <c r="I8" s="52">
        <f ca="1">H8-G8</f>
        <v>0</v>
      </c>
      <c r="J8" s="15" t="str">
        <f ca="1">IFERROR(H8/G8,"")</f>
        <v/>
      </c>
    </row>
    <row r="9" spans="2:10" s="3" customFormat="1" ht="15" customHeight="1" x14ac:dyDescent="0.2">
      <c r="B9" s="14" t="s">
        <v>10</v>
      </c>
      <c r="C9" s="41" t="str">
        <f ca="1">IFERROR(C8/C7,"-")</f>
        <v>-</v>
      </c>
      <c r="D9" s="41" t="str">
        <f ca="1">IFERROR(D8/D7,"-")</f>
        <v>-</v>
      </c>
      <c r="E9" s="41"/>
      <c r="F9" s="41" t="str">
        <f ca="1">IFERROR(F8/F7,"-")</f>
        <v>-</v>
      </c>
      <c r="G9" s="41" t="str">
        <f ca="1">IFERROR(G8/G7,"")</f>
        <v/>
      </c>
      <c r="H9" s="41" t="str">
        <f ca="1">IFERROR(H8/H7,"")</f>
        <v/>
      </c>
      <c r="I9" s="41"/>
      <c r="J9" s="15" t="str">
        <f ca="1">IFERROR(J8/J7,"")</f>
        <v/>
      </c>
    </row>
    <row r="10" spans="2:10" s="3" customFormat="1" ht="15" customHeight="1" x14ac:dyDescent="0.2">
      <c r="B10" s="14" t="s">
        <v>11</v>
      </c>
      <c r="C10" s="53">
        <f ca="1">COUNTIF(tblDane[DATA],"&gt;="&amp;DATE(fRok,MONTH(fData),1))-COUNTIF(tblDane[DATA],"&gt;"&amp;EOMONTH(fData,0))</f>
        <v>0</v>
      </c>
      <c r="D10" s="16"/>
      <c r="E10" s="16"/>
      <c r="F10" s="16"/>
      <c r="G10" s="42">
        <f ca="1">COUNTIF(tblDane[DATA],"&gt;"&amp;EOMONTH(fData,0))</f>
        <v>19</v>
      </c>
      <c r="H10" s="16"/>
      <c r="I10" s="16"/>
      <c r="J10" s="17"/>
    </row>
    <row r="11" spans="2:10" s="3" customFormat="1" ht="15" customHeight="1" x14ac:dyDescent="0.2">
      <c r="B11" s="14" t="s">
        <v>12</v>
      </c>
      <c r="C11" s="52" t="str">
        <f ca="1">IFERROR(C7/C10,"-")</f>
        <v>-</v>
      </c>
      <c r="D11" s="16"/>
      <c r="E11" s="16"/>
      <c r="F11" s="16"/>
      <c r="G11" s="52">
        <f ca="1">IFERROR(G7/G10,"-")</f>
        <v>0</v>
      </c>
      <c r="H11" s="16"/>
      <c r="I11" s="16"/>
      <c r="J11" s="17"/>
    </row>
    <row r="12" spans="2:10" ht="27" customHeight="1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0" ht="15.75" customHeight="1" x14ac:dyDescent="0.2">
      <c r="B13" s="33" t="s">
        <v>30</v>
      </c>
      <c r="C13" s="33"/>
      <c r="D13" s="33" t="s">
        <v>40</v>
      </c>
      <c r="E13" s="39"/>
      <c r="F13" s="33" t="s">
        <v>41</v>
      </c>
      <c r="G13" s="39"/>
      <c r="H13" s="33"/>
      <c r="I13" s="33" t="s">
        <v>42</v>
      </c>
      <c r="J13" s="18"/>
    </row>
    <row r="14" spans="2:10" x14ac:dyDescent="0.2">
      <c r="B14" s="36" t="s">
        <v>13</v>
      </c>
      <c r="C14" s="36"/>
      <c r="D14" s="54">
        <f ca="1">TREND(tblDane[[MIESIĄC ]],tblDane[NR MIESIĄCA (UKRYTE)],IF(MONTH(fData)=12,13,MONTH(fData)+1))</f>
        <v>20504.314720812181</v>
      </c>
      <c r="E14" s="38"/>
      <c r="F14" s="54">
        <f ca="1">TREND(tblDane[[KWARTAŁ ]],tblDane[NR MIESIĄCA (UKRYTE)],IF(MONTH(fData)=12,13,MONTH(fData)+1))</f>
        <v>43124.365482233508</v>
      </c>
      <c r="G14" s="38"/>
      <c r="H14" s="37"/>
      <c r="I14" s="54">
        <f ca="1">TREND(tblDane[[ROCZNIE ]],tblDane[NR MIESIĄCA (UKRYTE)],IF(MONTH(fData)=12,13,MONTH(fData)+1))</f>
        <v>143800</v>
      </c>
      <c r="J14" s="19"/>
    </row>
    <row r="15" spans="2:10" ht="27" customHeight="1" x14ac:dyDescent="0.2"/>
    <row r="16" spans="2:10" s="21" customFormat="1" ht="27" customHeight="1" x14ac:dyDescent="0.2">
      <c r="B16" s="21" t="s">
        <v>43</v>
      </c>
    </row>
    <row r="30" spans="2:6" s="21" customFormat="1" ht="27" customHeight="1" x14ac:dyDescent="0.2">
      <c r="B30" s="21" t="s">
        <v>46</v>
      </c>
      <c r="F30" s="21" t="s">
        <v>47</v>
      </c>
    </row>
    <row r="38" spans="2:10" s="21" customFormat="1" ht="27" customHeight="1" x14ac:dyDescent="0.2">
      <c r="B38" s="21" t="s">
        <v>44</v>
      </c>
      <c r="F38" s="21" t="s">
        <v>45</v>
      </c>
    </row>
    <row r="43" spans="2:10" x14ac:dyDescent="0.2">
      <c r="J43" t="s">
        <v>49</v>
      </c>
    </row>
  </sheetData>
  <conditionalFormatting sqref="E2">
    <cfRule type="expression" dxfId="19" priority="3">
      <formula>(LEN($E2)&gt;0)*(LEN($D3)&gt;0)</formula>
    </cfRule>
  </conditionalFormatting>
  <conditionalFormatting sqref="D2">
    <cfRule type="expression" dxfId="18" priority="2">
      <formula>(LEN($D2)&gt;0)*(LEN($C2)=0)</formula>
    </cfRule>
  </conditionalFormatting>
  <conditionalFormatting sqref="F2">
    <cfRule type="expression" dxfId="17" priority="1">
      <formula>(LEN($D2)&gt;0)*(LEN($C2)=0)</formula>
    </cfRule>
  </conditionalFormatting>
  <printOptions horizontalCentered="1" verticalCentered="1"/>
  <pageMargins left="0.25" right="0.25" top="0.75" bottom="0.75" header="0.3" footer="0.3"/>
  <pageSetup paperSize="9"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baff33-f40f-4664-8054-1bde3cabf4f6" xsi:nil="true"/>
    <AssetExpire xmlns="29baff33-f40f-4664-8054-1bde3cabf4f6">2029-01-01T08:00:00+00:00</AssetExpire>
    <CampaignTagsTaxHTField0 xmlns="29baff33-f40f-4664-8054-1bde3cabf4f6">
      <Terms xmlns="http://schemas.microsoft.com/office/infopath/2007/PartnerControls"/>
    </CampaignTagsTaxHTField0>
    <IntlLangReviewDate xmlns="29baff33-f40f-4664-8054-1bde3cabf4f6" xsi:nil="true"/>
    <TPFriendlyName xmlns="29baff33-f40f-4664-8054-1bde3cabf4f6" xsi:nil="true"/>
    <IntlLangReview xmlns="29baff33-f40f-4664-8054-1bde3cabf4f6">false</IntlLangReview>
    <LocLastLocAttemptVersionLookup xmlns="29baff33-f40f-4664-8054-1bde3cabf4f6">845880</LocLastLocAttemptVersionLookup>
    <PolicheckWords xmlns="29baff33-f40f-4664-8054-1bde3cabf4f6" xsi:nil="true"/>
    <SubmitterId xmlns="29baff33-f40f-4664-8054-1bde3cabf4f6" xsi:nil="true"/>
    <AcquiredFrom xmlns="29baff33-f40f-4664-8054-1bde3cabf4f6">Internal MS</AcquiredFrom>
    <EditorialStatus xmlns="29baff33-f40f-4664-8054-1bde3cabf4f6" xsi:nil="true"/>
    <Markets xmlns="29baff33-f40f-4664-8054-1bde3cabf4f6"/>
    <OriginAsset xmlns="29baff33-f40f-4664-8054-1bde3cabf4f6" xsi:nil="true"/>
    <AssetStart xmlns="29baff33-f40f-4664-8054-1bde3cabf4f6">2012-06-28T22:27:47+00:00</AssetStart>
    <FriendlyTitle xmlns="29baff33-f40f-4664-8054-1bde3cabf4f6" xsi:nil="true"/>
    <MarketSpecific xmlns="29baff33-f40f-4664-8054-1bde3cabf4f6">false</MarketSpecific>
    <TPNamespace xmlns="29baff33-f40f-4664-8054-1bde3cabf4f6" xsi:nil="true"/>
    <PublishStatusLookup xmlns="29baff33-f40f-4664-8054-1bde3cabf4f6">
      <Value>375829</Value>
    </PublishStatusLookup>
    <APAuthor xmlns="29baff33-f40f-4664-8054-1bde3cabf4f6">
      <UserInfo>
        <DisplayName/>
        <AccountId>2566</AccountId>
        <AccountType/>
      </UserInfo>
    </APAuthor>
    <TPCommandLine xmlns="29baff33-f40f-4664-8054-1bde3cabf4f6" xsi:nil="true"/>
    <IntlLangReviewer xmlns="29baff33-f40f-4664-8054-1bde3cabf4f6" xsi:nil="true"/>
    <OpenTemplate xmlns="29baff33-f40f-4664-8054-1bde3cabf4f6">true</OpenTemplate>
    <CSXSubmissionDate xmlns="29baff33-f40f-4664-8054-1bde3cabf4f6" xsi:nil="true"/>
    <TaxCatchAll xmlns="29baff33-f40f-4664-8054-1bde3cabf4f6"/>
    <Manager xmlns="29baff33-f40f-4664-8054-1bde3cabf4f6" xsi:nil="true"/>
    <NumericId xmlns="29baff33-f40f-4664-8054-1bde3cabf4f6" xsi:nil="true"/>
    <ParentAssetId xmlns="29baff33-f40f-4664-8054-1bde3cabf4f6" xsi:nil="true"/>
    <OriginalSourceMarket xmlns="29baff33-f40f-4664-8054-1bde3cabf4f6">english</OriginalSourceMarket>
    <ApprovalStatus xmlns="29baff33-f40f-4664-8054-1bde3cabf4f6">InProgress</ApprovalStatus>
    <TPComponent xmlns="29baff33-f40f-4664-8054-1bde3cabf4f6" xsi:nil="true"/>
    <EditorialTags xmlns="29baff33-f40f-4664-8054-1bde3cabf4f6" xsi:nil="true"/>
    <TPExecutable xmlns="29baff33-f40f-4664-8054-1bde3cabf4f6" xsi:nil="true"/>
    <TPLaunchHelpLink xmlns="29baff33-f40f-4664-8054-1bde3cabf4f6" xsi:nil="true"/>
    <LocComments xmlns="29baff33-f40f-4664-8054-1bde3cabf4f6" xsi:nil="true"/>
    <LocRecommendedHandoff xmlns="29baff33-f40f-4664-8054-1bde3cabf4f6" xsi:nil="true"/>
    <SourceTitle xmlns="29baff33-f40f-4664-8054-1bde3cabf4f6" xsi:nil="true"/>
    <CSXUpdate xmlns="29baff33-f40f-4664-8054-1bde3cabf4f6">false</CSXUpdate>
    <IntlLocPriority xmlns="29baff33-f40f-4664-8054-1bde3cabf4f6" xsi:nil="true"/>
    <UAProjectedTotalWords xmlns="29baff33-f40f-4664-8054-1bde3cabf4f6" xsi:nil="true"/>
    <AssetType xmlns="29baff33-f40f-4664-8054-1bde3cabf4f6" xsi:nil="true"/>
    <MachineTranslated xmlns="29baff33-f40f-4664-8054-1bde3cabf4f6">false</MachineTranslated>
    <OutputCachingOn xmlns="29baff33-f40f-4664-8054-1bde3cabf4f6">false</OutputCachingOn>
    <TemplateStatus xmlns="29baff33-f40f-4664-8054-1bde3cabf4f6">Complete</TemplateStatus>
    <IsSearchable xmlns="29baff33-f40f-4664-8054-1bde3cabf4f6">false</IsSearchable>
    <ContentItem xmlns="29baff33-f40f-4664-8054-1bde3cabf4f6" xsi:nil="true"/>
    <HandoffToMSDN xmlns="29baff33-f40f-4664-8054-1bde3cabf4f6" xsi:nil="true"/>
    <ShowIn xmlns="29baff33-f40f-4664-8054-1bde3cabf4f6">Show everywhere</ShowIn>
    <ThumbnailAssetId xmlns="29baff33-f40f-4664-8054-1bde3cabf4f6" xsi:nil="true"/>
    <UALocComments xmlns="29baff33-f40f-4664-8054-1bde3cabf4f6" xsi:nil="true"/>
    <UALocRecommendation xmlns="29baff33-f40f-4664-8054-1bde3cabf4f6">Localize</UALocRecommendation>
    <LastModifiedDateTime xmlns="29baff33-f40f-4664-8054-1bde3cabf4f6" xsi:nil="true"/>
    <LegacyData xmlns="29baff33-f40f-4664-8054-1bde3cabf4f6" xsi:nil="true"/>
    <LocManualTestRequired xmlns="29baff33-f40f-4664-8054-1bde3cabf4f6">false</LocManualTestRequired>
    <LocMarketGroupTiers2 xmlns="29baff33-f40f-4664-8054-1bde3cabf4f6" xsi:nil="true"/>
    <ClipArtFilename xmlns="29baff33-f40f-4664-8054-1bde3cabf4f6" xsi:nil="true"/>
    <TPApplication xmlns="29baff33-f40f-4664-8054-1bde3cabf4f6" xsi:nil="true"/>
    <CSXHash xmlns="29baff33-f40f-4664-8054-1bde3cabf4f6" xsi:nil="true"/>
    <DirectSourceMarket xmlns="29baff33-f40f-4664-8054-1bde3cabf4f6">english</DirectSourceMarket>
    <PrimaryImageGen xmlns="29baff33-f40f-4664-8054-1bde3cabf4f6">false</PrimaryImageGen>
    <PlannedPubDate xmlns="29baff33-f40f-4664-8054-1bde3cabf4f6" xsi:nil="true"/>
    <CSXSubmissionMarket xmlns="29baff33-f40f-4664-8054-1bde3cabf4f6" xsi:nil="true"/>
    <Downloads xmlns="29baff33-f40f-4664-8054-1bde3cabf4f6">0</Downloads>
    <ArtSampleDocs xmlns="29baff33-f40f-4664-8054-1bde3cabf4f6" xsi:nil="true"/>
    <TrustLevel xmlns="29baff33-f40f-4664-8054-1bde3cabf4f6">1 Microsoft Managed Content</TrustLevel>
    <BlockPublish xmlns="29baff33-f40f-4664-8054-1bde3cabf4f6">false</BlockPublish>
    <TPLaunchHelpLinkType xmlns="29baff33-f40f-4664-8054-1bde3cabf4f6">Template</TPLaunchHelpLinkType>
    <LocalizationTagsTaxHTField0 xmlns="29baff33-f40f-4664-8054-1bde3cabf4f6">
      <Terms xmlns="http://schemas.microsoft.com/office/infopath/2007/PartnerControls"/>
    </LocalizationTagsTaxHTField0>
    <BusinessGroup xmlns="29baff33-f40f-4664-8054-1bde3cabf4f6" xsi:nil="true"/>
    <Providers xmlns="29baff33-f40f-4664-8054-1bde3cabf4f6" xsi:nil="true"/>
    <TemplateTemplateType xmlns="29baff33-f40f-4664-8054-1bde3cabf4f6">Excel Spreadsheet Template</TemplateTemplateType>
    <TimesCloned xmlns="29baff33-f40f-4664-8054-1bde3cabf4f6" xsi:nil="true"/>
    <TPAppVersion xmlns="29baff33-f40f-4664-8054-1bde3cabf4f6" xsi:nil="true"/>
    <VoteCount xmlns="29baff33-f40f-4664-8054-1bde3cabf4f6" xsi:nil="true"/>
    <FeatureTagsTaxHTField0 xmlns="29baff33-f40f-4664-8054-1bde3cabf4f6">
      <Terms xmlns="http://schemas.microsoft.com/office/infopath/2007/PartnerControls"/>
    </FeatureTagsTaxHTField0>
    <Provider xmlns="29baff33-f40f-4664-8054-1bde3cabf4f6" xsi:nil="true"/>
    <UACurrentWords xmlns="29baff33-f40f-4664-8054-1bde3cabf4f6" xsi:nil="true"/>
    <AssetId xmlns="29baff33-f40f-4664-8054-1bde3cabf4f6">TP102929974</AssetId>
    <TPClientViewer xmlns="29baff33-f40f-4664-8054-1bde3cabf4f6" xsi:nil="true"/>
    <DSATActionTaken xmlns="29baff33-f40f-4664-8054-1bde3cabf4f6" xsi:nil="true"/>
    <APEditor xmlns="29baff33-f40f-4664-8054-1bde3cabf4f6">
      <UserInfo>
        <DisplayName/>
        <AccountId xsi:nil="true"/>
        <AccountType/>
      </UserInfo>
    </APEditor>
    <TPInstallLocation xmlns="29baff33-f40f-4664-8054-1bde3cabf4f6" xsi:nil="true"/>
    <OOCacheId xmlns="29baff33-f40f-4664-8054-1bde3cabf4f6" xsi:nil="true"/>
    <IsDeleted xmlns="29baff33-f40f-4664-8054-1bde3cabf4f6">false</IsDeleted>
    <PublishTargets xmlns="29baff33-f40f-4664-8054-1bde3cabf4f6">OfficeOnlineVNext</PublishTargets>
    <ApprovalLog xmlns="29baff33-f40f-4664-8054-1bde3cabf4f6" xsi:nil="true"/>
    <BugNumber xmlns="29baff33-f40f-4664-8054-1bde3cabf4f6" xsi:nil="true"/>
    <CrawlForDependencies xmlns="29baff33-f40f-4664-8054-1bde3cabf4f6">false</CrawlForDependencies>
    <InternalTagsTaxHTField0 xmlns="29baff33-f40f-4664-8054-1bde3cabf4f6">
      <Terms xmlns="http://schemas.microsoft.com/office/infopath/2007/PartnerControls"/>
    </InternalTagsTaxHTField0>
    <LastHandOff xmlns="29baff33-f40f-4664-8054-1bde3cabf4f6" xsi:nil="true"/>
    <Milestone xmlns="29baff33-f40f-4664-8054-1bde3cabf4f6" xsi:nil="true"/>
    <OriginalRelease xmlns="29baff33-f40f-4664-8054-1bde3cabf4f6">15</OriginalRelease>
    <RecommendationsModifier xmlns="29baff33-f40f-4664-8054-1bde3cabf4f6" xsi:nil="true"/>
    <ScenarioTagsTaxHTField0 xmlns="29baff33-f40f-4664-8054-1bde3cabf4f6">
      <Terms xmlns="http://schemas.microsoft.com/office/infopath/2007/PartnerControls"/>
    </ScenarioTagsTaxHTField0>
    <UANotes xmlns="29baff33-f40f-4664-8054-1bde3cabf4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900F577-F8CC-4631-943E-668CEA6A54CE}"/>
</file>

<file path=customXml/itemProps2.xml><?xml version="1.0" encoding="utf-8"?>
<ds:datastoreItem xmlns:ds="http://schemas.openxmlformats.org/officeDocument/2006/customXml" ds:itemID="{C8DE6788-D1FD-452D-A3B7-55A6390F72E3}"/>
</file>

<file path=customXml/itemProps3.xml><?xml version="1.0" encoding="utf-8"?>
<ds:datastoreItem xmlns:ds="http://schemas.openxmlformats.org/officeDocument/2006/customXml" ds:itemID="{0AEE7169-E8EC-4E19-BA48-3F46D4C38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Wprowadzanie danych</vt:lpstr>
      <vt:lpstr>Raport sprzedaży</vt:lpstr>
      <vt:lpstr>Prognoza sprzedaży</vt:lpstr>
      <vt:lpstr>Data_prognozy</vt:lpstr>
      <vt:lpstr>fData</vt:lpstr>
      <vt:lpstr>fDzień</vt:lpstr>
      <vt:lpstr>fMiesiąc</vt:lpstr>
      <vt:lpstr>fRok</vt:lpstr>
      <vt:lpstr>'Prognoza sprzedaży'!Obszar_wydruku</vt:lpstr>
      <vt:lpstr>'Raport sprzedaży'!Tytuły_wydruku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2012-06-20T20:17:06Z</dcterms:created>
  <dcterms:modified xsi:type="dcterms:W3CDTF">2012-12-03T14:20:17Z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0x010100CFA5F52AA0A00C4CBEF2A37681B2318F04009FDCD24A096B5E4C8184D4910FEB1A76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