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svg" ContentType="image/svg+xml"/>
  <Default Extension="png" ContentType="image/png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121.xml" ContentType="application/vnd.openxmlformats-officedocument.spreadsheetml.tabl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harts/colors3.xml" ContentType="application/vnd.ms-office.chartcolorstyle+xml"/>
  <Override PartName="/xl/charts/style3.xml" ContentType="application/vnd.ms-office.chartstyle+xml"/>
  <Override PartName="/xl/charts/chart22.xml" ContentType="application/vnd.openxmlformats-officedocument.drawingml.chart+xml"/>
  <Override PartName="/xl/charts/colors22.xml" ContentType="application/vnd.ms-office.chartcolorstyle+xml"/>
  <Override PartName="/xl/charts/style22.xml" ContentType="application/vnd.ms-office.chartstyle+xml"/>
  <Override PartName="/xl/charts/chart13.xml" ContentType="application/vnd.openxmlformats-officedocument.drawingml.chart+xml"/>
  <Override PartName="/xl/charts/colors13.xml" ContentType="application/vnd.ms-office.chartcolorstyle+xml"/>
  <Override PartName="/xl/charts/style13.xml" ContentType="application/vnd.ms-office.chartstyle+xml"/>
  <Override PartName="/xl/charts/chart44.xml" ContentType="application/vnd.openxmlformats-officedocument.drawingml.chart+xml"/>
  <Override PartName="/xl/charts/colors44.xml" ContentType="application/vnd.ms-office.chartcolorstyle+xml"/>
  <Override PartName="/xl/charts/style44.xml" ContentType="application/vnd.ms-office.chartstyle+xml"/>
  <Override PartName="/xl/tables/table142.xml" ContentType="application/vnd.openxmlformats-officedocument.spreadsheetml.table+xml"/>
  <Override PartName="/xl/tables/table133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84.xml" ContentType="application/vnd.openxmlformats-officedocument.spreadsheetml.table+xml"/>
  <Override PartName="/xl/drawings/drawing22.xml" ContentType="application/vnd.openxmlformats-officedocument.drawing+xml"/>
  <Override PartName="/xl/tables/table115.xml" ContentType="application/vnd.openxmlformats-officedocument.spreadsheetml.table+xml"/>
  <Override PartName="/xl/tables/table106.xml" ContentType="application/vnd.openxmlformats-officedocument.spreadsheetml.table+xml"/>
  <Override PartName="/xl/tables/table97.xml" ContentType="application/vnd.openxmlformats-officedocument.spreadsheetml.table+xml"/>
  <Override PartName="/xl/worksheets/sheet13.xml" ContentType="application/vnd.openxmlformats-officedocument.spreadsheetml.worksheet+xml"/>
  <Override PartName="/xl/tables/table68.xml" ContentType="application/vnd.openxmlformats-officedocument.spreadsheetml.table+xml"/>
  <Override PartName="/xl/tables/table19.xml" ContentType="application/vnd.openxmlformats-officedocument.spreadsheetml.table+xml"/>
  <Override PartName="/xl/tables/table510.xml" ContentType="application/vnd.openxmlformats-officedocument.spreadsheetml.table+xml"/>
  <Override PartName="/xl/drawings/drawing13.xml" ContentType="application/vnd.openxmlformats-officedocument.drawing+xml"/>
  <Override PartName="/xl/tables/table411.xml" ContentType="application/vnd.openxmlformats-officedocument.spreadsheetml.table+xml"/>
  <Override PartName="/xl/tables/table312.xml" ContentType="application/vnd.openxmlformats-officedocument.spreadsheetml.table+xml"/>
  <Override PartName="/xl/tables/table213.xml" ContentType="application/vnd.openxmlformats-officedocument.spreadsheetml.table+xml"/>
  <Override PartName="/xl/tables/table714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2.xml" ContentType="application/xml"/>
  <Override PartName="/customXml/itemProps32.xml" ContentType="application/vnd.openxmlformats-officedocument.customXmlProperties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07"/>
  <workbookPr filterPrivacy="1"/>
  <xr:revisionPtr revIDLastSave="0" documentId="13_ncr:1_{1A4E69DF-54E0-4B8E-A5C0-43C750735E1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Uitgaven" sheetId="1" r:id="rId1"/>
    <sheet name="Inkomsten" sheetId="2" r:id="rId2"/>
    <sheet name="Overzicht winst- en verlies" sheetId="3" r:id="rId3"/>
  </sheets>
  <definedNames>
    <definedName name="_xlnm.Print_Area" localSheetId="2">'Overzicht winst- en verlies'!$A:$H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2" l="1"/>
  <c r="D22" i="2"/>
  <c r="C16" i="1"/>
  <c r="D16" i="1"/>
  <c r="B3" i="2"/>
  <c r="B3" i="3"/>
  <c r="G33" i="2"/>
  <c r="G34" i="2"/>
  <c r="G35" i="2"/>
  <c r="G36" i="2"/>
  <c r="F33" i="2"/>
  <c r="F34" i="2"/>
  <c r="F35" i="2"/>
  <c r="F36" i="2"/>
  <c r="G19" i="2"/>
  <c r="G20" i="2"/>
  <c r="G21" i="2"/>
  <c r="F19" i="2"/>
  <c r="F20" i="2"/>
  <c r="F21" i="2"/>
  <c r="G12" i="2"/>
  <c r="G13" i="2"/>
  <c r="G14" i="2"/>
  <c r="F12" i="2"/>
  <c r="F13" i="2"/>
  <c r="F14" i="2"/>
  <c r="N8" i="3"/>
  <c r="C24" i="1"/>
  <c r="N9" i="3" s="1"/>
  <c r="C31" i="1"/>
  <c r="N10" i="3" s="1"/>
  <c r="G13" i="1"/>
  <c r="N11" i="3" s="1"/>
  <c r="G19" i="1"/>
  <c r="N12" i="3" s="1"/>
  <c r="G24" i="1"/>
  <c r="N13" i="3" s="1"/>
  <c r="G31" i="1"/>
  <c r="N14" i="3" s="1"/>
  <c r="O8" i="3"/>
  <c r="P8" i="3" s="1"/>
  <c r="H31" i="1"/>
  <c r="O14" i="3" s="1"/>
  <c r="P14" i="3" s="1"/>
  <c r="H24" i="1"/>
  <c r="O13" i="3" s="1"/>
  <c r="P13" i="3" s="1"/>
  <c r="H19" i="1"/>
  <c r="O12" i="3" s="1"/>
  <c r="P12" i="3" s="1"/>
  <c r="H13" i="1"/>
  <c r="O11" i="3" s="1"/>
  <c r="P11" i="3" s="1"/>
  <c r="D31" i="1"/>
  <c r="O10" i="3" s="1"/>
  <c r="P10" i="3" s="1"/>
  <c r="D37" i="2"/>
  <c r="C37" i="2"/>
  <c r="D29" i="2"/>
  <c r="C29" i="2"/>
  <c r="D15" i="2"/>
  <c r="C15" i="2"/>
  <c r="D24" i="1"/>
  <c r="F26" i="2"/>
  <c r="F27" i="2"/>
  <c r="F28" i="2"/>
  <c r="G26" i="2"/>
  <c r="G27" i="2"/>
  <c r="G28" i="2"/>
  <c r="F22" i="2" l="1"/>
  <c r="G22" i="2"/>
  <c r="G15" i="2"/>
  <c r="O18" i="3" s="1"/>
  <c r="P18" i="3" s="1"/>
  <c r="F37" i="2"/>
  <c r="N21" i="3" s="1"/>
  <c r="G37" i="2"/>
  <c r="O21" i="3" s="1"/>
  <c r="P21" i="3" s="1"/>
  <c r="F29" i="2"/>
  <c r="N20" i="3" s="1"/>
  <c r="D8" i="1"/>
  <c r="N19" i="3"/>
  <c r="O19" i="3"/>
  <c r="P19" i="3" s="1"/>
  <c r="G29" i="2"/>
  <c r="O20" i="3" s="1"/>
  <c r="P20" i="3" s="1"/>
  <c r="F15" i="2"/>
  <c r="O9" i="3"/>
  <c r="P9" i="3" s="1"/>
  <c r="L9" i="3" s="1"/>
  <c r="C8" i="1"/>
  <c r="C8" i="2" l="1"/>
  <c r="L19" i="3"/>
  <c r="N18" i="3"/>
  <c r="D8" i="2"/>
  <c r="L11" i="3"/>
  <c r="L12" i="3"/>
  <c r="L14" i="3"/>
  <c r="L21" i="3"/>
  <c r="L20" i="3"/>
  <c r="L10" i="3"/>
  <c r="L13" i="3"/>
  <c r="L8" i="3"/>
  <c r="L18" i="3"/>
  <c r="D20" i="3" l="1"/>
  <c r="D19" i="3"/>
  <c r="C19" i="3"/>
  <c r="B19" i="3"/>
  <c r="D21" i="3"/>
  <c r="B21" i="3"/>
  <c r="D18" i="3"/>
  <c r="C18" i="3"/>
  <c r="C20" i="3"/>
  <c r="C21" i="3"/>
  <c r="B18" i="3"/>
  <c r="D14" i="3"/>
  <c r="D13" i="3"/>
  <c r="D8" i="3"/>
  <c r="B8" i="3"/>
  <c r="D10" i="3"/>
  <c r="D9" i="3"/>
  <c r="C11" i="3"/>
  <c r="C13" i="3"/>
  <c r="C12" i="3"/>
  <c r="B14" i="3"/>
  <c r="B13" i="3"/>
  <c r="C9" i="3"/>
  <c r="C8" i="3"/>
  <c r="B10" i="3"/>
  <c r="B12" i="3"/>
  <c r="B11" i="3"/>
  <c r="C10" i="3"/>
  <c r="C14" i="3"/>
  <c r="D11" i="3"/>
  <c r="B9" i="3"/>
  <c r="D12" i="3"/>
  <c r="D22" i="3" l="1"/>
  <c r="D25" i="3" s="1"/>
  <c r="C22" i="3"/>
  <c r="C25" i="3" s="1"/>
  <c r="C15" i="3"/>
  <c r="C26" i="3" s="1"/>
  <c r="D15" i="3"/>
  <c r="D26" i="3" s="1"/>
  <c r="D27" i="3" l="1"/>
  <c r="C27" i="3"/>
</calcChain>
</file>

<file path=xl/sharedStrings.xml><?xml version="1.0" encoding="utf-8"?>
<sst xmlns="http://schemas.openxmlformats.org/spreadsheetml/2006/main" count="153" uniqueCount="76">
  <si>
    <t>Productlanceringsfeest</t>
  </si>
  <si>
    <t>GEGEVENS ONKOSTEN</t>
  </si>
  <si>
    <t>Totale onkosten</t>
  </si>
  <si>
    <t>Locatie</t>
  </si>
  <si>
    <t>Kamer- en zaalkosten</t>
  </si>
  <si>
    <t>Personeel op locatie</t>
  </si>
  <si>
    <t>Apparatuur</t>
  </si>
  <si>
    <t>Tafels en stoelen</t>
  </si>
  <si>
    <t>Totaal</t>
  </si>
  <si>
    <t>Versieringen</t>
  </si>
  <si>
    <t>Bloemen</t>
  </si>
  <si>
    <t>Kaarsen</t>
  </si>
  <si>
    <t>Verlichting</t>
  </si>
  <si>
    <t>Ballonnen</t>
  </si>
  <si>
    <t>Papier</t>
  </si>
  <si>
    <t>Hapjes en drankjes</t>
  </si>
  <si>
    <t>Eten en drinken</t>
  </si>
  <si>
    <t>Drinken</t>
  </si>
  <si>
    <t>Linnengoed</t>
  </si>
  <si>
    <t>Personeel en fooien</t>
  </si>
  <si>
    <t>Geschat</t>
  </si>
  <si>
    <t>Werkelijk</t>
  </si>
  <si>
    <t>Programma</t>
  </si>
  <si>
    <t>Artiesten</t>
  </si>
  <si>
    <t>Sprekers</t>
  </si>
  <si>
    <t>Reis</t>
  </si>
  <si>
    <t>Hotel</t>
  </si>
  <si>
    <t>Anders</t>
  </si>
  <si>
    <t>Publiciteit</t>
  </si>
  <si>
    <t>Grafisch werk</t>
  </si>
  <si>
    <t>Kopiëren/drukken</t>
  </si>
  <si>
    <t>Porto</t>
  </si>
  <si>
    <t>Prijzen</t>
  </si>
  <si>
    <t>Linten/trofeeën</t>
  </si>
  <si>
    <t>Geschenken</t>
  </si>
  <si>
    <t>Diversen</t>
  </si>
  <si>
    <t>Telefoon</t>
  </si>
  <si>
    <t>Vervoer</t>
  </si>
  <si>
    <t>Kantoorbenodigdheden</t>
  </si>
  <si>
    <t>Faxkosten</t>
  </si>
  <si>
    <t xml:space="preserve"> </t>
  </si>
  <si>
    <t>GEGEVENS INKOMSTEN</t>
  </si>
  <si>
    <t>Totale inkomsten</t>
  </si>
  <si>
    <t>Toegangsbewijzen</t>
  </si>
  <si>
    <t>Soort</t>
  </si>
  <si>
    <t>Volwassenen</t>
  </si>
  <si>
    <t>Kinderen</t>
  </si>
  <si>
    <t>Overige</t>
  </si>
  <si>
    <t>Advertenties in programmaboekje</t>
  </si>
  <si>
    <t>Omslagen</t>
  </si>
  <si>
    <t>Halve pagina's</t>
  </si>
  <si>
    <t>Kwart pagina's</t>
  </si>
  <si>
    <t>Exposanten/verkopers</t>
  </si>
  <si>
    <t>Grote stands</t>
  </si>
  <si>
    <t>Middelgrote stands</t>
  </si>
  <si>
    <t>Kleine stands</t>
  </si>
  <si>
    <t>Verkoop van artikelen</t>
  </si>
  <si>
    <t>Item 1</t>
  </si>
  <si>
    <t>Artikel 2</t>
  </si>
  <si>
    <t>Artikel 3</t>
  </si>
  <si>
    <t>Artikel 4</t>
  </si>
  <si>
    <t>Prijs</t>
  </si>
  <si>
    <t>Geschatte inkomsten</t>
  </si>
  <si>
    <t>Werkelijke inkomsten</t>
  </si>
  <si>
    <t>OVERZICHT WINST- EN VERLIES</t>
  </si>
  <si>
    <t>Overzicht van uitgaven</t>
  </si>
  <si>
    <t>Overzicht van inkomsten</t>
  </si>
  <si>
    <t>Overzicht winst- en verlies</t>
  </si>
  <si>
    <t>Winst (of verlies)</t>
  </si>
  <si>
    <t>Verhouding uitgaven/winst (verlies)</t>
  </si>
  <si>
    <t>Geplande versus werkelijke kosten</t>
  </si>
  <si>
    <t>Werkelijke kosten</t>
  </si>
  <si>
    <t>Rangorde</t>
  </si>
  <si>
    <t>Onkosten</t>
  </si>
  <si>
    <t>Inkomsten</t>
  </si>
  <si>
    <t>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</si>
</sst>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6" formatCode="&quot;€&quot;\ #,##0;[Red]&quot;€&quot;\ \-#,##0"/>
    <numFmt numFmtId="8" formatCode="&quot;€&quot;\ #,##0.00;[Red]&quot;€&quot;\ \-#,##0.00"/>
    <numFmt numFmtId="164" formatCode="_(* #,##0_);_(* \(#,##0\);_(* &quot;-&quot;_);_(@_)"/>
    <numFmt numFmtId="165" formatCode="_(* #,##0.00_);_(* \(#,##0.00\);_(* &quot;-&quot;??_);_(@_)"/>
    <numFmt numFmtId="167" formatCode="_-&quot;kr&quot;\ * #,##0.00_-;\-&quot;kr&quot;\ * #,##0.00_-;_-&quot;kr&quot;\ * &quot;-&quot;??_-;_-@_-"/>
    <numFmt numFmtId="168" formatCode="_-&quot;kr&quot;\ * #,##0_-;\-&quot;kr&quot;\ * #,##0_-;_-&quot;kr&quot;\ * &quot;-&quot;_-;_-@_-"/>
    <numFmt numFmtId="169" formatCode="&quot;kr&quot;#,##0.00;[Red]&quot;kr&quot;#,##0.00"/>
    <numFmt numFmtId="172" formatCode="#,##0.0000_ ;[Red]\-#,##0.0000\ "/>
  </numFmts>
  <fonts count="43" x14ac:knownFonts="1">
    <font>
      <sz val="10"/>
      <name val="Arial"/>
      <family val="2"/>
    </font>
    <font>
      <sz val="11"/>
      <color theme="1"/>
      <name val="Courier New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22"/>
      <color theme="4"/>
      <name val="Arial Black"/>
      <family val="2"/>
      <scheme val="major"/>
    </font>
    <font>
      <sz val="22"/>
      <color theme="1" tint="0.14999847407452621"/>
      <name val="Arial Black"/>
      <family val="2"/>
      <scheme val="major"/>
    </font>
    <font>
      <sz val="24"/>
      <color theme="1" tint="0.14999847407452621"/>
      <name val="Arial Black"/>
      <family val="2"/>
      <scheme val="major"/>
    </font>
    <font>
      <sz val="24"/>
      <color theme="9"/>
      <name val="Arial Black"/>
      <family val="2"/>
      <scheme val="major"/>
    </font>
    <font>
      <sz val="10"/>
      <color theme="1" tint="0.14999847407452621"/>
      <name val="Courier New"/>
      <family val="3"/>
      <scheme val="minor"/>
    </font>
    <font>
      <sz val="10"/>
      <color theme="0"/>
      <name val="Courier New"/>
      <family val="3"/>
      <scheme val="minor"/>
    </font>
    <font>
      <sz val="10"/>
      <color theme="9"/>
      <name val="Courier New"/>
      <family val="3"/>
      <scheme val="minor"/>
    </font>
    <font>
      <sz val="16"/>
      <color theme="0"/>
      <name val="Courier New"/>
      <family val="3"/>
      <scheme val="minor"/>
    </font>
    <font>
      <sz val="16"/>
      <color theme="1" tint="0.14999847407452621"/>
      <name val="Courier New"/>
      <family val="3"/>
      <scheme val="minor"/>
    </font>
    <font>
      <sz val="22"/>
      <color theme="1" tint="0.14999847407452621"/>
      <name val="Courier New"/>
      <family val="3"/>
      <scheme val="minor"/>
    </font>
    <font>
      <b/>
      <sz val="10"/>
      <color theme="0"/>
      <name val="Courier New"/>
      <family val="3"/>
      <scheme val="minor"/>
    </font>
    <font>
      <b/>
      <sz val="10"/>
      <color theme="1" tint="0.14999847407452621"/>
      <name val="Courier New"/>
      <family val="3"/>
      <scheme val="minor"/>
    </font>
    <font>
      <sz val="36"/>
      <color theme="5"/>
      <name val="Arial Black"/>
      <family val="2"/>
      <scheme val="major"/>
    </font>
    <font>
      <sz val="20"/>
      <color theme="0"/>
      <name val="Courier New"/>
      <family val="3"/>
      <scheme val="minor"/>
    </font>
    <font>
      <sz val="22"/>
      <color theme="0"/>
      <name val="Courier New"/>
      <family val="3"/>
      <scheme val="minor"/>
    </font>
    <font>
      <sz val="12"/>
      <color theme="0"/>
      <name val="Courier New"/>
      <family val="3"/>
      <scheme val="minor"/>
    </font>
    <font>
      <sz val="10"/>
      <color theme="1"/>
      <name val="Courier New"/>
      <family val="3"/>
      <scheme val="minor"/>
    </font>
    <font>
      <sz val="36"/>
      <color theme="7"/>
      <name val="Arial Black"/>
      <family val="2"/>
      <scheme val="major"/>
    </font>
    <font>
      <sz val="22"/>
      <color theme="9"/>
      <name val="Arial Black"/>
      <family val="2"/>
      <scheme val="major"/>
    </font>
    <font>
      <sz val="24"/>
      <color theme="9"/>
      <name val="Courier New"/>
      <family val="3"/>
      <scheme val="minor"/>
    </font>
    <font>
      <sz val="24"/>
      <color theme="0"/>
      <name val="Courier New"/>
      <family val="3"/>
      <scheme val="minor"/>
    </font>
    <font>
      <sz val="10"/>
      <name val="Courier New"/>
      <family val="3"/>
      <scheme val="minor"/>
    </font>
    <font>
      <b/>
      <sz val="10"/>
      <name val="Courier New"/>
      <family val="3"/>
      <scheme val="minor"/>
    </font>
    <font>
      <sz val="36"/>
      <color theme="8" tint="0.39997558519241921"/>
      <name val="Arial Black"/>
      <family val="2"/>
      <scheme val="major"/>
    </font>
    <font>
      <b/>
      <sz val="15"/>
      <color theme="3"/>
      <name val="Courier New"/>
      <family val="2"/>
      <scheme val="minor"/>
    </font>
    <font>
      <b/>
      <sz val="13"/>
      <color theme="3"/>
      <name val="Courier New"/>
      <family val="2"/>
      <scheme val="minor"/>
    </font>
    <font>
      <b/>
      <sz val="11"/>
      <color theme="3"/>
      <name val="Courier New"/>
      <family val="2"/>
      <scheme val="minor"/>
    </font>
    <font>
      <sz val="11"/>
      <color rgb="FF006100"/>
      <name val="Courier New"/>
      <family val="2"/>
      <scheme val="minor"/>
    </font>
    <font>
      <sz val="11"/>
      <color rgb="FF9C0006"/>
      <name val="Courier New"/>
      <family val="2"/>
      <scheme val="minor"/>
    </font>
    <font>
      <sz val="11"/>
      <color rgb="FF9C5700"/>
      <name val="Courier New"/>
      <family val="2"/>
      <scheme val="minor"/>
    </font>
    <font>
      <sz val="11"/>
      <color rgb="FF3F3F76"/>
      <name val="Courier New"/>
      <family val="2"/>
      <scheme val="minor"/>
    </font>
    <font>
      <b/>
      <sz val="11"/>
      <color rgb="FF3F3F3F"/>
      <name val="Courier New"/>
      <family val="2"/>
      <scheme val="minor"/>
    </font>
    <font>
      <b/>
      <sz val="11"/>
      <color rgb="FFFA7D00"/>
      <name val="Courier New"/>
      <family val="2"/>
      <scheme val="minor"/>
    </font>
    <font>
      <sz val="11"/>
      <color rgb="FFFA7D00"/>
      <name val="Courier New"/>
      <family val="2"/>
      <scheme val="minor"/>
    </font>
    <font>
      <b/>
      <sz val="11"/>
      <color theme="0"/>
      <name val="Courier New"/>
      <family val="2"/>
      <scheme val="minor"/>
    </font>
    <font>
      <sz val="11"/>
      <color rgb="FFFF0000"/>
      <name val="Courier New"/>
      <family val="2"/>
      <scheme val="minor"/>
    </font>
    <font>
      <i/>
      <sz val="11"/>
      <color rgb="FF7F7F7F"/>
      <name val="Courier New"/>
      <family val="2"/>
      <scheme val="minor"/>
    </font>
    <font>
      <b/>
      <sz val="11"/>
      <color theme="1"/>
      <name val="Courier New"/>
      <family val="2"/>
      <scheme val="minor"/>
    </font>
    <font>
      <sz val="11"/>
      <color theme="0"/>
      <name val="Courier New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/>
      <bottom/>
      <diagonal/>
    </border>
    <border>
      <left/>
      <right/>
      <top style="thin">
        <color theme="7"/>
      </top>
      <bottom/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/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11" applyNumberFormat="0" applyAlignment="0" applyProtection="0"/>
    <xf numFmtId="0" fontId="35" fillId="12" borderId="12" applyNumberFormat="0" applyAlignment="0" applyProtection="0"/>
    <xf numFmtId="0" fontId="36" fillId="12" borderId="11" applyNumberFormat="0" applyAlignment="0" applyProtection="0"/>
    <xf numFmtId="0" fontId="37" fillId="0" borderId="13" applyNumberFormat="0" applyFill="0" applyAlignment="0" applyProtection="0"/>
    <xf numFmtId="0" fontId="38" fillId="13" borderId="14" applyNumberFormat="0" applyAlignment="0" applyProtection="0"/>
    <xf numFmtId="0" fontId="39" fillId="0" borderId="0" applyNumberFormat="0" applyFill="0" applyBorder="0" applyAlignment="0" applyProtection="0"/>
    <xf numFmtId="0" fontId="3" fillId="14" borderId="1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60">
    <xf numFmtId="0" fontId="0" fillId="0" borderId="0" xfId="0"/>
    <xf numFmtId="0" fontId="7" fillId="4" borderId="0" xfId="0" applyFont="1" applyFill="1" applyAlignment="1">
      <alignment horizontal="left" vertical="top" indent="1"/>
    </xf>
    <xf numFmtId="0" fontId="5" fillId="4" borderId="0" xfId="0" applyFont="1" applyFill="1" applyAlignment="1">
      <alignment horizontal="left" vertical="top" indent="7"/>
    </xf>
    <xf numFmtId="0" fontId="6" fillId="4" borderId="0" xfId="0" applyFont="1" applyFill="1" applyAlignment="1">
      <alignment vertical="top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vertical="center" indent="1"/>
    </xf>
    <xf numFmtId="0" fontId="10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4" borderId="0" xfId="0" applyFont="1" applyFill="1" applyAlignment="1">
      <alignment horizontal="left" vertical="center" indent="2"/>
    </xf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indent="7"/>
    </xf>
    <xf numFmtId="0" fontId="9" fillId="6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16" fillId="4" borderId="0" xfId="0" applyFont="1" applyFill="1" applyAlignment="1">
      <alignment horizontal="left" vertical="center" indent="2"/>
    </xf>
    <xf numFmtId="0" fontId="10" fillId="4" borderId="0" xfId="0" applyFont="1" applyFill="1" applyAlignment="1">
      <alignment horizontal="center"/>
    </xf>
    <xf numFmtId="0" fontId="17" fillId="0" borderId="0" xfId="0" applyFont="1" applyAlignment="1">
      <alignment horizontal="left" indent="7"/>
    </xf>
    <xf numFmtId="0" fontId="18" fillId="0" borderId="0" xfId="0" applyFont="1" applyAlignment="1">
      <alignment horizontal="left" vertical="top" indent="7"/>
    </xf>
    <xf numFmtId="0" fontId="10" fillId="0" borderId="0" xfId="0" applyFont="1" applyAlignment="1">
      <alignment horizontal="left" vertical="center" indent="1"/>
    </xf>
    <xf numFmtId="0" fontId="8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3" borderId="0" xfId="0" applyFont="1" applyFill="1" applyAlignment="1">
      <alignment horizontal="left" vertical="center" indent="1"/>
    </xf>
    <xf numFmtId="0" fontId="20" fillId="0" borderId="0" xfId="0" applyFont="1" applyAlignment="1">
      <alignment horizontal="center" vertical="center"/>
    </xf>
    <xf numFmtId="0" fontId="21" fillId="4" borderId="0" xfId="0" applyFont="1" applyFill="1" applyAlignment="1">
      <alignment horizontal="left" vertical="center" indent="2"/>
    </xf>
    <xf numFmtId="0" fontId="22" fillId="4" borderId="0" xfId="0" applyFont="1" applyFill="1" applyAlignment="1">
      <alignment horizontal="left" indent="1"/>
    </xf>
    <xf numFmtId="0" fontId="20" fillId="0" borderId="0" xfId="0" applyFont="1" applyAlignment="1">
      <alignment horizontal="left" vertical="center" indent="1"/>
    </xf>
    <xf numFmtId="0" fontId="23" fillId="4" borderId="0" xfId="0" applyFont="1" applyFill="1" applyAlignment="1">
      <alignment horizontal="left" indent="1"/>
    </xf>
    <xf numFmtId="0" fontId="24" fillId="0" borderId="0" xfId="0" applyFont="1" applyAlignment="1">
      <alignment horizontal="left" indent="1"/>
    </xf>
    <xf numFmtId="0" fontId="24" fillId="0" borderId="0" xfId="0" applyFont="1" applyAlignment="1">
      <alignment horizontal="left" vertical="top" inden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 indent="1"/>
    </xf>
    <xf numFmtId="0" fontId="25" fillId="0" borderId="0" xfId="0" applyFont="1" applyAlignment="1">
      <alignment horizontal="left" vertical="center" wrapText="1" indent="1"/>
    </xf>
    <xf numFmtId="0" fontId="25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center"/>
    </xf>
    <xf numFmtId="0" fontId="25" fillId="6" borderId="0" xfId="0" applyFont="1" applyFill="1" applyAlignment="1">
      <alignment horizontal="left" vertical="center" wrapText="1" indent="1"/>
    </xf>
    <xf numFmtId="0" fontId="25" fillId="6" borderId="0" xfId="0" applyFont="1" applyFill="1" applyAlignment="1">
      <alignment horizontal="left" vertical="center" indent="1"/>
    </xf>
    <xf numFmtId="0" fontId="25" fillId="5" borderId="5" xfId="0" applyFont="1" applyFill="1" applyBorder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25" fillId="7" borderId="0" xfId="0" applyFont="1" applyFill="1" applyAlignment="1">
      <alignment horizontal="left" vertical="center" indent="1"/>
    </xf>
    <xf numFmtId="0" fontId="26" fillId="7" borderId="2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left" vertical="center" indent="2"/>
    </xf>
    <xf numFmtId="169" fontId="8" fillId="0" borderId="0" xfId="0" applyNumberFormat="1" applyFont="1" applyAlignment="1">
      <alignment horizontal="center" vertical="center"/>
    </xf>
    <xf numFmtId="169" fontId="8" fillId="0" borderId="3" xfId="0" applyNumberFormat="1" applyFont="1" applyBorder="1" applyAlignment="1">
      <alignment horizontal="center" vertical="center"/>
    </xf>
    <xf numFmtId="8" fontId="8" fillId="0" borderId="6" xfId="0" applyNumberFormat="1" applyFont="1" applyBorder="1" applyAlignment="1">
      <alignment horizontal="center" vertical="center"/>
    </xf>
    <xf numFmtId="8" fontId="8" fillId="0" borderId="0" xfId="0" applyNumberFormat="1" applyFont="1" applyAlignment="1">
      <alignment horizontal="center" vertical="center"/>
    </xf>
    <xf numFmtId="8" fontId="20" fillId="3" borderId="0" xfId="0" applyNumberFormat="1" applyFont="1" applyFill="1" applyAlignment="1">
      <alignment horizontal="center" vertical="center"/>
    </xf>
    <xf numFmtId="8" fontId="8" fillId="0" borderId="7" xfId="0" applyNumberFormat="1" applyFont="1" applyBorder="1" applyAlignment="1">
      <alignment horizontal="center" vertical="center"/>
    </xf>
    <xf numFmtId="8" fontId="8" fillId="0" borderId="4" xfId="0" applyNumberFormat="1" applyFont="1" applyBorder="1" applyAlignment="1">
      <alignment horizontal="center" vertical="center"/>
    </xf>
    <xf numFmtId="0" fontId="19" fillId="4" borderId="0" xfId="0" applyFont="1" applyFill="1" applyAlignment="1">
      <alignment horizontal="center" vertical="center" wrapText="1"/>
    </xf>
    <xf numFmtId="0" fontId="26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center"/>
    </xf>
    <xf numFmtId="6" fontId="9" fillId="0" borderId="0" xfId="0" applyNumberFormat="1" applyFont="1" applyAlignment="1">
      <alignment horizontal="center" vertical="center"/>
    </xf>
    <xf numFmtId="172" fontId="9" fillId="0" borderId="0" xfId="0" applyNumberFormat="1" applyFont="1" applyAlignment="1">
      <alignment horizontal="center" vertical="center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erekening" xfId="17" builtinId="22" customBuiltin="1"/>
    <cellStyle name="Controlecel" xfId="19" builtinId="23" customBuiltin="1"/>
    <cellStyle name="Gekoppelde cel" xfId="18" builtinId="24" customBuiltin="1"/>
    <cellStyle name="Goed" xfId="12" builtinId="26" customBuiltin="1"/>
    <cellStyle name="Invoer" xfId="15" builtinId="20" customBuiltin="1"/>
    <cellStyle name="Komma" xfId="3" builtinId="3" customBuiltin="1"/>
    <cellStyle name="Komma [0]" xfId="4" builtinId="6" customBuiltin="1"/>
    <cellStyle name="Kop 1" xfId="8" builtinId="16" customBuiltin="1"/>
    <cellStyle name="Kop 2" xfId="9" builtinId="17" customBuiltin="1"/>
    <cellStyle name="Kop 3" xfId="10" builtinId="18" customBuiltin="1"/>
    <cellStyle name="Kop 4" xfId="11" builtinId="19" customBuiltin="1"/>
    <cellStyle name="Neutraal" xfId="14" builtinId="28" customBuiltin="1"/>
    <cellStyle name="Normaal 2" xfId="2" xr:uid="{00000000-0005-0000-0000-000001000000}"/>
    <cellStyle name="Notitie" xfId="21" builtinId="10" customBuiltin="1"/>
    <cellStyle name="Ongeldig" xfId="13" builtinId="27" customBuiltin="1"/>
    <cellStyle name="Procent" xfId="7" builtinId="5" customBuiltin="1"/>
    <cellStyle name="Standaard" xfId="0" builtinId="0" customBuiltin="1"/>
    <cellStyle name="Titel" xfId="1" builtinId="15" customBuiltin="1"/>
    <cellStyle name="Totaal" xfId="23" builtinId="25" customBuiltin="1"/>
    <cellStyle name="Uitvoer" xfId="16" builtinId="21" customBuiltin="1"/>
    <cellStyle name="Valuta" xfId="5" builtinId="4" customBuiltin="1"/>
    <cellStyle name="Valuta [0]" xfId="6" builtinId="7" customBuiltin="1"/>
    <cellStyle name="Verklarende tekst" xfId="22" builtinId="53" customBuiltin="1"/>
    <cellStyle name="Waarschuwingstekst" xfId="20" builtinId="11" customBuiltin="1"/>
  </cellStyles>
  <dxfs count="1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€&quot;\ #,##0.00;[Red]&quot;€&quot;\ \-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€&quot;\ #,##0.00;[Red]&quot;€&quot;\ \-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€&quot;\ #,##0.00;[Red]&quot;€&quot;\ \-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€&quot;\ #,##0.00;[Red]&quot;€&quot;\ \-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</dxf>
    <dxf>
      <border outline="0">
        <bottom style="thin">
          <color theme="1" tint="0.34998626667073579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ourier New"/>
        <family val="3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9" formatCode="&quot;kr&quot;#,##0.00;[Red]&quot;kr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€&quot;\ #,##0.00;[Red]&quot;€&quot;\ \-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9" formatCode="&quot;kr&quot;#,##0.00;[Red]&quot;kr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€&quot;\ #,##0.00;[Red]&quot;€&quot;\ \-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theme="1" tint="0.34998626667073579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ourier New"/>
        <family val="3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9" formatCode="&quot;kr&quot;#,##0.00;[Red]&quot;kr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€&quot;\ #,##0.00;[Red]&quot;€&quot;\ \-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9" formatCode="&quot;kr&quot;#,##0.00;[Red]&quot;kr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€&quot;\ #,##0.00;[Red]&quot;€&quot;\ \-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</dxf>
    <dxf>
      <font>
        <strike val="0"/>
        <outline val="0"/>
        <shadow val="0"/>
        <u val="none"/>
        <vertAlign val="baseline"/>
        <sz val="10"/>
        <name val="Courier New"/>
        <family val="3"/>
        <scheme val="minor"/>
      </font>
    </dxf>
    <dxf>
      <border>
        <bottom style="thin">
          <color theme="1" tint="0.34998626667073579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ourier New"/>
        <family val="3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71" formatCode="&quot;kr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€&quot;\ #,##0.00;[Red]&quot;€&quot;\ \-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71" formatCode="&quot;kr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€&quot;\ #,##0.00;[Red]&quot;€&quot;\ \-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71" formatCode="&quot;kr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€&quot;\ #,##0.00;[Red]&quot;€&quot;\ \-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ourier New"/>
        <family val="3"/>
        <scheme val="minor"/>
      </font>
      <fill>
        <patternFill patternType="solid">
          <fgColor indexed="64"/>
          <bgColor theme="7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71" formatCode="&quot;kr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€&quot;\ #,##0.00;[Red]&quot;€&quot;\ \-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71" formatCode="&quot;kr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€&quot;\ #,##0.00;[Red]&quot;€&quot;\ \-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71" formatCode="&quot;kr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€&quot;\ #,##0.00;[Red]&quot;€&quot;\ \-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ourier New"/>
        <family val="3"/>
        <scheme val="minor"/>
      </font>
      <fill>
        <patternFill patternType="solid">
          <fgColor indexed="64"/>
          <bgColor theme="7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9" formatCode="&quot;kr&quot;#,##0.00;[Red]&quot;kr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€&quot;\ #,##0.00;[Red]&quot;€&quot;\ \-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9" formatCode="&quot;kr&quot;#,##0.00;[Red]&quot;kr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€&quot;\ #,##0.00;[Red]&quot;€&quot;\ \-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9" formatCode="&quot;kr&quot;#,##0.00;[Red]&quot;kr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€&quot;\ #,##0.00;[Red]&quot;€&quot;\ \-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ourier New"/>
        <family val="3"/>
        <scheme val="minor"/>
      </font>
      <fill>
        <patternFill patternType="solid">
          <fgColor indexed="64"/>
          <bgColor theme="7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9" formatCode="&quot;kr&quot;#,##0.00;[Red]&quot;kr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€&quot;\ #,##0.00;[Red]&quot;€&quot;\ \-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9" formatCode="&quot;kr&quot;#,##0.00;[Red]&quot;kr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€&quot;\ #,##0.00;[Red]&quot;€&quot;\ \-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9" formatCode="&quot;kr&quot;#,##0.00;[Red]&quot;kr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€&quot;\ #,##0.00;[Red]&quot;€&quot;\ \-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ourier New"/>
        <family val="3"/>
        <scheme val="minor"/>
      </font>
      <numFmt numFmtId="0" formatCode="General"/>
      <fill>
        <patternFill patternType="solid">
          <fgColor indexed="64"/>
          <bgColor theme="7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9" formatCode="&quot;kr&quot;#,##0.00;[Red]&quot;kr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2" formatCode="&quot;€&quot;\ #,##0.00;[Red]&quot;€&quot;\ \-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69" formatCode="&quot;kr&quot;#,##0.00;[Red]&quot;kr&quot;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12" formatCode="&quot;€&quot;\ #,##0.00;[Red]&quot;€&quot;\ \-#,##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9" formatCode="&quot;kr&quot;#,##0.00;[Red]&quot;kr&quot;#,##0.00"/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€&quot;\ #,##0.00;[Red]&quot;€&quot;\ \-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9" formatCode="&quot;kr&quot;#,##0.00;[Red]&quot;kr&quot;#,##0.00"/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€&quot;\ #,##0.00;[Red]&quot;€&quot;\ \-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9" formatCode="&quot;kr&quot;#,##0.00;[Red]&quot;kr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€&quot;\ #,##0.00;[Red]&quot;€&quot;\ \-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9" formatCode="&quot;kr&quot;#,##0.00;[Red]&quot;kr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€&quot;\ #,##0.00;[Red]&quot;€&quot;\ \-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Courier New"/>
        <family val="3"/>
        <scheme val="minor"/>
      </font>
      <numFmt numFmtId="169" formatCode="&quot;kr&quot;#,##0.00;[Red]&quot;kr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€&quot;\ #,##0.00;[Red]&quot;€&quot;\ \-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ourier New"/>
        <family val="3"/>
        <scheme val="minor"/>
      </font>
      <numFmt numFmtId="169" formatCode="&quot;kr&quot;#,##0.00;[Red]&quot;kr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€&quot;\ #,##0.00;[Red]&quot;€&quot;\ \-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ourier New"/>
        <family val="3"/>
        <scheme val="minor"/>
      </font>
    </dxf>
    <dxf>
      <font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ourier New"/>
        <family val="3"/>
        <scheme val="minor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9" formatCode="&quot;kr&quot;#,##0.00;[Red]&quot;kr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 tint="0.14999847407452621"/>
        <name val="Courier New"/>
        <family val="3"/>
        <scheme val="minor"/>
      </font>
      <numFmt numFmtId="12" formatCode="&quot;€&quot;\ #,##0.00;[Red]&quot;€&quot;\ \-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9" formatCode="&quot;kr&quot;#,##0.00;[Red]&quot;kr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 tint="0.14999847407452621"/>
        <name val="Courier New"/>
        <family val="3"/>
        <scheme val="minor"/>
      </font>
      <numFmt numFmtId="12" formatCode="&quot;€&quot;\ #,##0.00;[Red]&quot;€&quot;\ \-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urier New"/>
        <family val="3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9" formatCode="&quot;kr&quot;#,##0.00;[Red]&quot;kr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€&quot;\ #,##0.00;[Red]&quot;€&quot;\ \-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9" formatCode="&quot;kr&quot;#,##0.00;[Red]&quot;kr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2" formatCode="&quot;€&quot;\ #,##0.00;[Red]&quot;€&quot;\ \-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urier New"/>
        <family val="3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9" formatCode="&quot;kr&quot;#,##0.00;[Red]&quot;kr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urier New"/>
        <family val="3"/>
        <scheme val="minor"/>
      </font>
      <numFmt numFmtId="12" formatCode="&quot;€&quot;\ #,##0.00;[Red]&quot;€&quot;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numFmt numFmtId="169" formatCode="&quot;kr&quot;#,##0.00;[Red]&quot;kr&quot;#,##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urier New"/>
        <family val="3"/>
        <scheme val="minor"/>
      </font>
      <numFmt numFmtId="12" formatCode="&quot;€&quot;\ #,##0.00;[Red]&quot;€&quot;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ourier New"/>
        <family val="3"/>
        <scheme val="minor"/>
      </font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 tint="0.14999847407452621"/>
        <name val="Courier New"/>
        <family val="3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color theme="1"/>
      </font>
      <fill>
        <patternFill patternType="solid">
          <bgColor theme="0"/>
        </patternFill>
      </fill>
    </dxf>
    <dxf>
      <font>
        <b/>
        <i val="0"/>
        <color auto="1"/>
      </font>
    </dxf>
    <dxf>
      <font>
        <b/>
        <i val="0"/>
        <color auto="1"/>
      </font>
      <fill>
        <patternFill>
          <bgColor theme="5"/>
        </patternFill>
      </fill>
    </dxf>
    <dxf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</dxf>
    <dxf>
      <font>
        <color theme="1"/>
      </font>
      <fill>
        <patternFill patternType="solid">
          <bgColor theme="0"/>
        </patternFill>
      </fill>
    </dxf>
    <dxf>
      <font>
        <b/>
        <i val="0"/>
        <color auto="1"/>
      </font>
    </dxf>
    <dxf>
      <font>
        <b/>
        <i val="0"/>
        <color auto="1"/>
      </font>
      <fill>
        <patternFill patternType="none">
          <bgColor auto="1"/>
        </patternFill>
      </fill>
    </dxf>
    <dxf>
      <font>
        <color auto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 style="thin">
          <color theme="7"/>
        </vertical>
        <horizontal style="thin">
          <color theme="7"/>
        </horizontal>
      </border>
    </dxf>
    <dxf>
      <font>
        <b/>
        <i val="0"/>
        <color theme="1"/>
      </font>
    </dxf>
    <dxf>
      <font>
        <color theme="0"/>
      </font>
      <fill>
        <patternFill patternType="solid">
          <bgColor theme="8"/>
        </patternFill>
      </fill>
    </dxf>
    <dxf>
      <font>
        <b/>
        <i val="0"/>
        <color theme="8"/>
      </font>
    </dxf>
    <dxf>
      <font>
        <b/>
        <i val="0"/>
        <color theme="1"/>
      </font>
      <fill>
        <patternFill patternType="none">
          <bgColor auto="1"/>
        </patternFill>
      </fill>
    </dxf>
    <dxf>
      <font>
        <color theme="1"/>
      </font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/>
        </patternFill>
      </fill>
      <border>
        <horizontal style="medium">
          <color theme="0"/>
        </horizontal>
      </border>
    </dxf>
    <dxf>
      <font>
        <b/>
        <color theme="1"/>
      </font>
    </dxf>
    <dxf>
      <font>
        <b/>
        <color theme="1"/>
      </font>
    </dxf>
    <dxf>
      <font>
        <b val="0"/>
        <i val="0"/>
        <color theme="1"/>
      </font>
      <fill>
        <patternFill>
          <bgColor theme="4" tint="0.79998168889431442"/>
        </patternFill>
      </fill>
      <border>
        <top style="medium">
          <color theme="0"/>
        </top>
      </border>
    </dxf>
    <dxf>
      <font>
        <b val="0"/>
        <i val="0"/>
        <color theme="0"/>
      </font>
      <fill>
        <patternFill>
          <bgColor theme="4" tint="0.59996337778862885"/>
        </patternFill>
      </fill>
      <border>
        <bottom/>
      </border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4" defaultTableStyle="TableStyleMedium2" defaultPivotStyle="PivotStyleLight16">
    <tableStyle name="TableStyleLight1 2" pivot="0" count="7" xr9:uid="{00000000-0011-0000-FFFF-FFFF00000000}">
      <tableStyleElement type="wholeTable" dxfId="172"/>
      <tableStyleElement type="headerRow" dxfId="171"/>
      <tableStyleElement type="totalRow" dxfId="170"/>
      <tableStyleElement type="firstColumn" dxfId="169"/>
      <tableStyleElement type="lastColumn" dxfId="168"/>
      <tableStyleElement type="firstRowStripe" size="7" dxfId="167"/>
      <tableStyleElement type="firstColumnStripe" dxfId="166"/>
    </tableStyle>
    <tableStyle name="TableStyleLight13 2" pivot="0" count="5" xr9:uid="{BF0AC349-EC24-304B-98E9-A4C6380F570E}">
      <tableStyleElement type="wholeTable" dxfId="165"/>
      <tableStyleElement type="headerRow" dxfId="164"/>
      <tableStyleElement type="totalRow" dxfId="163"/>
      <tableStyleElement type="firstHeaderCell" dxfId="162"/>
      <tableStyleElement type="lastHeaderCell" dxfId="161"/>
    </tableStyle>
    <tableStyle name="TableStyleLight13 2 2" pivot="0" count="4" xr9:uid="{09BE2AD3-866B-2F4E-A3F7-BEEDDC0EF150}">
      <tableStyleElement type="wholeTable" dxfId="160"/>
      <tableStyleElement type="headerRow" dxfId="159"/>
      <tableStyleElement type="totalRow" dxfId="158"/>
      <tableStyleElement type="firstHeaderCell" dxfId="157"/>
    </tableStyle>
    <tableStyle name="TableStyleLight13 2 2 2" pivot="0" count="4" xr9:uid="{AD18D16F-02C3-BA47-83B8-EE9DB2B76AED}">
      <tableStyleElement type="wholeTable" dxfId="156"/>
      <tableStyleElement type="headerRow" dxfId="155"/>
      <tableStyleElement type="totalRow" dxfId="154"/>
      <tableStyleElement type="firstHeaderCell" dxfId="15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62BECA"/>
      <color rgb="FFB50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ustomXml" Target="/customXml/item32.xml" Id="rId10" /><Relationship Type="http://schemas.openxmlformats.org/officeDocument/2006/relationships/theme" Target="/xl/theme/theme11.xml" Id="rId4" /><Relationship Type="http://schemas.openxmlformats.org/officeDocument/2006/relationships/customXml" Target="/customXml/item23.xml" Id="rId9" /></Relationships>
</file>

<file path=xl/charts/_rels/chart13.xml.rels>&#65279;<?xml version="1.0" encoding="utf-8"?><Relationships xmlns="http://schemas.openxmlformats.org/package/2006/relationships"><Relationship Type="http://schemas.microsoft.com/office/2011/relationships/chartColorStyle" Target="/xl/charts/colors13.xml" Id="rId2" /><Relationship Type="http://schemas.microsoft.com/office/2011/relationships/chartStyle" Target="/xl/charts/style13.xml" Id="rId1" /></Relationships>
</file>

<file path=xl/charts/_rels/chart22.xml.rels>&#65279;<?xml version="1.0" encoding="utf-8"?><Relationships xmlns="http://schemas.openxmlformats.org/package/2006/relationships"><Relationship Type="http://schemas.microsoft.com/office/2011/relationships/chartColorStyle" Target="/xl/charts/colors22.xml" Id="rId2" /><Relationship Type="http://schemas.microsoft.com/office/2011/relationships/chartStyle" Target="/xl/charts/style22.xml" Id="rId1" /></Relationships>
</file>

<file path=xl/charts/_rels/chart31.xml.rels>&#65279;<?xml version="1.0" encoding="utf-8"?><Relationships xmlns="http://schemas.openxmlformats.org/package/2006/relationships"><Relationship Type="http://schemas.microsoft.com/office/2011/relationships/chartColorStyle" Target="/xl/charts/colors3.xml" Id="rId2" /><Relationship Type="http://schemas.microsoft.com/office/2011/relationships/chartStyle" Target="/xl/charts/style3.xml" Id="rId1" /></Relationships>
</file>

<file path=xl/charts/_rels/chart44.xml.rels>&#65279;<?xml version="1.0" encoding="utf-8"?><Relationships xmlns="http://schemas.openxmlformats.org/package/2006/relationships"><Relationship Type="http://schemas.microsoft.com/office/2011/relationships/chartColorStyle" Target="/xl/charts/colors44.xml" Id="rId2" /><Relationship Type="http://schemas.microsoft.com/office/2011/relationships/chartStyle" Target="/xl/charts/style44.xml" Id="rId1" /></Relationships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074815414428334"/>
          <c:y val="2.7777777777777776E-2"/>
          <c:w val="0.64581524272082813"/>
          <c:h val="0.944444444444444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'Overzicht winst- en verlies'!$D$7</c:f>
              <c:strCache>
                <c:ptCount val="1"/>
                <c:pt idx="0">
                  <c:v>Werkelijk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'Overzicht winst- en verlies'!$B$8:$B$14</c:f>
              <c:strCache>
                <c:ptCount val="7"/>
                <c:pt idx="0">
                  <c:v>Programma</c:v>
                </c:pt>
                <c:pt idx="1">
                  <c:v>Locatie</c:v>
                </c:pt>
                <c:pt idx="2">
                  <c:v>Hapjes en drankjes</c:v>
                </c:pt>
                <c:pt idx="3">
                  <c:v>Prijzen</c:v>
                </c:pt>
                <c:pt idx="4">
                  <c:v>Versieringen</c:v>
                </c:pt>
                <c:pt idx="5">
                  <c:v>Diversen</c:v>
                </c:pt>
                <c:pt idx="6">
                  <c:v>Publiciteit</c:v>
                </c:pt>
              </c:strCache>
            </c:strRef>
          </c:cat>
          <c:val>
            <c:numRef>
              <c:f>'Overzicht winst- en verlies'!$D$8:$D$14</c:f>
              <c:numCache>
                <c:formatCode>"€"#,##0.00_);[Red]\("€"#,##0.00\)</c:formatCode>
                <c:ptCount val="7"/>
                <c:pt idx="0">
                  <c:v>700</c:v>
                </c:pt>
                <c:pt idx="1">
                  <c:v>450</c:v>
                </c:pt>
                <c:pt idx="2">
                  <c:v>200</c:v>
                </c:pt>
                <c:pt idx="3">
                  <c:v>100</c:v>
                </c:pt>
                <c:pt idx="4">
                  <c:v>100</c:v>
                </c:pt>
                <c:pt idx="5">
                  <c:v>70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9-4845-B8AA-AE76CE63C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32234600"/>
        <c:axId val="432235584"/>
      </c:barChart>
      <c:catAx>
        <c:axId val="4322346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32235584"/>
        <c:crosses val="autoZero"/>
        <c:auto val="1"/>
        <c:lblAlgn val="ctr"/>
        <c:lblOffset val="100"/>
        <c:noMultiLvlLbl val="0"/>
      </c:catAx>
      <c:valAx>
        <c:axId val="432235584"/>
        <c:scaling>
          <c:orientation val="minMax"/>
        </c:scaling>
        <c:delete val="1"/>
        <c:axPos val="t"/>
        <c:numFmt formatCode="&quot;€&quot;#,##0.00_);[Red]\(&quot;€&quot;#,##0.00\)" sourceLinked="1"/>
        <c:majorTickMark val="none"/>
        <c:minorTickMark val="none"/>
        <c:tickLblPos val="nextTo"/>
        <c:crossAx val="432234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093777182751289"/>
          <c:y val="0.05"/>
          <c:w val="0.65218936970054531"/>
          <c:h val="0.863889107611548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'Overzicht winst- en verlies'!$D$17</c:f>
              <c:strCache>
                <c:ptCount val="1"/>
                <c:pt idx="0">
                  <c:v>Werkelijk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'Overzicht winst- en verlies'!$B$18:$B$21</c:f>
              <c:strCache>
                <c:ptCount val="4"/>
                <c:pt idx="0">
                  <c:v>Exposanten/verkopers</c:v>
                </c:pt>
                <c:pt idx="1">
                  <c:v>Toegangsbewijzen</c:v>
                </c:pt>
                <c:pt idx="2">
                  <c:v>Verkoop van artikelen</c:v>
                </c:pt>
                <c:pt idx="3">
                  <c:v>Advertenties in programmaboekje</c:v>
                </c:pt>
              </c:strCache>
            </c:strRef>
          </c:cat>
          <c:val>
            <c:numRef>
              <c:f>'Overzicht winst- en verlies'!$D$18:$D$21</c:f>
              <c:numCache>
                <c:formatCode>"€"#,##0.00_);[Red]\("€"#,##0.00\)</c:formatCode>
                <c:ptCount val="4"/>
                <c:pt idx="0">
                  <c:v>2300</c:v>
                </c:pt>
                <c:pt idx="1">
                  <c:v>820</c:v>
                </c:pt>
                <c:pt idx="2">
                  <c:v>750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59-4C74-A979-E17B58DC7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35897560"/>
        <c:axId val="635898872"/>
      </c:barChart>
      <c:catAx>
        <c:axId val="635897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ourier New" panose="02070309020205020404" pitchFamily="49" charset="0"/>
              </a:defRPr>
            </a:pPr>
            <a:endParaRPr lang="nl-NL"/>
          </a:p>
        </c:txPr>
        <c:crossAx val="635898872"/>
        <c:crosses val="autoZero"/>
        <c:auto val="1"/>
        <c:lblAlgn val="ctr"/>
        <c:lblOffset val="100"/>
        <c:noMultiLvlLbl val="0"/>
      </c:catAx>
      <c:valAx>
        <c:axId val="635898872"/>
        <c:scaling>
          <c:orientation val="minMax"/>
        </c:scaling>
        <c:delete val="1"/>
        <c:axPos val="t"/>
        <c:numFmt formatCode="&quot;€&quot;#,##0.00_);[Red]\(&quot;€&quot;#,##0.00\)" sourceLinked="1"/>
        <c:majorTickMark val="none"/>
        <c:minorTickMark val="none"/>
        <c:tickLblPos val="nextTo"/>
        <c:crossAx val="635897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+mn-lt"/>
          <a:cs typeface="Courier New" panose="02070309020205020404" pitchFamily="49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10936132983378"/>
          <c:y val="0.20714238845144356"/>
          <c:w val="0.79677952755905512"/>
          <c:h val="0.727330529744442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'Overzicht winst- en verlies'!$C$24</c:f>
              <c:strCache>
                <c:ptCount val="1"/>
                <c:pt idx="0">
                  <c:v>Geschat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'Overzicht winst- en verlies'!$B$25:$B$26</c:f>
              <c:strCache>
                <c:ptCount val="2"/>
                <c:pt idx="0">
                  <c:v>Totale inkomsten</c:v>
                </c:pt>
                <c:pt idx="1">
                  <c:v>Totale onkosten</c:v>
                </c:pt>
              </c:strCache>
            </c:strRef>
          </c:cat>
          <c:val>
            <c:numRef>
              <c:f>'Overzicht winst- en verlies'!$C$25:$C$26</c:f>
              <c:numCache>
                <c:formatCode>"€"#,##0.00_);[Red]\("€"#,##0.00\)</c:formatCode>
                <c:ptCount val="2"/>
                <c:pt idx="0">
                  <c:v>4450</c:v>
                </c:pt>
                <c:pt idx="1">
                  <c:v>2090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C8-4221-AF2B-27AF15B572CB}"/>
            </c:ext>
          </c:extLst>
        </c:ser>
        <c:ser>
          <c:idx val="1"/>
          <c:order val="1"/>
          <c:tx>
            <c:strRef>
              <c:f>'Overzicht winst- en verlies'!$D$24</c:f>
              <c:strCache>
                <c:ptCount val="1"/>
                <c:pt idx="0">
                  <c:v>Werkelijk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'Overzicht winst- en verlies'!$B$25:$B$26</c:f>
              <c:strCache>
                <c:ptCount val="2"/>
                <c:pt idx="0">
                  <c:v>Totale inkomsten</c:v>
                </c:pt>
                <c:pt idx="1">
                  <c:v>Totale onkosten</c:v>
                </c:pt>
              </c:strCache>
            </c:strRef>
          </c:cat>
          <c:val>
            <c:numRef>
              <c:f>'Overzicht winst- en verlies'!$D$25:$D$26</c:f>
              <c:numCache>
                <c:formatCode>"€"#,##0.00_);[Red]\("€"#,##0.00\)</c:formatCode>
                <c:ptCount val="2"/>
                <c:pt idx="0">
                  <c:v>4170</c:v>
                </c:pt>
                <c:pt idx="1">
                  <c:v>1640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C8-4221-AF2B-27AF15B57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"/>
        <c:axId val="434304232"/>
        <c:axId val="434304888"/>
      </c:barChart>
      <c:catAx>
        <c:axId val="4343042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34304888"/>
        <c:crosses val="autoZero"/>
        <c:auto val="1"/>
        <c:lblAlgn val="ctr"/>
        <c:lblOffset val="100"/>
        <c:noMultiLvlLbl val="0"/>
      </c:catAx>
      <c:valAx>
        <c:axId val="434304888"/>
        <c:scaling>
          <c:orientation val="minMax"/>
        </c:scaling>
        <c:delete val="1"/>
        <c:axPos val="t"/>
        <c:numFmt formatCode="&quot;€&quot;#,##0.00_);[Red]\(&quot;€&quot;#,##0.00\)" sourceLinked="1"/>
        <c:majorTickMark val="none"/>
        <c:minorTickMark val="none"/>
        <c:tickLblPos val="nextTo"/>
        <c:crossAx val="434304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7.1430493064627981E-3"/>
          <c:w val="0.33008651355748991"/>
          <c:h val="0.145287974087145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urier New"/>
              <a:ea typeface="Courier New"/>
              <a:cs typeface="Courier New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82009067048437"/>
          <c:y val="0.15729265091863517"/>
          <c:w val="0.72437922532410726"/>
          <c:h val="0.801040682414698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'Overzicht winst- en verlies'!$B$26</c:f>
              <c:strCache>
                <c:ptCount val="1"/>
                <c:pt idx="0">
                  <c:v>Totale onkosten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Geschat</c:v>
              </c:pt>
              <c:pt idx="1">
                <c:v> Werkelijk</c:v>
              </c:pt>
            </c:strLit>
          </c:cat>
          <c:val>
            <c:numRef>
              <c:f>'Overzicht winst- en verlies'!$C$26:$D$26</c:f>
              <c:numCache>
                <c:formatCode>"€"#,##0.00_);[Red]\("€"#,##0.00\)</c:formatCode>
                <c:ptCount val="2"/>
                <c:pt idx="0">
                  <c:v>2090</c:v>
                </c:pt>
                <c:pt idx="1">
                  <c:v>1640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01-4B4A-87BE-3194ED4306B9}"/>
            </c:ext>
          </c:extLst>
        </c:ser>
        <c:ser>
          <c:idx val="1"/>
          <c:order val="1"/>
          <c:tx>
            <c:strRef>
              <c:f>'Overzicht winst- en verlies'!$B$27</c:f>
              <c:strCache>
                <c:ptCount val="1"/>
                <c:pt idx="0">
                  <c:v>Winst (of verlies)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Geschat</c:v>
              </c:pt>
              <c:pt idx="1">
                <c:v> Werkelijk</c:v>
              </c:pt>
            </c:strLit>
          </c:cat>
          <c:val>
            <c:numRef>
              <c:f>'Overzicht winst- en verlies'!$C$27:$D$27</c:f>
              <c:numCache>
                <c:formatCode>"€"#,##0.00_);[Red]\("€"#,##0.00\)</c:formatCode>
                <c:ptCount val="2"/>
                <c:pt idx="0">
                  <c:v>2360</c:v>
                </c:pt>
                <c:pt idx="1">
                  <c:v>2530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01-4B4A-87BE-3194ED43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24823688"/>
        <c:axId val="424822048"/>
      </c:barChart>
      <c:catAx>
        <c:axId val="424823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24822048"/>
        <c:crosses val="autoZero"/>
        <c:auto val="1"/>
        <c:lblAlgn val="ctr"/>
        <c:lblOffset val="100"/>
        <c:noMultiLvlLbl val="0"/>
      </c:catAx>
      <c:valAx>
        <c:axId val="424822048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42482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5.5557742782152229E-3"/>
          <c:w val="0.58764067961344257"/>
          <c:h val="0.145366220263934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urier New"/>
              <a:ea typeface="Courier New"/>
              <a:cs typeface="Courier New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3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2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23.svg" Id="rId2" /><Relationship Type="http://schemas.openxmlformats.org/officeDocument/2006/relationships/image" Target="/xl/media/image13.png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42.svg" Id="rId2" /><Relationship Type="http://schemas.openxmlformats.org/officeDocument/2006/relationships/image" Target="/xl/media/image32.png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chart" Target="/xl/charts/chart31.xml" Id="rId3" /><Relationship Type="http://schemas.openxmlformats.org/officeDocument/2006/relationships/chart" Target="/xl/charts/chart22.xml" Id="rId2" /><Relationship Type="http://schemas.openxmlformats.org/officeDocument/2006/relationships/chart" Target="/xl/charts/chart13.xml" Id="rId1" /><Relationship Type="http://schemas.openxmlformats.org/officeDocument/2006/relationships/image" Target="/xl/media/image6.svg" Id="rId6" /><Relationship Type="http://schemas.openxmlformats.org/officeDocument/2006/relationships/image" Target="/xl/media/image5.png" Id="rId5" /><Relationship Type="http://schemas.openxmlformats.org/officeDocument/2006/relationships/chart" Target="/xl/charts/chart44.xml" Id="rId4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350928</xdr:colOff>
      <xdr:row>2</xdr:row>
      <xdr:rowOff>139700</xdr:rowOff>
    </xdr:from>
    <xdr:to>
      <xdr:col>7</xdr:col>
      <xdr:colOff>1258321</xdr:colOff>
      <xdr:row>3</xdr:row>
      <xdr:rowOff>518802</xdr:rowOff>
    </xdr:to>
    <xdr:pic>
      <xdr:nvPicPr>
        <xdr:cNvPr id="3" name="Afbeelding 2" descr="Raket met effen opvulling">
          <a:extLst>
            <a:ext uri="{FF2B5EF4-FFF2-40B4-BE49-F238E27FC236}">
              <a16:creationId xmlns:a16="http://schemas.microsoft.com/office/drawing/2014/main" id="{07C57C56-3C15-2D3B-5566-B726295D5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342997" y="373263"/>
          <a:ext cx="907393" cy="91921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570442</xdr:colOff>
      <xdr:row>2</xdr:row>
      <xdr:rowOff>88900</xdr:rowOff>
    </xdr:from>
    <xdr:to>
      <xdr:col>6</xdr:col>
      <xdr:colOff>1484842</xdr:colOff>
      <xdr:row>3</xdr:row>
      <xdr:rowOff>482600</xdr:rowOff>
    </xdr:to>
    <xdr:pic>
      <xdr:nvPicPr>
        <xdr:cNvPr id="4" name="Afbeelding 3" descr="Kiosk met effen opvulling">
          <a:extLst>
            <a:ext uri="{FF2B5EF4-FFF2-40B4-BE49-F238E27FC236}">
              <a16:creationId xmlns:a16="http://schemas.microsoft.com/office/drawing/2014/main" id="{3264F158-FB39-F168-FCF9-E0054165F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495367" y="317500"/>
          <a:ext cx="914400" cy="91757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28576</xdr:rowOff>
    </xdr:from>
    <xdr:to>
      <xdr:col>7</xdr:col>
      <xdr:colOff>0</xdr:colOff>
      <xdr:row>15</xdr:row>
      <xdr:rowOff>0</xdr:rowOff>
    </xdr:to>
    <xdr:graphicFrame macro="">
      <xdr:nvGraphicFramePr>
        <xdr:cNvPr id="4" name="Grafiek 3" descr="Staafdiagram waarin de werkelijke uitgaven in aflopende volgorde worden samengevat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17</xdr:row>
      <xdr:rowOff>38100</xdr:rowOff>
    </xdr:from>
    <xdr:to>
      <xdr:col>7</xdr:col>
      <xdr:colOff>0</xdr:colOff>
      <xdr:row>22</xdr:row>
      <xdr:rowOff>0</xdr:rowOff>
    </xdr:to>
    <xdr:graphicFrame macro="">
      <xdr:nvGraphicFramePr>
        <xdr:cNvPr id="5" name="Grafiek 4" descr="Staafdiagram waarin de werkelijke inkomsten in aflopende volgorde worden samengeva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114299</xdr:colOff>
      <xdr:row>29</xdr:row>
      <xdr:rowOff>0</xdr:rowOff>
    </xdr:from>
    <xdr:to>
      <xdr:col>7</xdr:col>
      <xdr:colOff>0</xdr:colOff>
      <xdr:row>33</xdr:row>
      <xdr:rowOff>266699</xdr:rowOff>
    </xdr:to>
    <xdr:graphicFrame macro="">
      <xdr:nvGraphicFramePr>
        <xdr:cNvPr id="2" name="Grafiek 1" descr="Staafdiagram waarin de geschatte en werkelijke kosten voor inkomsten en uitgaven worden vergelek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4</xdr:col>
      <xdr:colOff>0</xdr:colOff>
      <xdr:row>34</xdr:row>
      <xdr:rowOff>0</xdr:rowOff>
    </xdr:to>
    <xdr:graphicFrame macro="">
      <xdr:nvGraphicFramePr>
        <xdr:cNvPr id="3" name="Grafiek 2" descr="Staafdiagram waarin de verhouding tussen kosten en winst (verlies) van geschatte versus werkelijke waarden wordt vergelek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1019175</xdr:colOff>
      <xdr:row>2</xdr:row>
      <xdr:rowOff>101600</xdr:rowOff>
    </xdr:from>
    <xdr:to>
      <xdr:col>6</xdr:col>
      <xdr:colOff>1933575</xdr:colOff>
      <xdr:row>3</xdr:row>
      <xdr:rowOff>469900</xdr:rowOff>
    </xdr:to>
    <xdr:pic>
      <xdr:nvPicPr>
        <xdr:cNvPr id="8" name="Afbeelding 7" descr="Rekenmachine met effen opvulling">
          <a:extLst>
            <a:ext uri="{FF2B5EF4-FFF2-40B4-BE49-F238E27FC236}">
              <a16:creationId xmlns:a16="http://schemas.microsoft.com/office/drawing/2014/main" id="{AA5A793C-48F8-A052-27E4-A4707DE82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2639675" y="330200"/>
          <a:ext cx="914400" cy="911225"/>
        </a:xfrm>
        <a:prstGeom prst="rect">
          <a:avLst/>
        </a:prstGeom>
      </xdr:spPr>
    </xdr:pic>
    <xdr:clientData/>
  </xdr:twoCellAnchor>
</xdr:wsDr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ExhibitorsAndVendors" displayName="ExhibitorsAndVendors" ref="B25:G29" totalsRowCount="1" headerRowDxfId="59" dataDxfId="58" totalsRowDxfId="57">
  <tableColumns count="6">
    <tableColumn id="2" xr3:uid="{00000000-0010-0000-0900-000002000000}" name="Soort" totalsRowLabel="Totaal" dataDxfId="56" totalsRowDxfId="55"/>
    <tableColumn id="3" xr3:uid="{00000000-0010-0000-0900-000003000000}" name="Geschat" totalsRowFunction="sum" dataDxfId="54" totalsRowDxfId="53"/>
    <tableColumn id="4" xr3:uid="{00000000-0010-0000-0900-000004000000}" name="Werkelijk" totalsRowFunction="sum" dataDxfId="52" totalsRowDxfId="51"/>
    <tableColumn id="5" xr3:uid="{00000000-0010-0000-0900-000005000000}" name="Prijs" dataDxfId="50" totalsRowDxfId="49"/>
    <tableColumn id="6" xr3:uid="{00000000-0010-0000-0900-000006000000}" name="Geschatte inkomsten" totalsRowFunction="sum" dataDxfId="48" totalsRowDxfId="47">
      <calculatedColumnFormula>C26*E26</calculatedColumnFormula>
    </tableColumn>
    <tableColumn id="7" xr3:uid="{00000000-0010-0000-0900-000007000000}" name="Werkelijke inkomsten" totalsRowFunction="sum" dataDxfId="46" totalsRowDxfId="45">
      <calculatedColumnFormula>D26*E26</calculatedColumnFormula>
    </tableColumn>
  </tableColumns>
  <tableStyleInfo name="TableStyleLight13 2 2" showFirstColumn="0" showLastColumn="0" showRowStripes="1" showColumnStripes="0"/>
  <extLst>
    <ext xmlns:x14="http://schemas.microsoft.com/office/spreadsheetml/2009/9/main" uri="{504A1905-F514-4f6f-8877-14C23A59335A}">
      <x14:table altTextSummary="Voer in deze tabel het geschatte en werkelijke aantal standhouders en leveranciers, standtype en prijs in. Geschatte en werkelijke inkomsten van standhouders voor elk standtype en totalen worden automatisch berekend"/>
    </ext>
  </extLst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Verkoop_van_artikelen" displayName="Verkoop_van_artikelen" ref="B32:G37" totalsRowCount="1" headerRowDxfId="44" dataDxfId="43" totalsRowDxfId="42">
  <tableColumns count="6">
    <tableColumn id="2" xr3:uid="{00000000-0010-0000-0A00-000002000000}" name="Soort" totalsRowLabel="Totaal" dataDxfId="41" totalsRowDxfId="40"/>
    <tableColumn id="3" xr3:uid="{00000000-0010-0000-0A00-000003000000}" name="Geschat" totalsRowFunction="sum" dataDxfId="39" totalsRowDxfId="38"/>
    <tableColumn id="4" xr3:uid="{00000000-0010-0000-0A00-000004000000}" name="Werkelijk" totalsRowFunction="sum" dataDxfId="37" totalsRowDxfId="36"/>
    <tableColumn id="5" xr3:uid="{00000000-0010-0000-0A00-000005000000}" name="Prijs" dataDxfId="35" totalsRowDxfId="34"/>
    <tableColumn id="6" xr3:uid="{00000000-0010-0000-0A00-000006000000}" name="Geschatte inkomsten" totalsRowFunction="sum" dataDxfId="33" totalsRowDxfId="32">
      <calculatedColumnFormula>C33*E33</calculatedColumnFormula>
    </tableColumn>
    <tableColumn id="7" xr3:uid="{00000000-0010-0000-0A00-000007000000}" name="Werkelijke inkomsten" totalsRowFunction="sum" dataDxfId="31" totalsRowDxfId="30">
      <calculatedColumnFormula>D33*E33</calculatedColumnFormula>
    </tableColumn>
  </tableColumns>
  <tableStyleInfo name="TableStyleLight13 2 2" showFirstColumn="0" showLastColumn="0" showRowStripes="1" showColumnStripes="0"/>
  <extLst>
    <ext xmlns:x14="http://schemas.microsoft.com/office/spreadsheetml/2009/9/main" uri="{504A1905-F514-4f6f-8877-14C23A59335A}">
      <x14:table altTextSummary="Voer in deze tabel het geschatte en werkelijke aantal verkochte items, het type en de prijs in. Geschatte en werkelijke inkomsten uit verkoop van artikelen en totalen worden automatisch berekend"/>
    </ext>
  </extLst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B000000}" name="Overzicht_van_uitgaven" displayName="Overzicht_van_uitgaven" ref="B7:D15" totalsRowCount="1" headerRowDxfId="29" dataDxfId="27" totalsRowDxfId="26" headerRowBorderDxfId="28">
  <tableColumns count="3">
    <tableColumn id="1" xr3:uid="{00000000-0010-0000-0B00-000001000000}" name="Overzicht van uitgaven" totalsRowLabel="Totaal" dataDxfId="25" totalsRowDxfId="24"/>
    <tableColumn id="2" xr3:uid="{00000000-0010-0000-0B00-000002000000}" name="Geschat" totalsRowFunction="sum" dataDxfId="23" totalsRowDxfId="22"/>
    <tableColumn id="3" xr3:uid="{00000000-0010-0000-0B00-000003000000}" name="Werkelijk" totalsRowFunction="sum" dataDxfId="21" totalsRowDxfId="20"/>
  </tableColumns>
  <tableStyleInfo name="TableStyleLight13 2 2 2" showFirstColumn="0" showLastColumn="0" showRowStripes="1" showColumnStripes="0"/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Overzicht_van_inkomsten" displayName="Overzicht_van_inkomsten" ref="B17:D22" totalsRowCount="1" headerRowDxfId="19" dataDxfId="17" totalsRowDxfId="16" headerRowBorderDxfId="18">
  <tableColumns count="3">
    <tableColumn id="1" xr3:uid="{00000000-0010-0000-0C00-000001000000}" name="Overzicht van inkomsten" totalsRowLabel="Totaal" dataDxfId="15" totalsRowDxfId="14"/>
    <tableColumn id="2" xr3:uid="{00000000-0010-0000-0C00-000002000000}" name="Geschat" totalsRowFunction="sum" dataDxfId="13" totalsRowDxfId="12"/>
    <tableColumn id="3" xr3:uid="{00000000-0010-0000-0C00-000003000000}" name="Werkelijk" totalsRowFunction="sum" dataDxfId="11" totalsRowDxfId="10"/>
  </tableColumns>
  <tableStyleInfo name="TableStyleLight13 2 2 2" showFirstColumn="0" showLastColumn="0" showRowStripes="1" showColumnStripes="0"/>
</table>
</file>

<file path=xl/tables/table1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ProfitAndLoss" displayName="ProfitAndLoss" ref="B24:D27" totalsRowCount="1" headerRowDxfId="9" dataDxfId="7" totalsRowDxfId="6" headerRowBorderDxfId="8">
  <tableColumns count="3">
    <tableColumn id="1" xr3:uid="{00000000-0010-0000-0D00-000001000000}" name="Overzicht winst- en verlies" totalsRowLabel="Winst (of verlies)" dataDxfId="5" totalsRowDxfId="4"/>
    <tableColumn id="2" xr3:uid="{00000000-0010-0000-0D00-000002000000}" name="Geschat" totalsRowFunction="custom" dataDxfId="3" totalsRowDxfId="2">
      <totalsRowFormula>C25-C26</totalsRowFormula>
    </tableColumn>
    <tableColumn id="3" xr3:uid="{00000000-0010-0000-0D00-000003000000}" name="Werkelijk" totalsRowFunction="custom" dataDxfId="1" totalsRowDxfId="0">
      <totalsRowFormula>D25-D26</totalsRowFormula>
    </tableColumn>
  </tableColumns>
  <tableStyleInfo name="TableStyleLight13 2 2 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iteExpenses" displayName="SiteExpenses" ref="B11:D16" totalsRowCount="1" headerRowDxfId="152" dataDxfId="151" totalsRowDxfId="150">
  <autoFilter ref="B11:D15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Locatie" totalsRowLabel="Totaal" dataDxfId="149" totalsRowDxfId="148"/>
    <tableColumn id="2" xr3:uid="{00000000-0010-0000-0000-000002000000}" name="Geschat" totalsRowFunction="sum" dataDxfId="147" totalsRowDxfId="146"/>
    <tableColumn id="3" xr3:uid="{00000000-0010-0000-0000-000003000000}" name="Werkelijk" totalsRowFunction="sum" dataDxfId="145" totalsRowDxfId="144"/>
  </tableColumns>
  <tableStyleInfo name="TableStyleLight13 2" showFirstColumn="0" showLastColumn="0" showRowStripes="1" showColumnStripes="0"/>
  <extLst>
    <ext xmlns:x14="http://schemas.microsoft.com/office/spreadsheetml/2009/9/main" uri="{504A1905-F514-4f6f-8877-14C23A59335A}">
      <x14:table altTextSummary="Voer geschatte en werkelijke sitekosten in deze tabel in. Totaal wordt automatisch berekend aan het einde"/>
    </ext>
  </extLst>
</table>
</file>

<file path=xl/tables/table2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RefreshmentsExpenses" displayName="RefreshmentsExpenses" ref="B26:D31" totalsRowCount="1" headerRowDxfId="143" dataDxfId="142" totalsRowDxfId="141">
  <autoFilter ref="B26:D30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100-000001000000}" name="Hapjes en drankjes" totalsRowLabel="Totaal" dataDxfId="140" totalsRowDxfId="139"/>
    <tableColumn id="2" xr3:uid="{00000000-0010-0000-0100-000002000000}" name="Geschat" totalsRowFunction="sum" dataDxfId="138" totalsRowDxfId="137"/>
    <tableColumn id="3" xr3:uid="{00000000-0010-0000-0100-000003000000}" name="Werkelijk" totalsRowFunction="sum" dataDxfId="136" totalsRowDxfId="135"/>
  </tableColumns>
  <tableStyleInfo name="TableStyleLight13 2" showFirstColumn="0" showLastColumn="0" showRowStripes="1" showColumnStripes="0"/>
  <extLst>
    <ext xmlns:x14="http://schemas.microsoft.com/office/spreadsheetml/2009/9/main" uri="{504A1905-F514-4f6f-8877-14C23A59335A}">
      <x14:table altTextSummary="Voer in deze tabel geschatte en werkelijke kosten in. Totaal wordt automatisch berekend aan het einde"/>
    </ext>
  </extLst>
</table>
</file>

<file path=xl/tables/table3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DecorationsExpenses" displayName="DecorationsExpenses" ref="B18:D24" totalsRowCount="1" headerRowDxfId="134" dataDxfId="133" totalsRowDxfId="132">
  <autoFilter ref="B18:D23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200-000001000000}" name="Versieringen" totalsRowLabel="Totaal" dataDxfId="131" totalsRowDxfId="130"/>
    <tableColumn id="2" xr3:uid="{00000000-0010-0000-0200-000002000000}" name="Geschat" totalsRowFunction="sum" dataDxfId="129" totalsRowDxfId="128"/>
    <tableColumn id="3" xr3:uid="{00000000-0010-0000-0200-000003000000}" name="Werkelijk" totalsRowFunction="sum" dataDxfId="127" totalsRowDxfId="126"/>
  </tableColumns>
  <tableStyleInfo name="TableStyleLight13 2" showFirstColumn="0" showLastColumn="0" showRowStripes="1" showColumnStripes="0"/>
  <extLst>
    <ext xmlns:x14="http://schemas.microsoft.com/office/spreadsheetml/2009/9/main" uri="{504A1905-F514-4f6f-8877-14C23A59335A}">
      <x14:table altTextSummary="Voer geschatte en werkelijke decoratiekosten in deze tabel in. Totaal wordt automatisch berekend aan het einde"/>
    </ext>
  </extLst>
</table>
</file>

<file path=xl/tables/table4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ProgramExpenses" displayName="ProgramExpenses" ref="F7:H13" totalsRowCount="1" headerRowDxfId="125" dataDxfId="124" totalsRowDxfId="123">
  <autoFilter ref="F7:H12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300-000001000000}" name="Programma" totalsRowLabel="Totaal" dataDxfId="122" totalsRowDxfId="121"/>
    <tableColumn id="2" xr3:uid="{00000000-0010-0000-0300-000002000000}" name="Geschat" totalsRowFunction="sum" dataDxfId="120" totalsRowDxfId="119"/>
    <tableColumn id="3" xr3:uid="{00000000-0010-0000-0300-000003000000}" name="Werkelijk" totalsRowFunction="sum" dataDxfId="118" totalsRowDxfId="117"/>
  </tableColumns>
  <tableStyleInfo name="TableStyleLight13 2" showFirstColumn="0" showLastColumn="0" showRowStripes="1" showColumnStripes="0"/>
  <extLst>
    <ext xmlns:x14="http://schemas.microsoft.com/office/spreadsheetml/2009/9/main" uri="{504A1905-F514-4f6f-8877-14C23A59335A}">
      <x14:table altTextSummary="Voer geschatte en werkelijke programmakosten in deze tabel in. Totaal wordt automatisch berekend aan het einde"/>
    </ext>
  </extLst>
</table>
</file>

<file path=xl/tables/table5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PublicityExpenses" displayName="PublicityExpenses" ref="F15:H19" totalsRowCount="1" headerRowDxfId="116" dataDxfId="115" totalsRowDxfId="114">
  <autoFilter ref="F15:H18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400-000001000000}" name="Publiciteit" totalsRowLabel="Totaal" dataDxfId="113" totalsRowDxfId="112"/>
    <tableColumn id="2" xr3:uid="{00000000-0010-0000-0400-000002000000}" name="Geschat" totalsRowFunction="sum" dataDxfId="111" totalsRowDxfId="110"/>
    <tableColumn id="3" xr3:uid="{00000000-0010-0000-0400-000003000000}" name="Werkelijk" totalsRowFunction="sum" dataDxfId="109" totalsRowDxfId="108"/>
  </tableColumns>
  <tableStyleInfo name="TableStyleLight13 2" showFirstColumn="0" showLastColumn="0" showRowStripes="1" showColumnStripes="0"/>
  <extLst>
    <ext xmlns:x14="http://schemas.microsoft.com/office/spreadsheetml/2009/9/main" uri="{504A1905-F514-4f6f-8877-14C23A59335A}">
      <x14:table altTextSummary="Voer in deze tabel geschatte en werkelijke uitgaven in. Totaal wordt automatisch berekend aan het einde"/>
    </ext>
  </extLst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PrizesExpenses" displayName="PrizesExpenses" ref="F21:H24" totalsRowCount="1" headerRowDxfId="107" dataDxfId="106" totalsRowDxfId="105">
  <autoFilter ref="F21:H23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500-000001000000}" name="Prijzen" totalsRowLabel="Totaal" dataDxfId="104" totalsRowDxfId="103"/>
    <tableColumn id="2" xr3:uid="{00000000-0010-0000-0500-000002000000}" name="Geschat" totalsRowFunction="sum" dataDxfId="102" totalsRowDxfId="101"/>
    <tableColumn id="3" xr3:uid="{00000000-0010-0000-0500-000003000000}" name="Werkelijk" totalsRowFunction="sum" dataDxfId="100" totalsRowDxfId="99"/>
  </tableColumns>
  <tableStyleInfo name="TableStyleLight13 2" showFirstColumn="0" showLastColumn="0" showRowStripes="1" showColumnStripes="0"/>
  <extLst>
    <ext xmlns:x14="http://schemas.microsoft.com/office/spreadsheetml/2009/9/main" uri="{504A1905-F514-4f6f-8877-14C23A59335A}">
      <x14:table altTextSummary="Voer geschatte en werkelijke prijzen in deze tabel in. Totaal wordt automatisch berekend aan het einde"/>
    </ext>
  </extLst>
</table>
</file>

<file path=xl/tables/table7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MiscellaneousExpenses" displayName="MiscellaneousExpenses" ref="F26:H31" totalsRowCount="1" headerRowDxfId="98" dataDxfId="97" totalsRowDxfId="96">
  <autoFilter ref="F26:H30" xr:uid="{00000000-0009-0000-0100-000008000000}">
    <filterColumn colId="0" hiddenButton="1"/>
    <filterColumn colId="1" hiddenButton="1"/>
    <filterColumn colId="2" hiddenButton="1"/>
  </autoFilter>
  <tableColumns count="3">
    <tableColumn id="1" xr3:uid="{00000000-0010-0000-0600-000001000000}" name="Diversen" totalsRowLabel="Totaal" dataDxfId="95" totalsRowDxfId="94"/>
    <tableColumn id="2" xr3:uid="{00000000-0010-0000-0600-000002000000}" name="Geschat" totalsRowFunction="sum" dataDxfId="93" totalsRowDxfId="92"/>
    <tableColumn id="3" xr3:uid="{00000000-0010-0000-0600-000003000000}" name="Werkelijk" totalsRowFunction="sum" dataDxfId="91" totalsRowDxfId="90"/>
  </tableColumns>
  <tableStyleInfo name="TableStyleLight13 2" showFirstColumn="0" showLastColumn="0" showRowStripes="1" showColumnStripes="0"/>
  <extLst>
    <ext xmlns:x14="http://schemas.microsoft.com/office/spreadsheetml/2009/9/main" uri="{504A1905-F514-4f6f-8877-14C23A59335A}">
      <x14:table altTextSummary="Voer geschatte en werkelijke diverse uitgaven in deze tabel in. Totaal wordt automatisch berekend aan het einde"/>
    </ext>
  </extLst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oegangsbewijzen" displayName="Toegangsbewijzen" ref="B11:G15" totalsRowCount="1" headerRowDxfId="89" dataDxfId="88" totalsRowDxfId="87">
  <autoFilter ref="B11:G14" xr:uid="{00000000-000C-0000-FFFF-FFFF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2" xr3:uid="{00000000-0010-0000-0700-000002000000}" name="Soort" totalsRowLabel="Totaal" dataDxfId="86" totalsRowDxfId="85"/>
    <tableColumn id="3" xr3:uid="{00000000-0010-0000-0700-000003000000}" name="Geschat" totalsRowFunction="sum" dataDxfId="84" totalsRowDxfId="83"/>
    <tableColumn id="4" xr3:uid="{00000000-0010-0000-0700-000004000000}" name="Werkelijk" totalsRowFunction="sum" dataDxfId="82" totalsRowDxfId="81"/>
    <tableColumn id="6" xr3:uid="{00000000-0010-0000-0700-000006000000}" name="Prijs" dataDxfId="80" totalsRowDxfId="79"/>
    <tableColumn id="7" xr3:uid="{00000000-0010-0000-0700-000007000000}" name="Geschatte inkomsten" totalsRowFunction="sum" dataDxfId="78" totalsRowDxfId="77">
      <calculatedColumnFormula>C12*E12</calculatedColumnFormula>
    </tableColumn>
    <tableColumn id="5" xr3:uid="{00000000-0010-0000-0700-000005000000}" name="Werkelijke inkomsten" totalsRowFunction="sum" dataDxfId="76" totalsRowDxfId="75">
      <calculatedColumnFormula>D12*E12</calculatedColumnFormula>
    </tableColumn>
  </tableColumns>
  <tableStyleInfo name="TableStyleLight13 2 2" showFirstColumn="0" showLastColumn="0" showRowStripes="1" showColumnStripes="0"/>
  <extLst>
    <ext xmlns:x14="http://schemas.microsoft.com/office/spreadsheetml/2009/9/main" uri="{504A1905-F514-4f6f-8877-14C23A59335A}">
      <x14:table altTextSummary="Voer in deze tabel het geschatte en werkelijke aantal toegangsgegevens, het type en de prijs in. Geschatte en werkelijke inkomsten uit opnames en totalen worden automatisch berekend"/>
    </ext>
  </extLst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Advertenties_in_programmaboekje" displayName="Advertenties_in_programmaboekje" ref="B18:G22" totalsRowCount="1" headerRowDxfId="74" dataDxfId="73" totalsRowDxfId="72">
  <tableColumns count="6">
    <tableColumn id="2" xr3:uid="{00000000-0010-0000-0800-000002000000}" name="Soort" totalsRowLabel="Totaal" dataDxfId="71" totalsRowDxfId="70"/>
    <tableColumn id="3" xr3:uid="{00000000-0010-0000-0800-000003000000}" name="Geschat" totalsRowFunction="sum" dataDxfId="69" totalsRowDxfId="68"/>
    <tableColumn id="4" xr3:uid="{00000000-0010-0000-0800-000004000000}" name="Werkelijk" totalsRowFunction="sum" dataDxfId="67" totalsRowDxfId="66"/>
    <tableColumn id="5" xr3:uid="{00000000-0010-0000-0800-000005000000}" name="Prijs" dataDxfId="65" totalsRowDxfId="64"/>
    <tableColumn id="6" xr3:uid="{00000000-0010-0000-0800-000006000000}" name="Geschatte inkomsten" totalsRowFunction="sum" dataDxfId="63" totalsRowDxfId="62">
      <calculatedColumnFormula>C19*E19</calculatedColumnFormula>
    </tableColumn>
    <tableColumn id="7" xr3:uid="{00000000-0010-0000-0800-000007000000}" name="Werkelijke inkomsten" totalsRowFunction="sum" dataDxfId="61" totalsRowDxfId="60">
      <calculatedColumnFormula>D19*E19</calculatedColumnFormula>
    </tableColumn>
  </tableColumns>
  <tableStyleInfo name="TableStyleLight13 2 2" showFirstColumn="0" showLastColumn="0" showRowStripes="1" showColumnStripes="0"/>
  <extLst>
    <ext xmlns:x14="http://schemas.microsoft.com/office/spreadsheetml/2009/9/main" uri="{504A1905-F514-4f6f-8877-14C23A59335A}">
      <x14:table altTextSummary="Voer het geschatte en werkelijke aantal advertenties, het type en de prijs in deze tabel in. Geschatte en werkelijke inkomsten uit advertenties en totalen worden automatisch berekend"/>
    </ext>
  </extLst>
</table>
</file>

<file path=xl/theme/theme11.xml><?xml version="1.0" encoding="utf-8"?>
<a:theme xmlns:a="http://schemas.openxmlformats.org/drawingml/2006/main" name="Office Theme">
  <a:themeElements>
    <a:clrScheme name="Custom 49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62BECA"/>
      </a:accent1>
      <a:accent2>
        <a:srgbClr val="FFA900"/>
      </a:accent2>
      <a:accent3>
        <a:srgbClr val="A5A5A5"/>
      </a:accent3>
      <a:accent4>
        <a:srgbClr val="F0278F"/>
      </a:accent4>
      <a:accent5>
        <a:srgbClr val="1452FB"/>
      </a:accent5>
      <a:accent6>
        <a:srgbClr val="45FF92"/>
      </a:accent6>
      <a:hlink>
        <a:srgbClr val="0563C1"/>
      </a:hlink>
      <a:folHlink>
        <a:srgbClr val="954F72"/>
      </a:folHlink>
    </a:clrScheme>
    <a:fontScheme name="Custom 62">
      <a:majorFont>
        <a:latin typeface="Arial Black"/>
        <a:ea typeface=""/>
        <a:cs typeface=""/>
      </a:majorFont>
      <a:minorFont>
        <a:latin typeface="Courier Ne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68.xml" Id="rId8" /><Relationship Type="http://schemas.openxmlformats.org/officeDocument/2006/relationships/table" Target="/xl/tables/table19.xml" Id="rId3" /><Relationship Type="http://schemas.openxmlformats.org/officeDocument/2006/relationships/table" Target="/xl/tables/table510.xml" Id="rId7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Relationship Type="http://schemas.openxmlformats.org/officeDocument/2006/relationships/table" Target="/xl/tables/table411.xml" Id="rId6" /><Relationship Type="http://schemas.openxmlformats.org/officeDocument/2006/relationships/table" Target="/xl/tables/table312.xml" Id="rId5" /><Relationship Type="http://schemas.openxmlformats.org/officeDocument/2006/relationships/table" Target="/xl/tables/table213.xml" Id="rId4" /><Relationship Type="http://schemas.openxmlformats.org/officeDocument/2006/relationships/table" Target="/xl/tables/table714.xml" Id="rId9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84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Relationship Type="http://schemas.openxmlformats.org/officeDocument/2006/relationships/table" Target="/xl/tables/table115.xml" Id="rId6" /><Relationship Type="http://schemas.openxmlformats.org/officeDocument/2006/relationships/table" Target="/xl/tables/table106.xml" Id="rId5" /><Relationship Type="http://schemas.openxmlformats.org/officeDocument/2006/relationships/table" Target="/xl/tables/table97.xml" Id="rId4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12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Relationship Type="http://schemas.openxmlformats.org/officeDocument/2006/relationships/table" Target="/xl/tables/table142.xml" Id="rId5" /><Relationship Type="http://schemas.openxmlformats.org/officeDocument/2006/relationships/table" Target="/xl/tables/table133.xml" Id="rId4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B1:I40"/>
  <sheetViews>
    <sheetView showGridLines="0" tabSelected="1" zoomScaleNormal="100" workbookViewId="0"/>
  </sheetViews>
  <sheetFormatPr defaultColWidth="9.140625" defaultRowHeight="20.25" customHeight="1" x14ac:dyDescent="0.2"/>
  <cols>
    <col min="1" max="1" width="1.7109375" style="5" customWidth="1"/>
    <col min="2" max="2" width="26.28515625" style="4" customWidth="1"/>
    <col min="3" max="5" width="23.7109375" style="5" customWidth="1"/>
    <col min="6" max="6" width="29.85546875" style="4" customWidth="1"/>
    <col min="7" max="8" width="23.7109375" style="5" customWidth="1"/>
    <col min="9" max="9" width="1.7109375" style="5" customWidth="1"/>
    <col min="10" max="11" width="9.140625" style="5" customWidth="1"/>
    <col min="12" max="16384" width="9.140625" style="5"/>
  </cols>
  <sheetData>
    <row r="1" spans="2:9" ht="9" customHeight="1" x14ac:dyDescent="0.2">
      <c r="I1" s="5" t="s">
        <v>40</v>
      </c>
    </row>
    <row r="2" spans="2:9" ht="9" customHeight="1" x14ac:dyDescent="0.2">
      <c r="B2" s="7"/>
      <c r="C2" s="8"/>
      <c r="D2" s="8"/>
      <c r="E2" s="8"/>
      <c r="F2" s="7"/>
      <c r="G2" s="8"/>
      <c r="H2" s="8"/>
    </row>
    <row r="3" spans="2:9" s="31" customFormat="1" ht="42" customHeight="1" x14ac:dyDescent="0.5">
      <c r="B3" s="10" t="s">
        <v>0</v>
      </c>
      <c r="C3" s="30"/>
      <c r="D3" s="30"/>
      <c r="E3" s="30"/>
      <c r="F3" s="30"/>
      <c r="G3" s="30"/>
      <c r="H3" s="30"/>
    </row>
    <row r="4" spans="2:9" s="32" customFormat="1" ht="42" customHeight="1" x14ac:dyDescent="0.2">
      <c r="B4" s="46" t="s">
        <v>1</v>
      </c>
      <c r="C4" s="1"/>
      <c r="D4" s="1"/>
      <c r="E4" s="1"/>
      <c r="F4" s="1"/>
      <c r="G4" s="1"/>
      <c r="H4" s="1"/>
    </row>
    <row r="5" spans="2:9" ht="9" customHeight="1" x14ac:dyDescent="0.2">
      <c r="B5" s="7"/>
      <c r="C5" s="8"/>
      <c r="D5" s="8"/>
      <c r="E5" s="8"/>
      <c r="F5" s="7"/>
      <c r="G5" s="8"/>
      <c r="H5" s="8"/>
    </row>
    <row r="6" spans="2:9" ht="20.25" customHeight="1" x14ac:dyDescent="0.2">
      <c r="B6" s="5"/>
      <c r="F6" s="5"/>
    </row>
    <row r="7" spans="2:9" ht="28.15" customHeight="1" x14ac:dyDescent="0.2">
      <c r="B7" s="54" t="s">
        <v>2</v>
      </c>
      <c r="C7" s="44" t="s">
        <v>20</v>
      </c>
      <c r="D7" s="45" t="s">
        <v>21</v>
      </c>
      <c r="F7" s="43" t="s">
        <v>22</v>
      </c>
      <c r="G7" s="26" t="s">
        <v>20</v>
      </c>
      <c r="H7" s="26" t="s">
        <v>21</v>
      </c>
    </row>
    <row r="8" spans="2:9" ht="28.15" customHeight="1" x14ac:dyDescent="0.2">
      <c r="B8" s="54"/>
      <c r="C8" s="49">
        <f>SiteExpenses[[#Totals],[Geschat]]+DecorationsExpenses[[#Totals],[Geschat]]+PublicityExpenses[[#Totals],[Geschat]]+MiscellaneousExpenses[[#Totals],[Geschat]]+RefreshmentsExpenses[[#Totals],[Geschat]]+ProgramExpenses[[#Totals],[Geschat]]+PrizesExpenses[[#Totals],[Geschat]]</f>
        <v>2090</v>
      </c>
      <c r="D8" s="49">
        <f>SiteExpenses[[#Totals],[Werkelijk]]+DecorationsExpenses[[#Totals],[Werkelijk]]+PublicityExpenses[[#Totals],[Werkelijk]]+MiscellaneousExpenses[[#Totals],[Werkelijk]]+RefreshmentsExpenses[[#Totals],[Werkelijk]]+ProgramExpenses[[#Totals],[Werkelijk]]+PrizesExpenses[[#Totals],[Werkelijk]]</f>
        <v>1640</v>
      </c>
      <c r="E8" s="33"/>
      <c r="F8" s="4" t="s">
        <v>23</v>
      </c>
      <c r="G8" s="50">
        <v>750</v>
      </c>
      <c r="H8" s="50">
        <v>700</v>
      </c>
    </row>
    <row r="9" spans="2:9" ht="28.15" customHeight="1" x14ac:dyDescent="0.2">
      <c r="C9" s="34"/>
      <c r="F9" s="4" t="s">
        <v>24</v>
      </c>
      <c r="G9" s="50">
        <v>150</v>
      </c>
      <c r="H9" s="50">
        <v>0</v>
      </c>
    </row>
    <row r="10" spans="2:9" ht="28.15" customHeight="1" x14ac:dyDescent="0.2">
      <c r="F10" s="4" t="s">
        <v>25</v>
      </c>
      <c r="G10" s="50"/>
      <c r="H10" s="50"/>
    </row>
    <row r="11" spans="2:9" ht="28.15" customHeight="1" x14ac:dyDescent="0.2">
      <c r="B11" s="43" t="s">
        <v>3</v>
      </c>
      <c r="C11" s="26" t="s">
        <v>20</v>
      </c>
      <c r="D11" s="26" t="s">
        <v>21</v>
      </c>
      <c r="F11" s="4" t="s">
        <v>26</v>
      </c>
      <c r="G11" s="50"/>
      <c r="H11" s="50"/>
    </row>
    <row r="12" spans="2:9" ht="28.15" customHeight="1" x14ac:dyDescent="0.2">
      <c r="B12" s="35" t="s">
        <v>4</v>
      </c>
      <c r="C12" s="50">
        <v>500</v>
      </c>
      <c r="D12" s="50">
        <v>450</v>
      </c>
      <c r="F12" s="4" t="s">
        <v>27</v>
      </c>
      <c r="G12" s="50"/>
      <c r="H12" s="50"/>
    </row>
    <row r="13" spans="2:9" ht="28.15" customHeight="1" x14ac:dyDescent="0.2">
      <c r="B13" s="4" t="s">
        <v>5</v>
      </c>
      <c r="C13" s="50"/>
      <c r="D13" s="50"/>
      <c r="F13" s="4" t="s">
        <v>8</v>
      </c>
      <c r="G13" s="50">
        <f>SUBTOTAL(109,ProgramExpenses[Geschat])</f>
        <v>900</v>
      </c>
      <c r="H13" s="50">
        <f>SUBTOTAL(109,ProgramExpenses[Werkelijk])</f>
        <v>700</v>
      </c>
    </row>
    <row r="14" spans="2:9" ht="28.15" customHeight="1" x14ac:dyDescent="0.2">
      <c r="B14" s="4" t="s">
        <v>6</v>
      </c>
      <c r="C14" s="50"/>
      <c r="D14" s="50"/>
      <c r="F14" s="5"/>
    </row>
    <row r="15" spans="2:9" ht="28.15" customHeight="1" x14ac:dyDescent="0.2">
      <c r="B15" s="35" t="s">
        <v>7</v>
      </c>
      <c r="C15" s="50"/>
      <c r="D15" s="50"/>
      <c r="F15" s="43" t="s">
        <v>28</v>
      </c>
      <c r="G15" s="26" t="s">
        <v>20</v>
      </c>
      <c r="H15" s="26" t="s">
        <v>21</v>
      </c>
    </row>
    <row r="16" spans="2:9" ht="28.15" customHeight="1" x14ac:dyDescent="0.2">
      <c r="B16" s="4" t="s">
        <v>8</v>
      </c>
      <c r="C16" s="50">
        <f>SUBTOTAL(109,SiteExpenses[Geschat])</f>
        <v>500</v>
      </c>
      <c r="D16" s="50">
        <f>SUBTOTAL(109,SiteExpenses[Werkelijk])</f>
        <v>450</v>
      </c>
      <c r="F16" s="4" t="s">
        <v>29</v>
      </c>
      <c r="G16" s="50"/>
      <c r="H16" s="50"/>
    </row>
    <row r="17" spans="2:8" ht="28.15" customHeight="1" x14ac:dyDescent="0.2">
      <c r="B17" s="5"/>
      <c r="F17" s="4" t="s">
        <v>30</v>
      </c>
      <c r="G17" s="50">
        <v>20</v>
      </c>
      <c r="H17" s="50">
        <v>20</v>
      </c>
    </row>
    <row r="18" spans="2:8" ht="28.15" customHeight="1" x14ac:dyDescent="0.2">
      <c r="B18" s="43" t="s">
        <v>9</v>
      </c>
      <c r="C18" s="26" t="s">
        <v>20</v>
      </c>
      <c r="D18" s="26" t="s">
        <v>21</v>
      </c>
      <c r="F18" s="4" t="s">
        <v>31</v>
      </c>
      <c r="G18" s="50"/>
      <c r="H18" s="50"/>
    </row>
    <row r="19" spans="2:8" ht="28.15" customHeight="1" x14ac:dyDescent="0.2">
      <c r="B19" s="4" t="s">
        <v>10</v>
      </c>
      <c r="C19" s="50">
        <v>200</v>
      </c>
      <c r="D19" s="50">
        <v>100</v>
      </c>
      <c r="F19" s="4" t="s">
        <v>8</v>
      </c>
      <c r="G19" s="50">
        <f>SUBTOTAL(109,PublicityExpenses[Geschat])</f>
        <v>20</v>
      </c>
      <c r="H19" s="50">
        <f>SUBTOTAL(109,PublicityExpenses[Werkelijk])</f>
        <v>20</v>
      </c>
    </row>
    <row r="20" spans="2:8" ht="28.15" customHeight="1" x14ac:dyDescent="0.2">
      <c r="B20" s="4" t="s">
        <v>11</v>
      </c>
      <c r="C20" s="50"/>
      <c r="D20" s="50"/>
      <c r="F20" s="5"/>
    </row>
    <row r="21" spans="2:8" ht="28.15" customHeight="1" x14ac:dyDescent="0.2">
      <c r="B21" s="4" t="s">
        <v>12</v>
      </c>
      <c r="C21" s="50"/>
      <c r="D21" s="50"/>
      <c r="F21" s="43" t="s">
        <v>32</v>
      </c>
      <c r="G21" s="26" t="s">
        <v>20</v>
      </c>
      <c r="H21" s="26" t="s">
        <v>21</v>
      </c>
    </row>
    <row r="22" spans="2:8" ht="28.15" customHeight="1" x14ac:dyDescent="0.2">
      <c r="B22" s="4" t="s">
        <v>13</v>
      </c>
      <c r="C22" s="50"/>
      <c r="D22" s="50"/>
      <c r="F22" s="4" t="s">
        <v>33</v>
      </c>
      <c r="G22" s="50"/>
      <c r="H22" s="50"/>
    </row>
    <row r="23" spans="2:8" ht="28.15" customHeight="1" x14ac:dyDescent="0.2">
      <c r="B23" s="4" t="s">
        <v>14</v>
      </c>
      <c r="C23" s="50"/>
      <c r="D23" s="50"/>
      <c r="F23" s="4" t="s">
        <v>34</v>
      </c>
      <c r="G23" s="50">
        <v>100</v>
      </c>
      <c r="H23" s="50">
        <v>100</v>
      </c>
    </row>
    <row r="24" spans="2:8" ht="28.15" customHeight="1" x14ac:dyDescent="0.2">
      <c r="B24" s="4" t="s">
        <v>8</v>
      </c>
      <c r="C24" s="50">
        <f>SUBTOTAL(109,DecorationsExpenses[Geschat])</f>
        <v>200</v>
      </c>
      <c r="D24" s="50">
        <f>SUBTOTAL(109,DecorationsExpenses[Werkelijk])</f>
        <v>100</v>
      </c>
      <c r="F24" s="4" t="s">
        <v>8</v>
      </c>
      <c r="G24" s="50">
        <f>SUBTOTAL(109,PrizesExpenses[Geschat])</f>
        <v>100</v>
      </c>
      <c r="H24" s="50">
        <f>SUBTOTAL(109,PrizesExpenses[Werkelijk])</f>
        <v>100</v>
      </c>
    </row>
    <row r="25" spans="2:8" ht="28.15" customHeight="1" x14ac:dyDescent="0.2">
      <c r="B25" s="5"/>
      <c r="F25" s="5"/>
    </row>
    <row r="26" spans="2:8" ht="28.15" customHeight="1" x14ac:dyDescent="0.2">
      <c r="B26" s="43" t="s">
        <v>15</v>
      </c>
      <c r="C26" s="26" t="s">
        <v>20</v>
      </c>
      <c r="D26" s="26" t="s">
        <v>21</v>
      </c>
      <c r="F26" s="43" t="s">
        <v>35</v>
      </c>
      <c r="G26" s="26" t="s">
        <v>20</v>
      </c>
      <c r="H26" s="26" t="s">
        <v>21</v>
      </c>
    </row>
    <row r="27" spans="2:8" ht="28.15" customHeight="1" x14ac:dyDescent="0.2">
      <c r="B27" s="4" t="s">
        <v>16</v>
      </c>
      <c r="C27" s="50"/>
      <c r="D27" s="50"/>
      <c r="F27" s="25" t="s">
        <v>36</v>
      </c>
      <c r="G27" s="51">
        <v>50</v>
      </c>
      <c r="H27" s="51">
        <v>50</v>
      </c>
    </row>
    <row r="28" spans="2:8" ht="28.15" customHeight="1" x14ac:dyDescent="0.2">
      <c r="B28" s="4" t="s">
        <v>17</v>
      </c>
      <c r="C28" s="50">
        <v>220</v>
      </c>
      <c r="D28" s="50">
        <v>120</v>
      </c>
      <c r="F28" s="25" t="s">
        <v>37</v>
      </c>
      <c r="G28" s="51">
        <v>20</v>
      </c>
      <c r="H28" s="51">
        <v>20</v>
      </c>
    </row>
    <row r="29" spans="2:8" ht="28.15" customHeight="1" x14ac:dyDescent="0.2">
      <c r="B29" s="4" t="s">
        <v>18</v>
      </c>
      <c r="C29" s="50">
        <v>80</v>
      </c>
      <c r="D29" s="50">
        <v>80</v>
      </c>
      <c r="F29" s="25" t="s">
        <v>38</v>
      </c>
      <c r="G29" s="51"/>
      <c r="H29" s="51"/>
    </row>
    <row r="30" spans="2:8" ht="28.15" customHeight="1" x14ac:dyDescent="0.2">
      <c r="B30" s="4" t="s">
        <v>19</v>
      </c>
      <c r="C30" s="50"/>
      <c r="D30" s="50"/>
      <c r="F30" s="25" t="s">
        <v>39</v>
      </c>
      <c r="G30" s="51"/>
      <c r="H30" s="51"/>
    </row>
    <row r="31" spans="2:8" ht="28.15" customHeight="1" x14ac:dyDescent="0.2">
      <c r="B31" s="4" t="s">
        <v>8</v>
      </c>
      <c r="C31" s="50">
        <f>SUBTOTAL(109,RefreshmentsExpenses[Geschat])</f>
        <v>300</v>
      </c>
      <c r="D31" s="50">
        <f>SUBTOTAL(109,RefreshmentsExpenses[Werkelijk])</f>
        <v>200</v>
      </c>
      <c r="F31" s="25" t="s">
        <v>8</v>
      </c>
      <c r="G31" s="51">
        <f>SUBTOTAL(109,MiscellaneousExpenses[Geschat])</f>
        <v>70</v>
      </c>
      <c r="H31" s="51">
        <f>SUBTOTAL(109,MiscellaneousExpenses[Werkelijk])</f>
        <v>70</v>
      </c>
    </row>
    <row r="32" spans="2:8" ht="20.25" customHeight="1" x14ac:dyDescent="0.2">
      <c r="B32" s="5"/>
    </row>
    <row r="33" spans="2:2" ht="20.25" customHeight="1" x14ac:dyDescent="0.2">
      <c r="B33" s="5"/>
    </row>
    <row r="34" spans="2:2" ht="20.25" customHeight="1" x14ac:dyDescent="0.2">
      <c r="B34" s="5"/>
    </row>
    <row r="36" spans="2:2" ht="20.25" customHeight="1" x14ac:dyDescent="0.2">
      <c r="B36" s="5"/>
    </row>
    <row r="37" spans="2:2" ht="20.25" customHeight="1" x14ac:dyDescent="0.2">
      <c r="B37" s="5"/>
    </row>
    <row r="38" spans="2:2" ht="20.25" customHeight="1" x14ac:dyDescent="0.2">
      <c r="B38" s="5"/>
    </row>
    <row r="39" spans="2:2" ht="20.25" customHeight="1" x14ac:dyDescent="0.2">
      <c r="B39" s="5"/>
    </row>
    <row r="40" spans="2:2" ht="20.25" customHeight="1" x14ac:dyDescent="0.2">
      <c r="B40" s="5"/>
    </row>
  </sheetData>
  <mergeCells count="1">
    <mergeCell ref="B7:B8"/>
  </mergeCells>
  <phoneticPr fontId="2" type="noConversion"/>
  <dataValidations count="9">
    <dataValidation allowBlank="1" showInputMessage="1" showErrorMessage="1" prompt="Naam van de gebeurtenis in deze cel invoeren" sqref="B3" xr:uid="{00000000-0002-0000-0000-000000000000}"/>
    <dataValidation allowBlank="1" showInputMessage="1" showErrorMessage="1" prompt="Geschatte en werkelijke uitgaven in categorie Locatie invoeren" sqref="B11" xr:uid="{00000000-0002-0000-0000-000001000000}"/>
    <dataValidation allowBlank="1" showInputMessage="1" showErrorMessage="1" prompt="Geschatte en werkelijke uitgaven in categorie Decoraties invoeren" sqref="B18" xr:uid="{00000000-0002-0000-0000-000002000000}"/>
    <dataValidation allowBlank="1" showInputMessage="1" showErrorMessage="1" prompt="Geschatte en werkelijke uitgaven in categorie Versnaperingen invoeren" sqref="B26" xr:uid="{00000000-0002-0000-0000-000003000000}"/>
    <dataValidation allowBlank="1" showInputMessage="1" showErrorMessage="1" prompt="Geschatte en werkelijke uitgaven in categorie Programma invoeren" sqref="F7" xr:uid="{00000000-0002-0000-0000-000004000000}"/>
    <dataValidation allowBlank="1" showInputMessage="1" showErrorMessage="1" prompt="Geschatte en werkelijke uitgaven in categorie Publiciteit invoeren" sqref="F15" xr:uid="{00000000-0002-0000-0000-000005000000}"/>
    <dataValidation allowBlank="1" showInputMessage="1" showErrorMessage="1" prompt="Geschatte en werkelijke uitgaven in categorie Prijzen invoeren" sqref="F21" xr:uid="{00000000-0002-0000-0000-000006000000}"/>
    <dataValidation allowBlank="1" showInputMessage="1" showErrorMessage="1" prompt="Geschatte en werkelijke uitgaven in categorie Diversen invoeren" sqref="F26" xr:uid="{00000000-0002-0000-0000-000007000000}"/>
    <dataValidation allowBlank="1" showInputMessage="1" showErrorMessage="1" promptTitle="Gebeurtenisbudget" prompt="Maak een gebeurtenisbudget met winst- en verliesoverzicht._x000a__x000a_Voer Gebeurtenisnaam in cel B3 in._x000a__x000a_Voer Onkostengegevens in werkblad in. Voer Inkomstengegevens in het volgende werkblad in. Het overzicht wordt automatisch bijgewerkt." sqref="A1" xr:uid="{B53F834C-12D0-4155-B4AC-125CF77A0F46}"/>
  </dataValidations>
  <printOptions horizontalCentered="1"/>
  <pageMargins left="0.3" right="0.3" top="0.5" bottom="0.5" header="0.3" footer="0.3"/>
  <pageSetup paperSize="9" fitToHeight="0" orientation="portrait" r:id="rId1"/>
  <headerFooter alignWithMargins="0"/>
  <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B1:H37"/>
  <sheetViews>
    <sheetView showGridLines="0" zoomScaleNormal="100" zoomScaleSheetLayoutView="75" workbookViewId="0"/>
  </sheetViews>
  <sheetFormatPr defaultColWidth="9.140625" defaultRowHeight="19.149999999999999" customHeight="1" x14ac:dyDescent="0.2"/>
  <cols>
    <col min="1" max="1" width="1.7109375" style="5" customWidth="1"/>
    <col min="2" max="2" width="26.42578125" style="4" customWidth="1"/>
    <col min="3" max="7" width="26.42578125" style="5" customWidth="1"/>
    <col min="8" max="8" width="1.7109375" style="5" customWidth="1"/>
    <col min="9" max="10" width="9.140625" style="5" customWidth="1"/>
    <col min="11" max="16384" width="9.140625" style="5"/>
  </cols>
  <sheetData>
    <row r="1" spans="2:8" ht="9" customHeight="1" x14ac:dyDescent="0.2">
      <c r="F1" s="4"/>
      <c r="H1" s="5" t="s">
        <v>40</v>
      </c>
    </row>
    <row r="2" spans="2:8" ht="9" customHeight="1" x14ac:dyDescent="0.2">
      <c r="B2" s="7"/>
      <c r="C2" s="8"/>
      <c r="D2" s="8"/>
      <c r="E2" s="8"/>
      <c r="F2" s="7"/>
      <c r="G2" s="8"/>
      <c r="H2" s="9"/>
    </row>
    <row r="3" spans="2:8" s="20" customFormat="1" ht="41.25" customHeight="1" x14ac:dyDescent="0.4">
      <c r="B3" s="10" t="str">
        <f>Uitgaven!B3</f>
        <v>Productlanceringsfeest</v>
      </c>
      <c r="C3" s="19"/>
      <c r="D3" s="8"/>
      <c r="E3" s="8"/>
      <c r="F3" s="7"/>
      <c r="G3" s="8"/>
    </row>
    <row r="4" spans="2:8" s="21" customFormat="1" ht="43.5" customHeight="1" x14ac:dyDescent="0.65">
      <c r="B4" s="27" t="s">
        <v>41</v>
      </c>
      <c r="C4" s="28"/>
      <c r="D4" s="28"/>
      <c r="E4" s="28"/>
      <c r="F4" s="28"/>
      <c r="G4" s="28"/>
    </row>
    <row r="5" spans="2:8" ht="9" customHeight="1" x14ac:dyDescent="0.2">
      <c r="B5" s="7"/>
      <c r="C5" s="8"/>
      <c r="D5" s="8"/>
      <c r="E5" s="8"/>
      <c r="F5" s="7"/>
      <c r="G5" s="8"/>
      <c r="H5" s="9"/>
    </row>
    <row r="6" spans="2:8" ht="9" customHeight="1" x14ac:dyDescent="0.2">
      <c r="B6" s="22"/>
      <c r="C6" s="9"/>
      <c r="D6" s="9"/>
      <c r="E6" s="9"/>
      <c r="F6" s="22"/>
      <c r="G6" s="9"/>
      <c r="H6" s="9"/>
    </row>
    <row r="7" spans="2:8" ht="28.15" customHeight="1" x14ac:dyDescent="0.2">
      <c r="B7" s="54" t="s">
        <v>42</v>
      </c>
      <c r="C7" s="41" t="s">
        <v>20</v>
      </c>
      <c r="D7" s="42" t="s">
        <v>21</v>
      </c>
    </row>
    <row r="8" spans="2:8" ht="28.15" customHeight="1" x14ac:dyDescent="0.2">
      <c r="B8" s="54"/>
      <c r="C8" s="52">
        <f>SUM(Toegangsbewijzen[[#Totals],[Geschatte inkomsten]],Advertenties_in_programmaboekje[[#Totals],[Geschatte inkomsten]],ExhibitorsAndVendors[[#Totals],[Geschatte inkomsten]],Verkoop_van_artikelen[[#Totals],[Geschatte inkomsten]])</f>
        <v>4450</v>
      </c>
      <c r="D8" s="53">
        <f>SUM(Toegangsbewijzen[[#Totals],[Werkelijke inkomsten]],Advertenties_in_programmaboekje[[#Totals],[Werkelijke inkomsten]],ExhibitorsAndVendors[[#Totals],[Werkelijke inkomsten]],Verkoop_van_artikelen[[#Totals],[Werkelijke inkomsten]])</f>
        <v>4170</v>
      </c>
      <c r="E8" s="23"/>
    </row>
    <row r="9" spans="2:8" ht="28.15" customHeight="1" x14ac:dyDescent="0.2">
      <c r="C9" s="48"/>
      <c r="D9" s="47"/>
      <c r="E9" s="24"/>
    </row>
    <row r="10" spans="2:8" ht="28.15" customHeight="1" x14ac:dyDescent="0.2">
      <c r="B10" s="55" t="s">
        <v>43</v>
      </c>
      <c r="C10" s="55"/>
      <c r="D10" s="55"/>
      <c r="E10" s="55"/>
      <c r="F10" s="55"/>
      <c r="G10" s="55"/>
    </row>
    <row r="11" spans="2:8" ht="28.15" customHeight="1" x14ac:dyDescent="0.2">
      <c r="B11" s="29" t="s">
        <v>44</v>
      </c>
      <c r="C11" s="26" t="s">
        <v>20</v>
      </c>
      <c r="D11" s="26" t="s">
        <v>21</v>
      </c>
      <c r="E11" s="26" t="s">
        <v>61</v>
      </c>
      <c r="F11" s="26" t="s">
        <v>62</v>
      </c>
      <c r="G11" s="26" t="s">
        <v>63</v>
      </c>
    </row>
    <row r="12" spans="2:8" ht="28.15" customHeight="1" x14ac:dyDescent="0.2">
      <c r="B12" s="4" t="s">
        <v>45</v>
      </c>
      <c r="C12" s="5">
        <v>30</v>
      </c>
      <c r="D12" s="5">
        <v>25</v>
      </c>
      <c r="E12" s="50">
        <v>20</v>
      </c>
      <c r="F12" s="50">
        <f>C12*E12</f>
        <v>600</v>
      </c>
      <c r="G12" s="50">
        <f>D12*E12</f>
        <v>500</v>
      </c>
    </row>
    <row r="13" spans="2:8" ht="28.15" customHeight="1" x14ac:dyDescent="0.2">
      <c r="B13" s="4" t="s">
        <v>46</v>
      </c>
      <c r="C13" s="5">
        <v>20</v>
      </c>
      <c r="D13" s="5">
        <v>22</v>
      </c>
      <c r="E13" s="50">
        <v>10</v>
      </c>
      <c r="F13" s="50">
        <f>C13*E13</f>
        <v>200</v>
      </c>
      <c r="G13" s="50">
        <f>D13*E13</f>
        <v>220</v>
      </c>
    </row>
    <row r="14" spans="2:8" ht="28.15" customHeight="1" x14ac:dyDescent="0.2">
      <c r="B14" s="4" t="s">
        <v>47</v>
      </c>
      <c r="C14" s="5">
        <v>10</v>
      </c>
      <c r="D14" s="5">
        <v>10</v>
      </c>
      <c r="E14" s="50">
        <v>10</v>
      </c>
      <c r="F14" s="50">
        <f>C14*E14</f>
        <v>100</v>
      </c>
      <c r="G14" s="50">
        <f>D14*E14</f>
        <v>100</v>
      </c>
    </row>
    <row r="15" spans="2:8" ht="28.15" customHeight="1" x14ac:dyDescent="0.2">
      <c r="B15" s="4" t="s">
        <v>8</v>
      </c>
      <c r="C15" s="5">
        <f>SUBTOTAL(109,Toegangsbewijzen[Geschat])</f>
        <v>60</v>
      </c>
      <c r="D15" s="5">
        <f>SUBTOTAL(109,Toegangsbewijzen[Werkelijk])</f>
        <v>57</v>
      </c>
      <c r="E15" s="50"/>
      <c r="F15" s="50">
        <f>SUBTOTAL(109,Toegangsbewijzen[Geschatte inkomsten])</f>
        <v>900</v>
      </c>
      <c r="G15" s="50">
        <f>SUBTOTAL(109,Toegangsbewijzen[Werkelijke inkomsten])</f>
        <v>820</v>
      </c>
    </row>
    <row r="16" spans="2:8" ht="28.15" customHeight="1" x14ac:dyDescent="0.2">
      <c r="B16" s="5"/>
    </row>
    <row r="17" spans="2:7" ht="28.15" customHeight="1" x14ac:dyDescent="0.2">
      <c r="B17" s="55" t="s">
        <v>48</v>
      </c>
      <c r="C17" s="56"/>
      <c r="D17" s="56"/>
      <c r="E17" s="56"/>
      <c r="F17" s="56"/>
      <c r="G17" s="56"/>
    </row>
    <row r="18" spans="2:7" ht="28.15" customHeight="1" x14ac:dyDescent="0.2">
      <c r="B18" s="25" t="s">
        <v>44</v>
      </c>
      <c r="C18" s="26" t="s">
        <v>20</v>
      </c>
      <c r="D18" s="26" t="s">
        <v>21</v>
      </c>
      <c r="E18" s="26" t="s">
        <v>61</v>
      </c>
      <c r="F18" s="26" t="s">
        <v>62</v>
      </c>
      <c r="G18" s="26" t="s">
        <v>63</v>
      </c>
    </row>
    <row r="19" spans="2:7" ht="28.15" customHeight="1" x14ac:dyDescent="0.2">
      <c r="B19" s="4" t="s">
        <v>49</v>
      </c>
      <c r="C19" s="5">
        <v>2</v>
      </c>
      <c r="D19" s="5">
        <v>4</v>
      </c>
      <c r="E19" s="50">
        <v>50</v>
      </c>
      <c r="F19" s="50">
        <f>C19*E19</f>
        <v>100</v>
      </c>
      <c r="G19" s="50">
        <f>D19*E19</f>
        <v>200</v>
      </c>
    </row>
    <row r="20" spans="2:7" ht="28.15" customHeight="1" x14ac:dyDescent="0.2">
      <c r="B20" s="4" t="s">
        <v>50</v>
      </c>
      <c r="C20" s="5">
        <v>2</v>
      </c>
      <c r="D20" s="5">
        <v>2</v>
      </c>
      <c r="E20" s="50">
        <v>30</v>
      </c>
      <c r="F20" s="50">
        <f>C20*E20</f>
        <v>60</v>
      </c>
      <c r="G20" s="50">
        <f>D20*E20</f>
        <v>60</v>
      </c>
    </row>
    <row r="21" spans="2:7" ht="28.15" customHeight="1" x14ac:dyDescent="0.2">
      <c r="B21" s="4" t="s">
        <v>51</v>
      </c>
      <c r="C21" s="5">
        <v>2</v>
      </c>
      <c r="D21" s="5">
        <v>2</v>
      </c>
      <c r="E21" s="50">
        <v>20</v>
      </c>
      <c r="F21" s="50">
        <f>C21*E21</f>
        <v>40</v>
      </c>
      <c r="G21" s="50">
        <f>D21*E21</f>
        <v>40</v>
      </c>
    </row>
    <row r="22" spans="2:7" ht="28.15" customHeight="1" x14ac:dyDescent="0.2">
      <c r="B22" s="4" t="s">
        <v>8</v>
      </c>
      <c r="C22" s="5">
        <f>SUBTOTAL(109,Advertenties_in_programmaboekje[Geschat])</f>
        <v>6</v>
      </c>
      <c r="D22" s="5">
        <f>SUBTOTAL(109,Advertenties_in_programmaboekje[Werkelijk])</f>
        <v>8</v>
      </c>
      <c r="E22" s="50"/>
      <c r="F22" s="50">
        <f>SUBTOTAL(109,Advertenties_in_programmaboekje[Geschatte inkomsten])</f>
        <v>200</v>
      </c>
      <c r="G22" s="50">
        <f>SUBTOTAL(109,Advertenties_in_programmaboekje[Werkelijke inkomsten])</f>
        <v>300</v>
      </c>
    </row>
    <row r="23" spans="2:7" ht="28.15" customHeight="1" x14ac:dyDescent="0.2">
      <c r="B23" s="5"/>
    </row>
    <row r="24" spans="2:7" ht="28.15" customHeight="1" x14ac:dyDescent="0.2">
      <c r="B24" s="55" t="s">
        <v>52</v>
      </c>
      <c r="C24" s="56"/>
      <c r="D24" s="56"/>
      <c r="E24" s="56"/>
      <c r="F24" s="56"/>
      <c r="G24" s="56"/>
    </row>
    <row r="25" spans="2:7" ht="28.15" customHeight="1" x14ac:dyDescent="0.2">
      <c r="B25" s="25" t="s">
        <v>44</v>
      </c>
      <c r="C25" s="26" t="s">
        <v>20</v>
      </c>
      <c r="D25" s="26" t="s">
        <v>21</v>
      </c>
      <c r="E25" s="26" t="s">
        <v>61</v>
      </c>
      <c r="F25" s="26" t="s">
        <v>62</v>
      </c>
      <c r="G25" s="26" t="s">
        <v>63</v>
      </c>
    </row>
    <row r="26" spans="2:7" ht="28.15" customHeight="1" x14ac:dyDescent="0.2">
      <c r="B26" s="4" t="s">
        <v>53</v>
      </c>
      <c r="C26" s="5">
        <v>5</v>
      </c>
      <c r="D26" s="5">
        <v>5</v>
      </c>
      <c r="E26" s="50">
        <v>300</v>
      </c>
      <c r="F26" s="50">
        <f>C26*E26</f>
        <v>1500</v>
      </c>
      <c r="G26" s="50">
        <f>D26*E26</f>
        <v>1500</v>
      </c>
    </row>
    <row r="27" spans="2:7" ht="28.15" customHeight="1" x14ac:dyDescent="0.2">
      <c r="B27" s="4" t="s">
        <v>54</v>
      </c>
      <c r="C27" s="5">
        <v>5</v>
      </c>
      <c r="D27" s="5">
        <v>4</v>
      </c>
      <c r="E27" s="50">
        <v>200</v>
      </c>
      <c r="F27" s="50">
        <f>C27*E27</f>
        <v>1000</v>
      </c>
      <c r="G27" s="50">
        <f>D27*E27</f>
        <v>800</v>
      </c>
    </row>
    <row r="28" spans="2:7" ht="28.15" customHeight="1" x14ac:dyDescent="0.2">
      <c r="B28" s="4" t="s">
        <v>55</v>
      </c>
      <c r="C28" s="5">
        <v>1</v>
      </c>
      <c r="D28" s="5">
        <v>0</v>
      </c>
      <c r="E28" s="50">
        <v>100</v>
      </c>
      <c r="F28" s="50">
        <f>C28*E28</f>
        <v>100</v>
      </c>
      <c r="G28" s="50">
        <f>D28*E28</f>
        <v>0</v>
      </c>
    </row>
    <row r="29" spans="2:7" ht="28.15" customHeight="1" x14ac:dyDescent="0.2">
      <c r="B29" s="4" t="s">
        <v>8</v>
      </c>
      <c r="C29" s="5">
        <f>SUBTOTAL(109,ExhibitorsAndVendors[Geschat])</f>
        <v>11</v>
      </c>
      <c r="D29" s="5">
        <f>SUBTOTAL(109,ExhibitorsAndVendors[Werkelijk])</f>
        <v>9</v>
      </c>
      <c r="E29" s="50"/>
      <c r="F29" s="50">
        <f>SUBTOTAL(109,ExhibitorsAndVendors[Geschatte inkomsten])</f>
        <v>2600</v>
      </c>
      <c r="G29" s="50">
        <f>SUBTOTAL(109,ExhibitorsAndVendors[Werkelijke inkomsten])</f>
        <v>2300</v>
      </c>
    </row>
    <row r="30" spans="2:7" ht="28.15" customHeight="1" x14ac:dyDescent="0.2">
      <c r="B30" s="5"/>
    </row>
    <row r="31" spans="2:7" ht="28.15" customHeight="1" x14ac:dyDescent="0.2">
      <c r="B31" s="55" t="s">
        <v>56</v>
      </c>
      <c r="C31" s="56"/>
      <c r="D31" s="56"/>
      <c r="E31" s="56"/>
      <c r="F31" s="56"/>
      <c r="G31" s="56"/>
    </row>
    <row r="32" spans="2:7" ht="28.15" customHeight="1" x14ac:dyDescent="0.2">
      <c r="B32" s="25" t="s">
        <v>44</v>
      </c>
      <c r="C32" s="26" t="s">
        <v>20</v>
      </c>
      <c r="D32" s="26" t="s">
        <v>21</v>
      </c>
      <c r="E32" s="26" t="s">
        <v>61</v>
      </c>
      <c r="F32" s="26" t="s">
        <v>62</v>
      </c>
      <c r="G32" s="26" t="s">
        <v>63</v>
      </c>
    </row>
    <row r="33" spans="2:7" ht="28.15" customHeight="1" x14ac:dyDescent="0.2">
      <c r="B33" s="4" t="s">
        <v>57</v>
      </c>
      <c r="C33" s="5">
        <v>2</v>
      </c>
      <c r="D33" s="5">
        <v>2</v>
      </c>
      <c r="E33" s="50">
        <v>150</v>
      </c>
      <c r="F33" s="50">
        <f>C33*E33</f>
        <v>300</v>
      </c>
      <c r="G33" s="50">
        <f>D33*E33</f>
        <v>300</v>
      </c>
    </row>
    <row r="34" spans="2:7" ht="28.15" customHeight="1" x14ac:dyDescent="0.2">
      <c r="B34" s="4" t="s">
        <v>58</v>
      </c>
      <c r="C34" s="5">
        <v>5</v>
      </c>
      <c r="D34" s="5">
        <v>5</v>
      </c>
      <c r="E34" s="50">
        <v>50</v>
      </c>
      <c r="F34" s="50">
        <f>C34*E34</f>
        <v>250</v>
      </c>
      <c r="G34" s="50">
        <f>D34*E34</f>
        <v>250</v>
      </c>
    </row>
    <row r="35" spans="2:7" ht="28.15" customHeight="1" x14ac:dyDescent="0.2">
      <c r="B35" s="4" t="s">
        <v>59</v>
      </c>
      <c r="C35" s="5">
        <v>5</v>
      </c>
      <c r="D35" s="5">
        <v>5</v>
      </c>
      <c r="E35" s="50">
        <v>20</v>
      </c>
      <c r="F35" s="50">
        <f>C35*E35</f>
        <v>100</v>
      </c>
      <c r="G35" s="50">
        <f>D35*E35</f>
        <v>100</v>
      </c>
    </row>
    <row r="36" spans="2:7" ht="28.15" customHeight="1" x14ac:dyDescent="0.2">
      <c r="B36" s="4" t="s">
        <v>60</v>
      </c>
      <c r="C36" s="5">
        <v>5</v>
      </c>
      <c r="D36" s="5">
        <v>5</v>
      </c>
      <c r="E36" s="50">
        <v>20</v>
      </c>
      <c r="F36" s="50">
        <f>C36*E36</f>
        <v>100</v>
      </c>
      <c r="G36" s="50">
        <f>D36*E36</f>
        <v>100</v>
      </c>
    </row>
    <row r="37" spans="2:7" ht="28.15" customHeight="1" x14ac:dyDescent="0.2">
      <c r="B37" s="4" t="s">
        <v>8</v>
      </c>
      <c r="C37" s="5">
        <f>SUBTOTAL(109,Verkoop_van_artikelen[Geschat])</f>
        <v>17</v>
      </c>
      <c r="D37" s="5">
        <f>SUBTOTAL(109,Verkoop_van_artikelen[Werkelijk])</f>
        <v>17</v>
      </c>
      <c r="E37" s="50"/>
      <c r="F37" s="50">
        <f>SUBTOTAL(109,Verkoop_van_artikelen[Geschatte inkomsten])</f>
        <v>750</v>
      </c>
      <c r="G37" s="50">
        <f>SUBTOTAL(109,Verkoop_van_artikelen[Werkelijke inkomsten])</f>
        <v>750</v>
      </c>
    </row>
  </sheetData>
  <mergeCells count="5">
    <mergeCell ref="B7:B8"/>
    <mergeCell ref="B10:G10"/>
    <mergeCell ref="B17:G17"/>
    <mergeCell ref="B24:G24"/>
    <mergeCell ref="B31:G31"/>
  </mergeCells>
  <phoneticPr fontId="2" type="noConversion"/>
  <dataValidations count="7">
    <dataValidation allowBlank="1" showInputMessage="1" showErrorMessage="1" prompt="Gebeurtenisnaam wordt automatisch bijgewerkt in de deze cel" sqref="B3" xr:uid="{00000000-0002-0000-0100-000000000000}"/>
    <dataValidation allowBlank="1" showInputMessage="1" showErrorMessage="1" prompt="Inkomstengegevens in dit werkblad invoeren" sqref="A1" xr:uid="{00000000-0002-0000-0100-000001000000}"/>
    <dataValidation allowBlank="1" showInputMessage="1" showErrorMessage="1" prompt="Geschatte, werkelijke en prijswaarden invoeren in categorie Entreegeld" sqref="B10" xr:uid="{00000000-0002-0000-0100-000002000000}"/>
    <dataValidation allowBlank="1" showInputMessage="1" showErrorMessage="1" prompt="Geschatte, werkelijke en prijswaarden invoeren in categorie Programma" sqref="B17" xr:uid="{00000000-0002-0000-0100-000003000000}"/>
    <dataValidation allowBlank="1" showInputMessage="1" showErrorMessage="1" prompt="Geschatte, werkelijke en prijswaarden invoeren in categorie Exposanten/verkopers" sqref="B24" xr:uid="{00000000-0002-0000-0100-000004000000}"/>
    <dataValidation allowBlank="1" showInputMessage="1" showErrorMessage="1" prompt="Geschatte, werkelijke en prijswaarden invoeren in categorie Artikelverkoop" sqref="B31" xr:uid="{00000000-0002-0000-0100-000005000000}"/>
    <dataValidation allowBlank="1" showInputMessage="1" showErrorMessage="1" prompt="Waarden in deze kolom worden automatisch berekend" sqref="F32:G32 F18:G18 F25:G25" xr:uid="{00000000-0002-0000-0100-000006000000}"/>
  </dataValidations>
  <printOptions horizontalCentered="1"/>
  <pageMargins left="0.3" right="0.3" top="0.5" bottom="0.5" header="0.3" footer="0.3"/>
  <pageSetup paperSize="9" scale="91" fitToHeight="0" orientation="portrait" r:id="rId1"/>
  <headerFooter alignWithMargins="0"/>
  <rowBreaks count="1" manualBreakCount="1">
    <brk id="29" max="16383" man="1"/>
  </rowBreaks>
  <colBreaks count="1" manualBreakCount="1">
    <brk id="5" max="1048575" man="1"/>
  </colBreaks>
  <drawing r:id="rId2"/>
  <tableParts count="4">
    <tablePart r:id="rId3"/>
    <tablePart r:id="rId4"/>
    <tablePart r:id="rId5"/>
    <tablePart r:id="rId6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B1:P33"/>
  <sheetViews>
    <sheetView showGridLines="0" zoomScaleNormal="100" workbookViewId="0"/>
  </sheetViews>
  <sheetFormatPr defaultColWidth="9.140625" defaultRowHeight="21" customHeight="1" x14ac:dyDescent="0.2"/>
  <cols>
    <col min="1" max="1" width="1.7109375" style="5" customWidth="1"/>
    <col min="2" max="2" width="40" style="4" customWidth="1"/>
    <col min="3" max="7" width="33.140625" style="5" customWidth="1"/>
    <col min="8" max="8" width="1.7109375" style="5" customWidth="1"/>
    <col min="9" max="10" width="9.140625" style="5" customWidth="1"/>
    <col min="11" max="11" width="9.140625" style="5"/>
    <col min="12" max="16" width="12.7109375" style="6" customWidth="1"/>
    <col min="17" max="16384" width="9.140625" style="5"/>
  </cols>
  <sheetData>
    <row r="1" spans="2:16" ht="9" customHeight="1" x14ac:dyDescent="0.2">
      <c r="F1" s="4"/>
      <c r="H1" s="5" t="s">
        <v>40</v>
      </c>
    </row>
    <row r="2" spans="2:16" ht="9" customHeight="1" x14ac:dyDescent="0.2">
      <c r="B2" s="7"/>
      <c r="C2" s="8"/>
      <c r="D2" s="8"/>
      <c r="E2" s="8"/>
      <c r="F2" s="7"/>
      <c r="G2" s="8"/>
      <c r="H2" s="9"/>
      <c r="L2" s="5"/>
      <c r="M2" s="5"/>
      <c r="N2" s="5"/>
      <c r="O2" s="5"/>
      <c r="P2" s="5"/>
    </row>
    <row r="3" spans="2:16" s="13" customFormat="1" ht="43.15" customHeight="1" x14ac:dyDescent="0.2">
      <c r="B3" s="10" t="str">
        <f>Uitgaven!B3</f>
        <v>Productlanceringsfeest</v>
      </c>
      <c r="C3" s="11"/>
      <c r="D3" s="11"/>
      <c r="E3" s="11"/>
      <c r="F3" s="11"/>
      <c r="G3" s="12"/>
    </row>
    <row r="4" spans="2:16" s="14" customFormat="1" ht="43.15" customHeight="1" x14ac:dyDescent="0.2">
      <c r="B4" s="18" t="s">
        <v>64</v>
      </c>
      <c r="C4" s="3"/>
      <c r="D4" s="3"/>
      <c r="E4" s="3"/>
      <c r="F4" s="3"/>
      <c r="G4" s="2"/>
    </row>
    <row r="5" spans="2:16" ht="9" customHeight="1" x14ac:dyDescent="0.2">
      <c r="B5" s="7"/>
      <c r="C5" s="8"/>
      <c r="D5" s="8"/>
      <c r="E5" s="8"/>
      <c r="F5" s="7"/>
      <c r="G5" s="8"/>
      <c r="H5" s="9"/>
      <c r="L5" s="5"/>
      <c r="M5" s="5"/>
      <c r="N5" s="5"/>
      <c r="O5" s="5"/>
      <c r="P5" s="5"/>
    </row>
    <row r="6" spans="2:16" ht="20.25" customHeight="1" x14ac:dyDescent="0.2"/>
    <row r="7" spans="2:16" ht="28.15" customHeight="1" x14ac:dyDescent="0.2">
      <c r="B7" s="36" t="s">
        <v>65</v>
      </c>
      <c r="C7" s="37" t="s">
        <v>20</v>
      </c>
      <c r="D7" s="37" t="s">
        <v>21</v>
      </c>
      <c r="E7" s="37"/>
      <c r="F7" s="38" t="s">
        <v>71</v>
      </c>
      <c r="G7" s="15"/>
      <c r="L7" s="6" t="s">
        <v>72</v>
      </c>
      <c r="M7" s="16" t="s">
        <v>73</v>
      </c>
      <c r="N7" s="6" t="s">
        <v>20</v>
      </c>
      <c r="O7" s="6" t="s">
        <v>21</v>
      </c>
      <c r="P7" s="6" t="s">
        <v>75</v>
      </c>
    </row>
    <row r="8" spans="2:16" ht="28.15" customHeight="1" x14ac:dyDescent="0.2">
      <c r="B8" s="4" t="str">
        <f>VLOOKUP(1,$L$8:$O$14,2,FALSE)</f>
        <v>Programma</v>
      </c>
      <c r="C8" s="50">
        <f>VLOOKUP(1,$L$8:$O$14,3,FALSE)</f>
        <v>900</v>
      </c>
      <c r="D8" s="50">
        <f>VLOOKUP(1,$L$8:$O$14,4,FALSE)</f>
        <v>700</v>
      </c>
      <c r="L8" s="6">
        <f t="shared" ref="L8:L14" si="0">_xlfn.RANK.AVG(P8,$P$8:$P$14)</f>
        <v>2</v>
      </c>
      <c r="M8" s="16" t="s">
        <v>3</v>
      </c>
      <c r="N8" s="58">
        <f>SiteExpenses[[#Totals],[Geschat]]</f>
        <v>500</v>
      </c>
      <c r="O8" s="58">
        <f>SiteExpenses[[#Totals],[Werkelijk]]</f>
        <v>450</v>
      </c>
      <c r="P8" s="59">
        <f>O8+ROW(O8)/10000</f>
        <v>450.00080000000003</v>
      </c>
    </row>
    <row r="9" spans="2:16" ht="28.15" customHeight="1" x14ac:dyDescent="0.2">
      <c r="B9" s="4" t="str">
        <f>VLOOKUP(2,$L$8:$O$14,2,FALSE)</f>
        <v>Locatie</v>
      </c>
      <c r="C9" s="50">
        <f>VLOOKUP(2,$L$8:$O$14,3,FALSE)</f>
        <v>500</v>
      </c>
      <c r="D9" s="50">
        <f>VLOOKUP(2,$L$8:$O$14,4,FALSE)</f>
        <v>450</v>
      </c>
      <c r="L9" s="6">
        <f t="shared" si="0"/>
        <v>5</v>
      </c>
      <c r="M9" s="16" t="s">
        <v>9</v>
      </c>
      <c r="N9" s="58">
        <f>DecorationsExpenses[[#Totals],[Geschat]]</f>
        <v>200</v>
      </c>
      <c r="O9" s="58">
        <f>DecorationsExpenses[[#Totals],[Werkelijk]]</f>
        <v>100</v>
      </c>
      <c r="P9" s="59">
        <f t="shared" ref="P9:P14" si="1">O9+ROW(O9)/10000</f>
        <v>100.0009</v>
      </c>
    </row>
    <row r="10" spans="2:16" ht="28.15" customHeight="1" x14ac:dyDescent="0.2">
      <c r="B10" s="4" t="str">
        <f>VLOOKUP(3,$L$8:$O$14,2,FALSE)</f>
        <v>Hapjes en drankjes</v>
      </c>
      <c r="C10" s="50">
        <f>VLOOKUP(3,$L$8:$O$14,3,FALSE)</f>
        <v>300</v>
      </c>
      <c r="D10" s="50">
        <f>VLOOKUP(3,$L$8:$O$14,4,FALSE)</f>
        <v>200</v>
      </c>
      <c r="L10" s="6">
        <f t="shared" si="0"/>
        <v>3</v>
      </c>
      <c r="M10" s="16" t="s">
        <v>15</v>
      </c>
      <c r="N10" s="58">
        <f>RefreshmentsExpenses[[#Totals],[Geschat]]</f>
        <v>300</v>
      </c>
      <c r="O10" s="58">
        <f>RefreshmentsExpenses[[#Totals],[Werkelijk]]</f>
        <v>200</v>
      </c>
      <c r="P10" s="59">
        <f t="shared" si="1"/>
        <v>200.001</v>
      </c>
    </row>
    <row r="11" spans="2:16" ht="28.15" customHeight="1" x14ac:dyDescent="0.2">
      <c r="B11" s="4" t="str">
        <f>VLOOKUP(4,$L$8:$O$14,2,FALSE)</f>
        <v>Prijzen</v>
      </c>
      <c r="C11" s="50">
        <f>VLOOKUP(4,$L$8:$O$14,3,FALSE)</f>
        <v>100</v>
      </c>
      <c r="D11" s="50">
        <f>VLOOKUP(4,$L$8:$O$14,4,FALSE)</f>
        <v>100</v>
      </c>
      <c r="L11" s="6">
        <f t="shared" si="0"/>
        <v>1</v>
      </c>
      <c r="M11" s="16" t="s">
        <v>22</v>
      </c>
      <c r="N11" s="58">
        <f>ProgramExpenses[[#Totals],[Geschat]]</f>
        <v>900</v>
      </c>
      <c r="O11" s="58">
        <f>ProgramExpenses[[#Totals],[Werkelijk]]</f>
        <v>700</v>
      </c>
      <c r="P11" s="59">
        <f t="shared" si="1"/>
        <v>700.00109999999995</v>
      </c>
    </row>
    <row r="12" spans="2:16" ht="28.15" customHeight="1" x14ac:dyDescent="0.2">
      <c r="B12" s="4" t="str">
        <f>VLOOKUP(5,$L$8:$O$14,2,FALSE)</f>
        <v>Versieringen</v>
      </c>
      <c r="C12" s="50">
        <f>VLOOKUP(5,$L$8:$O$14,3,FALSE)</f>
        <v>200</v>
      </c>
      <c r="D12" s="50">
        <f>VLOOKUP(5,$L$8:$O$14,4,FALSE)</f>
        <v>100</v>
      </c>
      <c r="L12" s="6">
        <f t="shared" si="0"/>
        <v>7</v>
      </c>
      <c r="M12" s="16" t="s">
        <v>28</v>
      </c>
      <c r="N12" s="58">
        <f>PublicityExpenses[[#Totals],[Geschat]]</f>
        <v>20</v>
      </c>
      <c r="O12" s="58">
        <f>PublicityExpenses[[#Totals],[Werkelijk]]</f>
        <v>20</v>
      </c>
      <c r="P12" s="59">
        <f t="shared" si="1"/>
        <v>20.001200000000001</v>
      </c>
    </row>
    <row r="13" spans="2:16" ht="28.15" customHeight="1" x14ac:dyDescent="0.2">
      <c r="B13" s="4" t="str">
        <f>VLOOKUP(6,$L$8:$O$14,2,FALSE)</f>
        <v>Diversen</v>
      </c>
      <c r="C13" s="50">
        <f>VLOOKUP(6,$L$8:$O$14,3,FALSE)</f>
        <v>70</v>
      </c>
      <c r="D13" s="50">
        <f>VLOOKUP(6,$L$8:$O$14,4,FALSE)</f>
        <v>70</v>
      </c>
      <c r="L13" s="6">
        <f t="shared" si="0"/>
        <v>4</v>
      </c>
      <c r="M13" s="16" t="s">
        <v>32</v>
      </c>
      <c r="N13" s="58">
        <f>PrizesExpenses[[#Totals],[Geschat]]</f>
        <v>100</v>
      </c>
      <c r="O13" s="58">
        <f>PrizesExpenses[[#Totals],[Werkelijk]]</f>
        <v>100</v>
      </c>
      <c r="P13" s="59">
        <f t="shared" si="1"/>
        <v>100.0013</v>
      </c>
    </row>
    <row r="14" spans="2:16" ht="28.15" customHeight="1" x14ac:dyDescent="0.2">
      <c r="B14" s="4" t="str">
        <f>VLOOKUP(7,$L$8:$O$14,2,FALSE)</f>
        <v>Publiciteit</v>
      </c>
      <c r="C14" s="50">
        <f>VLOOKUP(7,$L$8:$O$14,3,FALSE)</f>
        <v>20</v>
      </c>
      <c r="D14" s="50">
        <f>VLOOKUP(7,$L$8:$O$14,4,FALSE)</f>
        <v>20</v>
      </c>
      <c r="L14" s="6">
        <f t="shared" si="0"/>
        <v>6</v>
      </c>
      <c r="M14" s="16" t="s">
        <v>35</v>
      </c>
      <c r="N14" s="58">
        <f>MiscellaneousExpenses[[#Totals],[Geschat]]</f>
        <v>70</v>
      </c>
      <c r="O14" s="58">
        <f>MiscellaneousExpenses[[#Totals],[Werkelijk]]</f>
        <v>70</v>
      </c>
      <c r="P14" s="59">
        <f t="shared" si="1"/>
        <v>70.001400000000004</v>
      </c>
    </row>
    <row r="15" spans="2:16" ht="28.15" customHeight="1" x14ac:dyDescent="0.2">
      <c r="B15" s="4" t="s">
        <v>8</v>
      </c>
      <c r="C15" s="50">
        <f>SUBTOTAL(109,Overzicht_van_uitgaven[Geschat])</f>
        <v>2090</v>
      </c>
      <c r="D15" s="50">
        <f>SUBTOTAL(109,Overzicht_van_uitgaven[Werkelijk])</f>
        <v>1640</v>
      </c>
    </row>
    <row r="16" spans="2:16" ht="28.15" customHeight="1" x14ac:dyDescent="0.2"/>
    <row r="17" spans="2:16" ht="28.15" customHeight="1" x14ac:dyDescent="0.2">
      <c r="B17" s="39" t="s">
        <v>66</v>
      </c>
      <c r="C17" s="37" t="s">
        <v>20</v>
      </c>
      <c r="D17" s="37" t="s">
        <v>21</v>
      </c>
      <c r="E17" s="37"/>
      <c r="F17" s="38" t="s">
        <v>63</v>
      </c>
      <c r="G17" s="37"/>
      <c r="L17" s="6" t="s">
        <v>72</v>
      </c>
      <c r="M17" s="16" t="s">
        <v>74</v>
      </c>
      <c r="N17" s="6" t="s">
        <v>20</v>
      </c>
      <c r="O17" s="6" t="s">
        <v>21</v>
      </c>
      <c r="P17" s="6" t="s">
        <v>75</v>
      </c>
    </row>
    <row r="18" spans="2:16" ht="28.15" customHeight="1" x14ac:dyDescent="0.2">
      <c r="B18" s="4" t="str">
        <f>VLOOKUP(1,$L$18:$O$21,2,FALSE)</f>
        <v>Exposanten/verkopers</v>
      </c>
      <c r="C18" s="50">
        <f>VLOOKUP(1,$L$18:$O$21,3,FALSE)</f>
        <v>2600</v>
      </c>
      <c r="D18" s="50">
        <f>VLOOKUP(1,$L$18:$O$21,4,FALSE)</f>
        <v>2300</v>
      </c>
      <c r="L18" s="6">
        <f>_xlfn.RANK.AVG(P18,$P$18:$P$21)</f>
        <v>2</v>
      </c>
      <c r="M18" s="17" t="s">
        <v>43</v>
      </c>
      <c r="N18" s="58">
        <f>Toegangsbewijzen[[#Totals],[Geschatte inkomsten]]</f>
        <v>900</v>
      </c>
      <c r="O18" s="58">
        <f>Toegangsbewijzen[[#Totals],[Werkelijke inkomsten]]</f>
        <v>820</v>
      </c>
      <c r="P18" s="59">
        <f t="shared" ref="P18:P21" si="2">O18+ROW(O18)/10000</f>
        <v>820.0018</v>
      </c>
    </row>
    <row r="19" spans="2:16" ht="28.15" customHeight="1" x14ac:dyDescent="0.2">
      <c r="B19" s="4" t="str">
        <f>VLOOKUP(2,$L$18:$O$21,2,FALSE)</f>
        <v>Toegangsbewijzen</v>
      </c>
      <c r="C19" s="50">
        <f>VLOOKUP(2,$L$18:$O$21,3,FALSE)</f>
        <v>900</v>
      </c>
      <c r="D19" s="50">
        <f>VLOOKUP(2,$L$18:$O$21,4,FALSE)</f>
        <v>820</v>
      </c>
      <c r="L19" s="6">
        <f t="shared" ref="L19:L21" si="3">_xlfn.RANK.AVG(P19,$P$18:$P$21)</f>
        <v>4</v>
      </c>
      <c r="M19" s="17" t="s">
        <v>48</v>
      </c>
      <c r="N19" s="58">
        <f>Advertenties_in_programmaboekje[[#Totals],[Geschatte inkomsten]]</f>
        <v>200</v>
      </c>
      <c r="O19" s="58">
        <f>Advertenties_in_programmaboekje[[#Totals],[Werkelijke inkomsten]]</f>
        <v>300</v>
      </c>
      <c r="P19" s="59">
        <f t="shared" si="2"/>
        <v>300.00189999999998</v>
      </c>
    </row>
    <row r="20" spans="2:16" ht="28.15" customHeight="1" x14ac:dyDescent="0.2">
      <c r="B20" s="4" t="s">
        <v>56</v>
      </c>
      <c r="C20" s="50">
        <f>VLOOKUP(3,$L$18:$O$21,3,FALSE)</f>
        <v>750</v>
      </c>
      <c r="D20" s="50">
        <f>VLOOKUP(3,$L$18:$O$21,4,FALSE)</f>
        <v>750</v>
      </c>
      <c r="L20" s="6">
        <f t="shared" si="3"/>
        <v>1</v>
      </c>
      <c r="M20" s="17" t="s">
        <v>52</v>
      </c>
      <c r="N20" s="58">
        <f>ExhibitorsAndVendors[[#Totals],[Geschatte inkomsten]]</f>
        <v>2600</v>
      </c>
      <c r="O20" s="58">
        <f>ExhibitorsAndVendors[[#Totals],[Werkelijke inkomsten]]</f>
        <v>2300</v>
      </c>
      <c r="P20" s="59">
        <f t="shared" si="2"/>
        <v>2300.002</v>
      </c>
    </row>
    <row r="21" spans="2:16" ht="28.15" customHeight="1" x14ac:dyDescent="0.2">
      <c r="B21" s="4" t="str">
        <f>VLOOKUP(4,$L$18:$O$21,2,FALSE)</f>
        <v>Advertenties in programmaboekje</v>
      </c>
      <c r="C21" s="50">
        <f>VLOOKUP(4,$L$18:$O$21,3,FALSE)</f>
        <v>200</v>
      </c>
      <c r="D21" s="50">
        <f>VLOOKUP(4,$L$18:$O$21,4,FALSE)</f>
        <v>300</v>
      </c>
      <c r="L21" s="6">
        <f t="shared" si="3"/>
        <v>3</v>
      </c>
      <c r="M21" s="17" t="s">
        <v>56</v>
      </c>
      <c r="N21" s="58">
        <f>Verkoop_van_artikelen[[#Totals],[Geschatte inkomsten]]</f>
        <v>750</v>
      </c>
      <c r="O21" s="58">
        <f>Verkoop_van_artikelen[[#Totals],[Werkelijke inkomsten]]</f>
        <v>750</v>
      </c>
      <c r="P21" s="59">
        <f t="shared" si="2"/>
        <v>750.00210000000004</v>
      </c>
    </row>
    <row r="22" spans="2:16" ht="28.15" customHeight="1" x14ac:dyDescent="0.2">
      <c r="B22" s="4" t="s">
        <v>8</v>
      </c>
      <c r="C22" s="50">
        <f>SUBTOTAL(109,Overzicht_van_inkomsten[Geschat])</f>
        <v>4450</v>
      </c>
      <c r="D22" s="50">
        <f>SUBTOTAL(109,Overzicht_van_inkomsten[Werkelijk])</f>
        <v>4170</v>
      </c>
    </row>
    <row r="23" spans="2:16" ht="28.15" customHeight="1" x14ac:dyDescent="0.2"/>
    <row r="24" spans="2:16" ht="28.15" customHeight="1" x14ac:dyDescent="0.2">
      <c r="B24" s="40" t="s">
        <v>67</v>
      </c>
      <c r="C24" s="37" t="s">
        <v>20</v>
      </c>
      <c r="D24" s="37" t="s">
        <v>21</v>
      </c>
      <c r="E24" s="37"/>
      <c r="F24" s="37"/>
      <c r="G24" s="37"/>
      <c r="M24" s="16"/>
    </row>
    <row r="25" spans="2:16" ht="28.15" customHeight="1" x14ac:dyDescent="0.2">
      <c r="B25" s="4" t="s">
        <v>42</v>
      </c>
      <c r="C25" s="50">
        <f>Overzicht_van_inkomsten[[#Totals],[Geschat]]</f>
        <v>4450</v>
      </c>
      <c r="D25" s="50">
        <f>Overzicht_van_inkomsten[[#Totals],[Werkelijk]]</f>
        <v>4170</v>
      </c>
    </row>
    <row r="26" spans="2:16" ht="28.15" customHeight="1" x14ac:dyDescent="0.2">
      <c r="B26" s="4" t="s">
        <v>2</v>
      </c>
      <c r="C26" s="50">
        <f>Overzicht_van_uitgaven[[#Totals],[Geschat]]</f>
        <v>2090</v>
      </c>
      <c r="D26" s="50">
        <f>Overzicht_van_uitgaven[[#Totals],[Werkelijk]]</f>
        <v>1640</v>
      </c>
    </row>
    <row r="27" spans="2:16" ht="28.15" customHeight="1" x14ac:dyDescent="0.2">
      <c r="B27" s="4" t="s">
        <v>68</v>
      </c>
      <c r="C27" s="50">
        <f>C25-C26</f>
        <v>2360</v>
      </c>
      <c r="D27" s="50">
        <f>D25-D26</f>
        <v>2530</v>
      </c>
    </row>
    <row r="28" spans="2:16" ht="28.15" customHeight="1" x14ac:dyDescent="0.2"/>
    <row r="29" spans="2:16" ht="28.15" customHeight="1" x14ac:dyDescent="0.2">
      <c r="B29" s="57" t="s">
        <v>69</v>
      </c>
      <c r="C29" s="57"/>
      <c r="D29" s="57"/>
      <c r="E29" s="57" t="s">
        <v>70</v>
      </c>
      <c r="F29" s="57"/>
      <c r="G29" s="57"/>
    </row>
    <row r="30" spans="2:16" ht="28.15" customHeight="1" x14ac:dyDescent="0.2"/>
    <row r="31" spans="2:16" ht="28.15" customHeight="1" x14ac:dyDescent="0.2"/>
    <row r="32" spans="2:16" ht="28.15" customHeight="1" x14ac:dyDescent="0.2"/>
    <row r="33" ht="28.15" customHeight="1" x14ac:dyDescent="0.2"/>
  </sheetData>
  <mergeCells count="2">
    <mergeCell ref="B29:D29"/>
    <mergeCell ref="E29:G29"/>
  </mergeCells>
  <phoneticPr fontId="2" type="noConversion"/>
  <dataValidations count="6">
    <dataValidation allowBlank="1" showInputMessage="1" showErrorMessage="1" prompt="Gebeurtenisnaam wordt automatisch bijgewerkt in de deze cel" sqref="B3" xr:uid="{00000000-0002-0000-0200-000000000000}"/>
    <dataValidation allowBlank="1" showInputMessage="1" showErrorMessage="1" prompt="Tabel en grafieken in dit werkblad worden automatisch bijgewerkt" sqref="A1" xr:uid="{00000000-0002-0000-0200-000001000000}"/>
    <dataValidation allowBlank="1" showInputMessage="1" showErrorMessage="1" prompt="Staafdiagram waarin de werkelijke uitgaven in aflopende volgorde worden samengevat" sqref="F8" xr:uid="{00000000-0002-0000-0200-000002000000}"/>
    <dataValidation allowBlank="1" showInputMessage="1" showErrorMessage="1" prompt="Staafdiagram waarin de werkelijke inkomsten in aflopende volgorde worden samengevat" sqref="F18" xr:uid="{00000000-0002-0000-0200-000003000000}"/>
    <dataValidation allowBlank="1" showInputMessage="1" showErrorMessage="1" prompt="Staafdiagram waarin de verhouding tussen kosten en winst (verlies) van geschatte versus werkelijke waarden wordt vergeleken" sqref="B30" xr:uid="{00000000-0002-0000-0200-000004000000}"/>
    <dataValidation allowBlank="1" showInputMessage="1" showErrorMessage="1" prompt="Staafdiagram waarin de geschatte en werkelijke kosten voor inkomsten en uitgaven worden vergeleken" sqref="F30" xr:uid="{00000000-0002-0000-0200-000005000000}"/>
  </dataValidations>
  <printOptions horizontalCentered="1"/>
  <pageMargins left="0.3" right="0.3" top="0.5" bottom="0.5" header="0.3" footer="0.3"/>
  <pageSetup paperSize="9" scale="70" orientation="portrait" r:id="rId1"/>
  <headerFooter alignWithMargins="0"/>
  <rowBreaks count="1" manualBreakCount="1">
    <brk id="29" max="7" man="1"/>
  </rowBreaks>
  <colBreaks count="1" manualBreakCount="1">
    <brk id="5" max="34" man="1"/>
  </colBreaks>
  <drawing r:id="rId2"/>
  <tableParts count="3">
    <tablePart r:id="rId3"/>
    <tablePart r:id="rId4"/>
    <tablePart r:id="rId5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ackground xmlns="71af3243-3dd4-4a8d-8c0d-dd76da1f02a5">false</Background>
    <Status xmlns="71af3243-3dd4-4a8d-8c0d-dd76da1f02a5">Not started</Status>
    <_ip_UnifiedCompliancePolicyUIAction xmlns="http://schemas.microsoft.com/sharepoint/v3" xsi:nil="true"/>
    <Image xmlns="71af3243-3dd4-4a8d-8c0d-dd76da1f02a5">
      <Url xsi:nil="true"/>
      <Description xsi:nil="true"/>
    </Image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1.xml><?xml version="1.0" encoding="utf-8"?>
<ds:datastoreItem xmlns:ds="http://schemas.openxmlformats.org/officeDocument/2006/customXml" ds:itemID="{6C9C695F-1FEB-4326-ADC5-6E0B2C88C046}">
  <ds:schemaRefs>
    <ds:schemaRef ds:uri="http://schemas.microsoft.com/office/2006/metadata/properties"/>
    <ds:schemaRef ds:uri="http://schemas.microsoft.com/office/infopath/2007/PartnerControls"/>
    <ds:schemaRef ds:uri="71af3243-3dd4-4a8d-8c0d-dd76da1f02a5"/>
    <ds:schemaRef ds:uri="http://schemas.microsoft.com/sharepoint/v3"/>
    <ds:schemaRef ds:uri="230e9df3-be65-4c73-a93b-d1236ebd677e"/>
  </ds:schemaRefs>
</ds:datastoreItem>
</file>

<file path=customXml/itemProps23.xml><?xml version="1.0" encoding="utf-8"?>
<ds:datastoreItem xmlns:ds="http://schemas.openxmlformats.org/officeDocument/2006/customXml" ds:itemID="{622214ED-5C89-4C3C-AA48-C57EC1A03F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2.xml><?xml version="1.0" encoding="utf-8"?>
<ds:datastoreItem xmlns:ds="http://schemas.openxmlformats.org/officeDocument/2006/customXml" ds:itemID="{2C84A034-45D1-4C16-9CBA-FF2650166108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TM16410203</ap:Template>
  <ap:DocSecurity>0</ap:DocSecurity>
  <ap:ScaleCrop>false</ap:ScaleCrop>
  <ap:HeadingPairs>
    <vt:vector baseType="variant" size="4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ap:HeadingPairs>
  <ap:TitlesOfParts>
    <vt:vector baseType="lpstr" size="4">
      <vt:lpstr>Uitgaven</vt:lpstr>
      <vt:lpstr>Inkomsten</vt:lpstr>
      <vt:lpstr>Overzicht winst- en verlies</vt:lpstr>
      <vt:lpstr>'Overzicht winst- en verlies'!Afdrukbereik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2022-12-01T06:05:32Z</dcterms:created>
  <dcterms:modified xsi:type="dcterms:W3CDTF">2023-09-12T05:56:44Z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