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20" windowHeight="16110" xr2:uid="{00000000-000D-0000-FFFF-FFFF00000000}"/>
  </bookViews>
  <sheets>
    <sheet name="Pradžia" sheetId="4" r:id="rId1"/>
    <sheet name="PROJEKTO PARAMETRAI" sheetId="1" r:id="rId2"/>
    <sheet name="PROJEKTO INFORMACIJA" sheetId="2" r:id="rId3"/>
    <sheet name="PROJEKTO SUMOS" sheetId="3" r:id="rId4"/>
  </sheets>
  <definedNames>
    <definedName name="_xlnm.Print_Titles" localSheetId="2">'PROJEKTO INFORMACIJA'!$4:$4</definedName>
    <definedName name="_xlnm.Print_Titles" localSheetId="3">'PROJEKTO SUMOS'!$5:$5</definedName>
    <definedName name="ProjektoTipas">Parametrai[PROJEKTO TIPAS]</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0" i="2" l="1"/>
  <c r="I10" i="2"/>
  <c r="B3" i="1"/>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J10" i="2" l="1"/>
  <c r="K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<sst xmlns="http://schemas.openxmlformats.org/spreadsheetml/2006/main" count="107" uniqueCount="81">
  <si>
    <t>APIE ŠĮ ŠABLONĄ</t>
  </si>
  <si>
    <t xml:space="preserve">Pastaba.  </t>
  </si>
  <si>
    <t>Papildomos instrukcijos pateikiamos kiekvieno darbalapio A stulpelyje. Šis tekstas buvo specialiai paslėptas. Norėdami pašalinti tekstą, pasirinkite A stulpelį, tada pasirinkite Naikinti. Norėdami nebeslėpti teksto, pasirinkite A stulpelį, tada pakeiskite šrifto spalvą.</t>
  </si>
  <si>
    <t>Norėdami sužinoti daugiau apie darbalapio lenteles, lentelėje paspauskite SHIFT, tada – F10, pasirinkite parinktį LENTELĖ, tada pasirinkite ALTERNATYVUS TEKSTAS. Jei naudojate „PivotTable“ bendrųjų projekto taškų darbalapyje, laikydami nuspaudę klavišą SHIFT ir F10 lentelėje, pasirinkite PIVOTTABLE PARINKTYS, tada pasirinkite skirtuką ALTERNATYVUSIS TEKSTAS.</t>
  </si>
  <si>
    <t>Šio darbalapio pavadinimas yra langelyje dešinėje.</t>
  </si>
  <si>
    <t>Konfidencialumo pranešimas langelyje dešinėje.</t>
  </si>
  <si>
    <t>Patarimas pateikiamas langelyje dešinėje.</t>
  </si>
  <si>
    <t>Įveskite informaciją lentelėje Parametrai pradėdami nuo langelio dešinėje. Kitas nurodymas yra A12 langelyje.</t>
  </si>
  <si>
    <t>Įmonės pavadinimas</t>
  </si>
  <si>
    <t>Advokatų kontorų projekto planavimas</t>
  </si>
  <si>
    <t>Paryškintuose langeliuose esančios reikšmės apskaičiuojamos už jus. Jums nereikia nieko į juos įvesti.</t>
  </si>
  <si>
    <t>PROJEKTO TIPAS</t>
  </si>
  <si>
    <t>Verslo įtraukimas</t>
  </si>
  <si>
    <t>Verslo įsigijimas</t>
  </si>
  <si>
    <t>Produkto atsakomybės gynyba</t>
  </si>
  <si>
    <t>Patentų pateikimas</t>
  </si>
  <si>
    <t>Darbuotojo byla</t>
  </si>
  <si>
    <t>Bankrotas</t>
  </si>
  <si>
    <t>Mišrūs mokesčiai</t>
  </si>
  <si>
    <t>SUPLANUOTOS IŠLAIDOS</t>
  </si>
  <si>
    <t>FAKTINĖS IŠLAIDOS</t>
  </si>
  <si>
    <t>SUPLANUOTOS VALANDOS</t>
  </si>
  <si>
    <t>FAKTINĖS VALANDOS</t>
  </si>
  <si>
    <t>BENDRASIS PARTNERIS</t>
  </si>
  <si>
    <t>VERSLO TEISININKAS</t>
  </si>
  <si>
    <t>ĮMONĖ</t>
  </si>
  <si>
    <t>GYNYBOS ŠALIS TEISINIAME PROCESE</t>
  </si>
  <si>
    <t>INTELEKTINĖS NUOSAVYBĖS TEISININKAS</t>
  </si>
  <si>
    <t>INTELEKTINĖ NUOSAVYBĖ.</t>
  </si>
  <si>
    <t>BANKROTO TEISININKAS</t>
  </si>
  <si>
    <t>BANKROTAS</t>
  </si>
  <si>
    <t>ADMINISTRACIJOS DARBUOTOJAI</t>
  </si>
  <si>
    <t>BENDRA SUMA</t>
  </si>
  <si>
    <t>Darbalapio pavadinimas yra langelyje dešinėje, o informaciniai patarimai pateikti langelyje Y2.</t>
  </si>
  <si>
    <t>PROJEKTO PAVADINIMAS</t>
  </si>
  <si>
    <t>1 projektas</t>
  </si>
  <si>
    <t>2 projektas</t>
  </si>
  <si>
    <t>3 projektas</t>
  </si>
  <si>
    <t>4 projektas</t>
  </si>
  <si>
    <t>5 projektas</t>
  </si>
  <si>
    <t>NUMATOMA PRADŽIA</t>
  </si>
  <si>
    <t>NUMATOMA PABAIGA</t>
  </si>
  <si>
    <t>FAKTINĖ PRADŽIA</t>
  </si>
  <si>
    <t>FAKTINĖ PABAIGA</t>
  </si>
  <si>
    <t>NUMATYTOS DARBO VALANDOS</t>
  </si>
  <si>
    <t>FAKTINĖS DARBO VALANDOS</t>
  </si>
  <si>
    <t>NUMATOMA TRUKMĖ</t>
  </si>
  <si>
    <t>FAKTINĖ TRUKMĖ</t>
  </si>
  <si>
    <t>2 BENDRASIS PARTNERIS</t>
  </si>
  <si>
    <t>2 VERSLO TEISININKAS</t>
  </si>
  <si>
    <t>2 GYNYBOS ŠALIS TEISINIAME PROCESE</t>
  </si>
  <si>
    <t>2 INTELEKTINĖS NUOSAVYBĖS TEISININKAS</t>
  </si>
  <si>
    <t>2 BANKROTO TEISININKAS</t>
  </si>
  <si>
    <t>2 ADMINISTRACIJOS DARBUOTOJAS</t>
  </si>
  <si>
    <t>„PivotTable“ nuo langelio dešinėje atnaujinama automatiškai.</t>
  </si>
  <si>
    <t>Bendroji suma</t>
  </si>
  <si>
    <t>NUMATOMOS IŠLAIDOS</t>
  </si>
  <si>
    <t xml:space="preserve">BENDRASIS PARTNERIS </t>
  </si>
  <si>
    <t xml:space="preserve">ĮMONĖ </t>
  </si>
  <si>
    <t xml:space="preserve">GYNYBOS ŠALIS TEISINIAME PROCESE </t>
  </si>
  <si>
    <t xml:space="preserve">INTELEKTINĖ NUOSAVYBĖ </t>
  </si>
  <si>
    <t xml:space="preserve">BANKROTAS </t>
  </si>
  <si>
    <t xml:space="preserve">ADMINISTRACIJOS DARBUOTOJAI </t>
  </si>
  <si>
    <t>FAKTINĖS</t>
  </si>
  <si>
    <t xml:space="preserve">BENDRASIS PARTNERIS  </t>
  </si>
  <si>
    <t xml:space="preserve">GYNYBOS ŠALIS TEISINIAME PROCESE  </t>
  </si>
  <si>
    <t xml:space="preserve">ADMINISTRACIJOS DARBUOTOJAI  </t>
  </si>
  <si>
    <t>INFORMACIJA: 
Ši „PivotTable“ nebus automatiškai atnaujinta.  Norėdami atnaujinti, pasirinkite ją (bet kurį langelį iš „PivotTable“), juostelės skirtuke PIVOTTABLE ĮRANKIAI | ANALIZUOTI pasirinkite Atnaujinti.  Arba paspauskite „SHIFT“ + F10, pasirinkdami „PivotTable“, tada pasirinkite Atnaujinti.</t>
  </si>
  <si>
    <t>INTELEKTINĖ NUOSAVYBĖ</t>
  </si>
  <si>
    <t>SUMA</t>
  </si>
  <si>
    <t>Įveskite informaciją apie projekto parametrai darbalapį, kad atnaujintumėte stulpelių diagramas ir projekto informacija darbalapį. Projekto sumos darbalapyje automatiškai atnaujinama projekto „PivotTable“.</t>
  </si>
  <si>
    <t>Naudokite šią darbaknygę, kad galėtumėte sekti projekto parametrai, projekto informacija ir projekto sumos Advokatų kontorų projekto planavimas įmonėms. įmonėms.</t>
  </si>
  <si>
    <t>Įveskite įmonės pavadinimas darbalapyje Projekto parametrai ir jis bus automatiškai atnaujintas kituose darbalapiuose.</t>
  </si>
  <si>
    <t>Kurkite projekto parametrai šiame darbalapyje. Langelyje dešinėje įveskite įmonės pavadinimas. Naudingos instrukcijos pateiktos šio stulpelio langeliuose.</t>
  </si>
  <si>
    <t>Įveskite mišrius mokesčiai langeliuose dešinėje nuo C12 iki H12. Kitas nurodymas yra A14 langelyje.</t>
  </si>
  <si>
    <t>Stulpelinė diagrama rodanti palyginimą tarp suplanuotos ir faktinės išlaidos langelyje dešinėje, ir stulpelinė diagrama rodanti palyginimą tarp suplanuotos ir faktinės valandos F14 langelyje.</t>
  </si>
  <si>
    <t>Kurkite projekto informacija šiame darbalapyje. Įmonės pavadinimas automatiškai atnaujinamas langelyje dešinėje. Naudingos instrukcijos pateiktos šio stulpelio langeliuose. Paspauskite rodyklę žemyn, kad pradėtumėte.</t>
  </si>
  <si>
    <t>Įveskite informaciją lentelėje Informacija nuo langelio dešinėje. Projekto tipas informacija lentelėje dešinėje yra automatiškai atnaujinami pagal lentelė Parametrai, esančią projekto parametrai darbalapyje.</t>
  </si>
  <si>
    <t>INFORMACIJA:
Norėdami įtraukti eilutę, pasirinkite apatiniame dešiniajame kampe esantį langelį (ne sumos eilutę) ir paspauskite Tab arba paspauskite SHIFT, tada F10 ten, kur norite įterpti eilutę, tada spustelėkite Įterpti | Lentelės eilutės Viršuje/apačioje.
Įsitikinkite, kad panaikintos visos nenaudojamas eilutės, nes PROJEKTO SUMOS PivotTable naudos visus lentelės langelius, nes kitu atveju bus pateikti klaidingi rezultatai.</t>
  </si>
  <si>
    <t>Numatomos išlaidos yra langelyje C4, Faktinės sumos žymė langelyje I4 ir informacijos patarimas P4 langelyje.</t>
  </si>
  <si>
    <t>Gaukite projekto sumos šiame darbalapyje. Įmonės pavadinimas automatiškai atnaujinamas langelyje dešinėje pusėje. Naudingos instrukcijos pateiktos šio stulpelio langeliuose. Paspauskite rodyklę žemyn, kad pradėtumėte.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</si>
</sst>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_);_(* \(#,##0\);_(* &quot;-&quot;_);_(@_)"/>
    <numFmt numFmtId="165" formatCode="_(* #,##0.00_);_(* \(#,##0.00\);_(* &quot;-&quot;??_);_(@_)"/>
    <numFmt numFmtId="166" formatCode="_([$EUR]\ * #,##0.00_);_([$EUR]\ * \(#,##0.00\);_([$EUR]\ * &quot;-&quot;??_);_(@_)"/>
    <numFmt numFmtId="167" formatCode="_([$EUR]\ * #,##0_);_([$EUR]\ * \(#,##0\);_([$EUR]\ * &quot;-&quot;_);_(@_)"/>
    <numFmt numFmtId="169" formatCode="#,##0\ [$EUR]"/>
    <numFmt numFmtId="170" formatCode="#,##0.00\ [$EUR]"/>
  </numFmts>
  <fonts count="30" x14ac:knownFonts="1">
    <font>
      <sz val="10"/>
      <color theme="1" tint="0.24994659260841701"/>
      <name val="Cambria"/>
      <family val="2"/>
      <scheme val="minor"/>
    </font>
    <font>
      <sz val="11"/>
      <color theme="1"/>
      <name val="Cambria"/>
      <family val="2"/>
      <scheme val="minor"/>
    </font>
    <font>
      <sz val="11"/>
      <color theme="1"/>
      <name val="Cambria"/>
      <family val="1"/>
      <scheme val="minor"/>
    </font>
    <font>
      <sz val="20"/>
      <color theme="1" tint="0.24994659260841701"/>
      <name val="Tahoma"/>
      <family val="2"/>
      <scheme val="major"/>
    </font>
    <font>
      <sz val="16"/>
      <color theme="1" tint="0.34998626667073579"/>
      <name val="Tahoma"/>
      <family val="2"/>
      <scheme val="major"/>
    </font>
    <font>
      <sz val="12"/>
      <color theme="1" tint="0.24994659260841701"/>
      <name val="Tahoma"/>
      <family val="2"/>
      <scheme val="major"/>
    </font>
    <font>
      <sz val="11"/>
      <color theme="1"/>
      <name val="Cambria"/>
      <family val="1"/>
      <scheme val="minor"/>
    </font>
    <font>
      <i/>
      <sz val="10"/>
      <color theme="1"/>
      <name val="Tahoma"/>
      <family val="2"/>
      <scheme val="major"/>
    </font>
    <font>
      <sz val="11"/>
      <color theme="0"/>
      <name val="Cambria"/>
      <family val="1"/>
      <scheme val="minor"/>
    </font>
    <font>
      <b/>
      <sz val="11"/>
      <color theme="3"/>
      <name val="Cambria"/>
      <family val="2"/>
      <scheme val="minor"/>
    </font>
    <font>
      <sz val="11"/>
      <name val="Cambria"/>
      <family val="1"/>
      <scheme val="minor"/>
    </font>
    <font>
      <b/>
      <sz val="16"/>
      <color theme="0"/>
      <name val="Tahoma"/>
      <family val="2"/>
      <scheme val="major"/>
    </font>
    <font>
      <sz val="11"/>
      <color theme="1" tint="0.24994659260841701"/>
      <name val="Calibri"/>
      <family val="2"/>
    </font>
    <font>
      <b/>
      <sz val="11"/>
      <color theme="1" tint="0.24994659260841701"/>
      <name val="Calibri"/>
      <family val="2"/>
    </font>
    <font>
      <sz val="11"/>
      <color theme="0"/>
      <name val="Calibri"/>
      <family val="2"/>
    </font>
    <font>
      <b/>
      <sz val="11"/>
      <color theme="3" tint="-0.249977111117893"/>
      <name val="Cambria"/>
      <family val="2"/>
      <scheme val="minor"/>
    </font>
    <font>
      <sz val="10"/>
      <color theme="1" tint="0.24994659260841701"/>
      <name val="Cambria"/>
      <family val="2"/>
      <scheme val="minor"/>
    </font>
    <font>
      <sz val="18"/>
      <color theme="3"/>
      <name val="Tahoma"/>
      <family val="2"/>
      <scheme val="maj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
      <sz val="11"/>
      <color theme="0"/>
      <name val="Cambria"/>
      <family val="2"/>
      <scheme val="minor"/>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3" fillId="0" borderId="1" applyNumberFormat="0" applyFill="0" applyAlignment="0" applyProtection="0"/>
    <xf numFmtId="0" fontId="4" fillId="0" borderId="0" applyNumberFormat="0" applyFill="0" applyAlignment="0" applyProtection="0"/>
    <xf numFmtId="0" fontId="5" fillId="0" borderId="0" applyNumberFormat="0" applyFill="0" applyAlignment="0" applyProtection="0"/>
    <xf numFmtId="0" fontId="9" fillId="0" borderId="0" applyNumberFormat="0" applyFill="0" applyBorder="0" applyAlignment="0" applyProtection="0"/>
    <xf numFmtId="165" fontId="16" fillId="0" borderId="0" applyFont="0" applyFill="0" applyBorder="0" applyAlignment="0" applyProtection="0"/>
    <xf numFmtId="164" fontId="16" fillId="0" borderId="0" applyFont="0" applyFill="0" applyBorder="0" applyAlignment="0" applyProtection="0"/>
    <xf numFmtId="166"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17" fillId="0" borderId="0" applyNumberFormat="0" applyFill="0" applyBorder="0" applyAlignment="0" applyProtection="0"/>
    <xf numFmtId="0" fontId="18" fillId="6"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5" applyNumberFormat="0" applyAlignment="0" applyProtection="0"/>
    <xf numFmtId="0" fontId="22" fillId="10" borderId="6" applyNumberFormat="0" applyAlignment="0" applyProtection="0"/>
    <xf numFmtId="0" fontId="23" fillId="10" borderId="5" applyNumberFormat="0" applyAlignment="0" applyProtection="0"/>
    <xf numFmtId="0" fontId="24" fillId="0" borderId="7" applyNumberFormat="0" applyFill="0" applyAlignment="0" applyProtection="0"/>
    <xf numFmtId="0" fontId="25" fillId="11" borderId="8" applyNumberFormat="0" applyAlignment="0" applyProtection="0"/>
    <xf numFmtId="0" fontId="26" fillId="0" borderId="0" applyNumberFormat="0" applyFill="0" applyBorder="0" applyAlignment="0" applyProtection="0"/>
    <xf numFmtId="0" fontId="16" fillId="12" borderId="9" applyNumberFormat="0" applyFont="0" applyAlignment="0" applyProtection="0"/>
    <xf numFmtId="0" fontId="27" fillId="0" borderId="0" applyNumberFormat="0" applyFill="0" applyBorder="0" applyAlignment="0" applyProtection="0"/>
    <xf numFmtId="0" fontId="28" fillId="0" borderId="10" applyNumberFormat="0" applyFill="0" applyAlignment="0" applyProtection="0"/>
    <xf numFmtId="0" fontId="2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4">
    <xf numFmtId="0" fontId="0" fillId="0" borderId="0" xfId="0"/>
    <xf numFmtId="0" fontId="2" fillId="0" borderId="0" xfId="0" applyFont="1"/>
    <xf numFmtId="0" fontId="3" fillId="0" borderId="1" xfId="1"/>
    <xf numFmtId="0" fontId="4" fillId="0" borderId="0" xfId="2"/>
    <xf numFmtId="0" fontId="5" fillId="0" borderId="0" xfId="3"/>
    <xf numFmtId="0" fontId="6" fillId="0" borderId="0" xfId="0" applyFont="1"/>
    <xf numFmtId="9" fontId="6" fillId="0" borderId="0" xfId="0" applyNumberFormat="1" applyFont="1"/>
    <xf numFmtId="9" fontId="6" fillId="2" borderId="0" xfId="0" applyNumberFormat="1" applyFont="1" applyFill="1"/>
    <xf numFmtId="0" fontId="7" fillId="0" borderId="0" xfId="0" applyFont="1"/>
    <xf numFmtId="14" fontId="0" fillId="0" borderId="0" xfId="0" applyNumberFormat="1"/>
    <xf numFmtId="0" fontId="0" fillId="0" borderId="0" xfId="0" applyAlignment="1">
      <alignment wrapText="1"/>
    </xf>
    <xf numFmtId="0" fontId="2" fillId="0" borderId="0" xfId="0" applyFont="1" applyAlignment="1">
      <alignment wrapText="1"/>
    </xf>
    <xf numFmtId="0" fontId="8" fillId="0" borderId="0" xfId="0" applyFont="1"/>
    <xf numFmtId="4" fontId="8" fillId="0" borderId="0" xfId="0" applyNumberFormat="1" applyFont="1"/>
    <xf numFmtId="0" fontId="10" fillId="0" borderId="0" xfId="0" applyFont="1"/>
    <xf numFmtId="0" fontId="0" fillId="4" borderId="0" xfId="0" applyFill="1" applyAlignment="1">
      <alignment wrapText="1"/>
    </xf>
    <xf numFmtId="0" fontId="5" fillId="0" borderId="0" xfId="3" applyAlignment="1">
      <alignment vertical="top"/>
    </xf>
    <xf numFmtId="0" fontId="2" fillId="0" borderId="0" xfId="0" applyFont="1" applyAlignment="1">
      <alignment vertical="top"/>
    </xf>
    <xf numFmtId="0" fontId="11" fillId="5" borderId="0" xfId="2" applyFont="1" applyFill="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xf>
    <xf numFmtId="0" fontId="0" fillId="0" borderId="0" xfId="0" pivotButton="1"/>
    <xf numFmtId="169" fontId="0" fillId="0" borderId="0" xfId="0" applyNumberFormat="1"/>
    <xf numFmtId="169" fontId="6" fillId="0" borderId="0" xfId="0" applyNumberFormat="1" applyFont="1"/>
    <xf numFmtId="170" fontId="8" fillId="0" borderId="0" xfId="0" applyNumberFormat="1" applyFont="1"/>
    <xf numFmtId="170" fontId="0" fillId="0" borderId="0" xfId="0" applyNumberFormat="1"/>
    <xf numFmtId="0" fontId="8" fillId="0" borderId="0" xfId="0" applyFont="1" applyAlignment="1">
      <alignment horizontal="center" wrapText="1"/>
    </xf>
    <xf numFmtId="0" fontId="8" fillId="0" borderId="0" xfId="0" applyFont="1" applyAlignment="1">
      <alignment horizontal="center"/>
    </xf>
    <xf numFmtId="0" fontId="15" fillId="3" borderId="2" xfId="4" applyFont="1" applyFill="1" applyBorder="1" applyAlignment="1">
      <alignment horizontal="center"/>
    </xf>
    <xf numFmtId="0" fontId="15" fillId="3" borderId="3" xfId="4" applyFont="1" applyFill="1" applyBorder="1" applyAlignment="1">
      <alignment horizontal="center"/>
    </xf>
    <xf numFmtId="0" fontId="15" fillId="3" borderId="4" xfId="4" applyFont="1" applyFill="1" applyBorder="1" applyAlignment="1">
      <alignment horizontal="center"/>
    </xf>
    <xf numFmtId="0" fontId="8" fillId="0" borderId="0" xfId="0" applyFont="1" applyAlignment="1">
      <alignment horizontal="center" vertical="top" wrapText="1"/>
    </xf>
    <xf numFmtId="0" fontId="8" fillId="0" borderId="0" xfId="0" applyFont="1" applyAlignment="1">
      <alignment horizontal="center" vertical="top"/>
    </xf>
  </cellXfs>
  <cellStyles count="47">
    <cellStyle name="1 antraštė" xfId="1" builtinId="16" customBuiltin="1"/>
    <cellStyle name="2 antraštė" xfId="2" builtinId="17" customBuiltin="1"/>
    <cellStyle name="20% – paryškinimas 1" xfId="24" builtinId="30" customBuiltin="1"/>
    <cellStyle name="20% – paryškinimas 2" xfId="28" builtinId="34" customBuiltin="1"/>
    <cellStyle name="20% – paryškinimas 3" xfId="32" builtinId="38" customBuiltin="1"/>
    <cellStyle name="20% – paryškinimas 4" xfId="36" builtinId="42" customBuiltin="1"/>
    <cellStyle name="20% – paryškinimas 5" xfId="40" builtinId="46" customBuiltin="1"/>
    <cellStyle name="20% – paryškinimas 6" xfId="44" builtinId="50" customBuiltin="1"/>
    <cellStyle name="3 antraštė" xfId="3" builtinId="18" customBuiltin="1"/>
    <cellStyle name="4 antraštė" xfId="4" builtinId="19" customBuiltin="1"/>
    <cellStyle name="40% – paryškinimas 1" xfId="25" builtinId="31" customBuiltin="1"/>
    <cellStyle name="40% – paryškinimas 2" xfId="29" builtinId="35" customBuiltin="1"/>
    <cellStyle name="40% – paryškinimas 3" xfId="33" builtinId="39" customBuiltin="1"/>
    <cellStyle name="40% – paryškinimas 4" xfId="37" builtinId="43" customBuiltin="1"/>
    <cellStyle name="40% – paryškinimas 5" xfId="41" builtinId="47" customBuiltin="1"/>
    <cellStyle name="40% – paryškinimas 6" xfId="45" builtinId="51" customBuiltin="1"/>
    <cellStyle name="60% – paryškinimas 1" xfId="26" builtinId="32" customBuiltin="1"/>
    <cellStyle name="60% – paryškinimas 2" xfId="30" builtinId="36" customBuiltin="1"/>
    <cellStyle name="60% – paryškinimas 3" xfId="34" builtinId="40" customBuiltin="1"/>
    <cellStyle name="60% – paryškinimas 4" xfId="38" builtinId="44" customBuiltin="1"/>
    <cellStyle name="60% – paryškinimas 5" xfId="42" builtinId="48" customBuiltin="1"/>
    <cellStyle name="60% – paryškinimas 6" xfId="46" builtinId="52" customBuiltin="1"/>
    <cellStyle name="Aiškinamasis tekstas" xfId="21" builtinId="53" customBuiltin="1"/>
    <cellStyle name="Blogas" xfId="12" builtinId="27" customBuiltin="1"/>
    <cellStyle name="Geras" xfId="11" builtinId="26" customBuiltin="1"/>
    <cellStyle name="Įprastas" xfId="0" builtinId="0" customBuiltin="1"/>
    <cellStyle name="Įspėjimo tekstas" xfId="19" builtinId="11" customBuiltin="1"/>
    <cellStyle name="Išvestis" xfId="15" builtinId="21" customBuiltin="1"/>
    <cellStyle name="Įvestis" xfId="14" builtinId="20" customBuiltin="1"/>
    <cellStyle name="Kablelis" xfId="5" builtinId="3" customBuiltin="1"/>
    <cellStyle name="Kablelis [0]" xfId="6" builtinId="6" customBuiltin="1"/>
    <cellStyle name="Neutralus" xfId="13" builtinId="28" customBuiltin="1"/>
    <cellStyle name="Paryškinimas 1" xfId="23" builtinId="29" customBuiltin="1"/>
    <cellStyle name="Paryškinimas 2" xfId="27" builtinId="33" customBuiltin="1"/>
    <cellStyle name="Paryškinimas 3" xfId="31" builtinId="37" customBuiltin="1"/>
    <cellStyle name="Paryškinimas 4" xfId="35" builtinId="41" customBuiltin="1"/>
    <cellStyle name="Paryškinimas 5" xfId="39" builtinId="45" customBuiltin="1"/>
    <cellStyle name="Paryškinimas 6" xfId="43" builtinId="49" customBuiltin="1"/>
    <cellStyle name="Pastaba" xfId="20" builtinId="10" customBuiltin="1"/>
    <cellStyle name="Pavadinimas" xfId="10" builtinId="15" customBuiltin="1"/>
    <cellStyle name="Procentai" xfId="9" builtinId="5" customBuiltin="1"/>
    <cellStyle name="Skaičiavimas" xfId="16" builtinId="22" customBuiltin="1"/>
    <cellStyle name="Suma" xfId="22" builtinId="25" customBuiltin="1"/>
    <cellStyle name="Susietas langelis" xfId="17" builtinId="24" customBuiltin="1"/>
    <cellStyle name="Tikrinimo langelis" xfId="18" builtinId="23" customBuiltin="1"/>
    <cellStyle name="Valiuta" xfId="7" builtinId="4" customBuiltin="1"/>
    <cellStyle name="Valiuta [0]" xfId="8" builtinId="7" customBuiltin="1"/>
  </cellStyles>
  <dxfs count="234">
    <dxf>
      <alignment wrapText="1"/>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0" formatCode="#,##0.00\ [$EUR]"/>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numFmt numFmtId="172" formatCode="[$EUR]\ #,##0.00"/>
    </dxf>
    <dxf>
      <alignment wrapText="1"/>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69" formatCode="#,##0\ [$EUR]"/>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0" formatCode="General"/>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0" formatCode="General"/>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9" formatCode="yyyy/mm/dd"/>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9" formatCode="yyyy/mm/dd"/>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9" formatCode="yyyy/mm/dd"/>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numFmt numFmtId="19" formatCode="yyyy/mm/dd"/>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1"/>
        <color theme="1"/>
        <name val="Cambria"/>
        <family val="1"/>
        <scheme val="minor"/>
      </font>
    </dxf>
    <dxf>
      <font>
        <strike val="0"/>
        <outline val="0"/>
        <shadow val="0"/>
        <u val="none"/>
        <vertAlign val="baseline"/>
        <sz val="10"/>
        <color theme="1" tint="0.24994659260841701"/>
        <name val="Cambria"/>
        <family val="2"/>
        <scheme val="minor"/>
      </font>
    </dxf>
    <dxf>
      <font>
        <strike val="0"/>
        <outline val="0"/>
        <shadow val="0"/>
        <u val="none"/>
        <vertAlign val="baseline"/>
        <sz val="10"/>
        <color theme="1" tint="0.24994659260841701"/>
        <name val="Cambria"/>
        <family val="2"/>
        <scheme val="minor"/>
      </font>
    </dxf>
    <dxf>
      <font>
        <b val="0"/>
        <i val="0"/>
        <strike val="0"/>
        <condense val="0"/>
        <extend val="0"/>
        <outline val="0"/>
        <shadow val="0"/>
        <u val="none"/>
        <vertAlign val="baseline"/>
        <sz val="10"/>
        <color theme="1"/>
        <name val="Tahoma"/>
        <scheme val="major"/>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Cambria"/>
        <family val="1"/>
        <charset val="186"/>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scheme val="minor"/>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Cambria"/>
        <family val="1"/>
        <charset val="186"/>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charset val="186"/>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charset val="186"/>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charset val="186"/>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charset val="186"/>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charset val="186"/>
        <scheme val="minor"/>
      </font>
    </dxf>
    <dxf>
      <font>
        <b val="0"/>
        <i val="0"/>
        <strike val="0"/>
        <condense val="0"/>
        <extend val="0"/>
        <outline val="0"/>
        <shadow val="0"/>
        <u val="none"/>
        <vertAlign val="baseline"/>
        <sz val="11"/>
        <color theme="1"/>
        <name val="Cambria"/>
        <scheme val="minor"/>
      </font>
      <numFmt numFmtId="13" formatCode="0%"/>
    </dxf>
    <dxf>
      <font>
        <b val="0"/>
        <i val="0"/>
        <strike val="0"/>
        <condense val="0"/>
        <extend val="0"/>
        <outline val="0"/>
        <shadow val="0"/>
        <u val="none"/>
        <vertAlign val="baseline"/>
        <sz val="11"/>
        <color theme="1"/>
        <name val="Cambria"/>
        <family val="1"/>
        <charset val="186"/>
        <scheme val="minor"/>
      </font>
    </dxf>
    <dxf>
      <font>
        <b val="0"/>
        <i val="0"/>
        <strike val="0"/>
        <condense val="0"/>
        <extend val="0"/>
        <outline val="0"/>
        <shadow val="0"/>
        <u val="none"/>
        <vertAlign val="baseline"/>
        <sz val="11"/>
        <color theme="1"/>
        <name val="Cambria"/>
        <scheme val="minor"/>
      </font>
    </dxf>
    <dxf>
      <font>
        <b val="0"/>
        <i val="0"/>
        <strike val="0"/>
        <condense val="0"/>
        <extend val="0"/>
        <outline val="0"/>
        <shadow val="0"/>
        <u val="none"/>
        <vertAlign val="baseline"/>
        <sz val="11"/>
        <color theme="1"/>
        <name val="Cambria"/>
        <scheme val="minor"/>
      </font>
    </dxf>
    <dxf>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SUPLANUOTOS ir FAKTINĖS IŠLAIDOS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lt-LT"/>
        </a:p>
      </c:txPr>
    </c:title>
    <c:autoTitleDeleted val="0"/>
    <c:plotArea>
      <c:layout/>
      <c:barChart>
        <c:barDir val="col"/>
        <c:grouping val="clustered"/>
        <c:varyColors val="0"/>
        <c:ser>
          <c:idx val="0"/>
          <c:order val="0"/>
          <c:tx>
            <c:strRef>
              <c:f>'PROJEKTO PARAMETRAI'!$B$16</c:f>
              <c:strCache>
                <c:ptCount val="1"/>
                <c:pt idx="0">
                  <c:v>SUPLANUOTOS IŠLAIDOS</c:v>
                </c:pt>
              </c:strCache>
            </c:strRef>
          </c:tx>
          <c:spPr>
            <a:solidFill>
              <a:schemeClr val="accent1"/>
            </a:solidFill>
            <a:ln>
              <a:noFill/>
            </a:ln>
            <a:effectLst/>
          </c:spPr>
          <c:invertIfNegative val="0"/>
          <c:cat>
            <c:strRef>
              <c:f>'PROJEKTO PARAMETRAI'!$C$15:$H$15</c:f>
              <c:strCache>
                <c:ptCount val="6"/>
                <c:pt idx="0">
                  <c:v>BENDRASIS PARTNERIS</c:v>
                </c:pt>
                <c:pt idx="1">
                  <c:v>ĮMONĖ</c:v>
                </c:pt>
                <c:pt idx="2">
                  <c:v>GYNYBOS ŠALIS TEISINIAME PROCESE</c:v>
                </c:pt>
                <c:pt idx="3">
                  <c:v>INTELEKTINĖ NUOSAVYBĖ.</c:v>
                </c:pt>
                <c:pt idx="4">
                  <c:v>BANKROTAS</c:v>
                </c:pt>
                <c:pt idx="5">
                  <c:v>ADMINISTRACIJOS DARBUOTOJAI</c:v>
                </c:pt>
              </c:strCache>
            </c:strRef>
          </c:cat>
          <c:val>
            <c:numRef>
              <c:f>'PROJEKTO PARAMETRAI'!$C$16:$H$16</c:f>
              <c:numCache>
                <c:formatCode>#\ ##0.00\ [$EUR]</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'PROJEKTO PARAMETRAI'!$B$17</c:f>
              <c:strCache>
                <c:ptCount val="1"/>
                <c:pt idx="0">
                  <c:v>FAKTINĖS IŠLAIDOS</c:v>
                </c:pt>
              </c:strCache>
            </c:strRef>
          </c:tx>
          <c:spPr>
            <a:solidFill>
              <a:schemeClr val="accent2"/>
            </a:solidFill>
            <a:ln>
              <a:noFill/>
            </a:ln>
            <a:effectLst/>
          </c:spPr>
          <c:invertIfNegative val="0"/>
          <c:cat>
            <c:strRef>
              <c:f>'PROJEKTO PARAMETRAI'!$C$15:$H$15</c:f>
              <c:strCache>
                <c:ptCount val="6"/>
                <c:pt idx="0">
                  <c:v>BENDRASIS PARTNERIS</c:v>
                </c:pt>
                <c:pt idx="1">
                  <c:v>ĮMONĖ</c:v>
                </c:pt>
                <c:pt idx="2">
                  <c:v>GYNYBOS ŠALIS TEISINIAME PROCESE</c:v>
                </c:pt>
                <c:pt idx="3">
                  <c:v>INTELEKTINĖ NUOSAVYBĖ.</c:v>
                </c:pt>
                <c:pt idx="4">
                  <c:v>BANKROTAS</c:v>
                </c:pt>
                <c:pt idx="5">
                  <c:v>ADMINISTRACIJOS DARBUOTOJAI</c:v>
                </c:pt>
              </c:strCache>
            </c:strRef>
          </c:cat>
          <c:val>
            <c:numRef>
              <c:f>'PROJEKTO PARAMETRAI'!$C$17:$H$17</c:f>
              <c:numCache>
                <c:formatCode>#\ ##0.00\ [$EUR]</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lt-LT"/>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 ##0.00\ [$EUR]"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lt-L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r>
              <a:rPr lang="en-US"/>
              <a:t>SUPLANUOTOS ir FAKTINĖS VALANDOS</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Tahoma"/>
              <a:ea typeface="Tahoma"/>
              <a:cs typeface="Tahoma"/>
            </a:defRPr>
          </a:pPr>
          <a:endParaRPr lang="lt-LT"/>
        </a:p>
      </c:txPr>
    </c:title>
    <c:autoTitleDeleted val="0"/>
    <c:plotArea>
      <c:layout/>
      <c:barChart>
        <c:barDir val="col"/>
        <c:grouping val="clustered"/>
        <c:varyColors val="0"/>
        <c:ser>
          <c:idx val="0"/>
          <c:order val="0"/>
          <c:tx>
            <c:strRef>
              <c:f>'PROJEKTO PARAMETRAI'!$B$18</c:f>
              <c:strCache>
                <c:ptCount val="1"/>
                <c:pt idx="0">
                  <c:v>SUPLANUOTOS VALANDOS</c:v>
                </c:pt>
              </c:strCache>
            </c:strRef>
          </c:tx>
          <c:spPr>
            <a:solidFill>
              <a:schemeClr val="accent1"/>
            </a:solidFill>
            <a:ln>
              <a:noFill/>
            </a:ln>
            <a:effectLst/>
          </c:spPr>
          <c:invertIfNegative val="0"/>
          <c:cat>
            <c:strRef>
              <c:f>'PROJEKTO PARAMETRAI'!$C$15:$H$15</c:f>
              <c:strCache>
                <c:ptCount val="6"/>
                <c:pt idx="0">
                  <c:v>BENDRASIS PARTNERIS</c:v>
                </c:pt>
                <c:pt idx="1">
                  <c:v>ĮMONĖ</c:v>
                </c:pt>
                <c:pt idx="2">
                  <c:v>GYNYBOS ŠALIS TEISINIAME PROCESE</c:v>
                </c:pt>
                <c:pt idx="3">
                  <c:v>INTELEKTINĖ NUOSAVYBĖ.</c:v>
                </c:pt>
                <c:pt idx="4">
                  <c:v>BANKROTAS</c:v>
                </c:pt>
                <c:pt idx="5">
                  <c:v>ADMINISTRACIJOS DARBUOTOJAI</c:v>
                </c:pt>
              </c:strCache>
            </c:strRef>
          </c:cat>
          <c:val>
            <c:numRef>
              <c:f>'PROJEKTO PARAMETRAI'!$C$18:$H$18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'PROJEKTO PARAMETRAI'!$B$19</c:f>
              <c:strCache>
                <c:ptCount val="1"/>
                <c:pt idx="0">
                  <c:v>FAKTINĖS VALANDOS</c:v>
                </c:pt>
              </c:strCache>
            </c:strRef>
          </c:tx>
          <c:spPr>
            <a:solidFill>
              <a:schemeClr val="accent2"/>
            </a:solidFill>
            <a:ln>
              <a:noFill/>
            </a:ln>
            <a:effectLst/>
          </c:spPr>
          <c:invertIfNegative val="0"/>
          <c:cat>
            <c:strRef>
              <c:f>'PROJEKTO PARAMETRAI'!$C$15:$H$15</c:f>
              <c:strCache>
                <c:ptCount val="6"/>
                <c:pt idx="0">
                  <c:v>BENDRASIS PARTNERIS</c:v>
                </c:pt>
                <c:pt idx="1">
                  <c:v>ĮMONĖ</c:v>
                </c:pt>
                <c:pt idx="2">
                  <c:v>GYNYBOS ŠALIS TEISINIAME PROCESE</c:v>
                </c:pt>
                <c:pt idx="3">
                  <c:v>INTELEKTINĖ NUOSAVYBĖ.</c:v>
                </c:pt>
                <c:pt idx="4">
                  <c:v>BANKROTAS</c:v>
                </c:pt>
                <c:pt idx="5">
                  <c:v>ADMINISTRACIJOS DARBUOTOJAI</c:v>
                </c:pt>
              </c:strCache>
            </c:strRef>
          </c:cat>
          <c:val>
            <c:numRef>
              <c:f>'PROJEKTO PARAMETRAI'!$C$19:$H$19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n-lt"/>
                <a:ea typeface="+mn-ea"/>
                <a:cs typeface="+mn-cs"/>
              </a:defRPr>
            </a:pPr>
            <a:endParaRPr lang="lt-LT"/>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lt-LT"/>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Cambria"/>
              <a:ea typeface="Cambria"/>
              <a:cs typeface="Cambria"/>
            </a:defRPr>
          </a:pPr>
          <a:endParaRPr lang="lt-LT"/>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lt-L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13</xdr:row>
      <xdr:rowOff>19049</xdr:rowOff>
    </xdr:from>
    <xdr:to>
      <xdr:col>4</xdr:col>
      <xdr:colOff>1189500</xdr:colOff>
      <xdr:row>42</xdr:row>
      <xdr:rowOff>95250</xdr:rowOff>
    </xdr:to>
    <xdr:graphicFrame macro="">
      <xdr:nvGraphicFramePr>
        <xdr:cNvPr id="7" name="6 diagrama" descr="Stulpelinė diagrama, rodanti planuojamų ir faktinių išlaidų palyginimą">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1333500</xdr:colOff>
      <xdr:row>13</xdr:row>
      <xdr:rowOff>19049</xdr:rowOff>
    </xdr:from>
    <xdr:to>
      <xdr:col>9</xdr:col>
      <xdr:colOff>19050</xdr:colOff>
      <xdr:row>42</xdr:row>
      <xdr:rowOff>95250</xdr:rowOff>
    </xdr:to>
    <xdr:graphicFrame macro="">
      <xdr:nvGraphicFramePr>
        <xdr:cNvPr id="8" name="7 diagrama" descr="Stulpelinė diagrama, rodanti planuojamų ir faktinių valandų palyginimą">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590550</xdr:colOff>
      <xdr:row>15</xdr:row>
      <xdr:rowOff>38100</xdr:rowOff>
    </xdr:to>
    <xdr:sp macro="" textlink="">
      <xdr:nvSpPr>
        <xdr:cNvPr id="3" name="2 stačiakampis"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0325100" y="447675"/>
          <a:ext cx="3028950" cy="3133725"/>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lt" sz="1800">
              <a:solidFill>
                <a:schemeClr val="tx1">
                  <a:lumMod val="65000"/>
                  <a:lumOff val="35000"/>
                </a:schemeClr>
              </a:solidFill>
              <a:latin typeface="+mj-lt"/>
            </a:rPr>
            <a:t>INFORMACIJA</a:t>
          </a:r>
        </a:p>
        <a:p>
          <a:pPr algn="l" rtl="0"/>
          <a:endParaRPr lang="en-US" sz="1100">
            <a:solidFill>
              <a:schemeClr val="tx1">
                <a:lumMod val="65000"/>
                <a:lumOff val="35000"/>
              </a:schemeClr>
            </a:solidFill>
          </a:endParaRPr>
        </a:p>
        <a:p>
          <a:pPr algn="l" rtl="0"/>
          <a:r>
            <a:rPr lang="lt" sz="1100">
              <a:solidFill>
                <a:schemeClr val="tx1">
                  <a:lumMod val="65000"/>
                  <a:lumOff val="35000"/>
                </a:schemeClr>
              </a:solidFill>
            </a:rPr>
            <a:t>Norėdami įtraukti eilutę, pasirinkite</a:t>
          </a:r>
          <a:r>
            <a:rPr lang="lt" sz="1100" baseline="0">
              <a:solidFill>
                <a:schemeClr val="tx1">
                  <a:lumMod val="65000"/>
                  <a:lumOff val="35000"/>
                </a:schemeClr>
              </a:solidFill>
            </a:rPr>
            <a:t> apatiniame dešiniajame kampe esantį langelį (ne sumos eilutę) ir paspauskite Tab arba paspauskite SHIFT, tada F10 ten, kur norite įterpti eilutę, tada spustelėkite Įterpti | Lentelės eilutės </a:t>
          </a:r>
          <a:r>
            <a:rPr lang="lt-LT" sz="1100" baseline="0">
              <a:solidFill>
                <a:schemeClr val="tx1">
                  <a:lumMod val="65000"/>
                  <a:lumOff val="35000"/>
                </a:schemeClr>
              </a:solidFill>
            </a:rPr>
            <a:t>Virš</a:t>
          </a:r>
          <a:r>
            <a:rPr lang="en-US" sz="1100" baseline="0">
              <a:solidFill>
                <a:schemeClr val="tx1">
                  <a:lumMod val="65000"/>
                  <a:lumOff val="35000"/>
                </a:schemeClr>
              </a:solidFill>
            </a:rPr>
            <a:t>uje</a:t>
          </a:r>
          <a:r>
            <a:rPr lang="lt" sz="1100" baseline="0">
              <a:solidFill>
                <a:schemeClr val="tx1">
                  <a:lumMod val="65000"/>
                  <a:lumOff val="35000"/>
                </a:schemeClr>
              </a:solidFill>
            </a:rPr>
            <a:t>/</a:t>
          </a:r>
          <a:r>
            <a:rPr lang="lt-LT" sz="1100" baseline="0">
              <a:solidFill>
                <a:schemeClr val="tx1">
                  <a:lumMod val="65000"/>
                  <a:lumOff val="35000"/>
                </a:schemeClr>
              </a:solidFill>
            </a:rPr>
            <a:t>apačioje</a:t>
          </a:r>
          <a:r>
            <a:rPr lang="lt" sz="1100" baseline="0">
              <a:solidFill>
                <a:schemeClr val="tx1">
                  <a:lumMod val="65000"/>
                  <a:lumOff val="35000"/>
                </a:schemeClr>
              </a:solidFill>
            </a:rPr>
            <a:t>.</a:t>
          </a:r>
        </a:p>
        <a:p>
          <a:pPr algn="l" rtl="0"/>
          <a:endParaRPr lang="en-US" sz="1100" baseline="0">
            <a:solidFill>
              <a:schemeClr val="tx1">
                <a:lumMod val="65000"/>
                <a:lumOff val="35000"/>
              </a:schemeClr>
            </a:solidFill>
          </a:endParaRPr>
        </a:p>
        <a:p>
          <a:pPr algn="l" rtl="0"/>
          <a:r>
            <a:rPr lang="lt" sz="1100" baseline="0">
              <a:solidFill>
                <a:schemeClr val="tx1">
                  <a:lumMod val="65000"/>
                  <a:lumOff val="35000"/>
                </a:schemeClr>
              </a:solidFill>
            </a:rPr>
            <a:t>Įsitikinkite, kad panaikintos visos nenaudojamas eilutės, nes PROJEKTO SUM</a:t>
          </a:r>
          <a:r>
            <a:rPr lang="en-US" sz="1100" baseline="0">
              <a:solidFill>
                <a:schemeClr val="tx1">
                  <a:lumMod val="65000"/>
                  <a:lumOff val="35000"/>
                </a:schemeClr>
              </a:solidFill>
            </a:rPr>
            <a:t>OS</a:t>
          </a:r>
          <a:r>
            <a:rPr lang="lt" sz="1100" baseline="0">
              <a:solidFill>
                <a:schemeClr val="tx1">
                  <a:lumMod val="65000"/>
                  <a:lumOff val="35000"/>
                </a:schemeClr>
              </a:solidFill>
            </a:rPr>
            <a:t> PivotTable naudos visus lentelės langelius, nes kitu atveju bus pateikti klaidingi rezultatai.</a:t>
          </a:r>
        </a:p>
        <a:p>
          <a:pPr algn="l" rtl="0"/>
          <a:endParaRPr lang="en-US" sz="1100" baseline="0">
            <a:solidFill>
              <a:schemeClr val="tx1">
                <a:lumMod val="65000"/>
                <a:lumOff val="35000"/>
              </a:schemeClr>
            </a:solidFill>
          </a:endParaRPr>
        </a:p>
        <a:p>
          <a:pPr algn="l" rtl="0"/>
          <a:r>
            <a:rPr lang="lt" sz="1100" baseline="0">
              <a:solidFill>
                <a:schemeClr val="tx1">
                  <a:lumMod val="65000"/>
                  <a:lumOff val="35000"/>
                </a:schemeClr>
              </a:solidFill>
            </a:rPr>
            <a:t>Norėdami panaikinti šį informacinį patarimą, pasirinkite bet kurį kraštą, tada paspauskite Delete.</a:t>
          </a:r>
          <a:endParaRPr lang="en-US" sz="1100">
            <a:solidFill>
              <a:schemeClr val="tx1">
                <a:lumMod val="65000"/>
                <a:lumOff val="35000"/>
              </a:schemeClr>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3</xdr:row>
      <xdr:rowOff>0</xdr:rowOff>
    </xdr:from>
    <xdr:to>
      <xdr:col>19</xdr:col>
      <xdr:colOff>590550</xdr:colOff>
      <xdr:row>14</xdr:row>
      <xdr:rowOff>114300</xdr:rowOff>
    </xdr:to>
    <xdr:sp macro="" textlink="">
      <xdr:nvSpPr>
        <xdr:cNvPr id="2" name="1 stačiakampis"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439525" y="885825"/>
          <a:ext cx="3028950" cy="2247900"/>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lt" sz="1800">
              <a:solidFill>
                <a:schemeClr val="tx1">
                  <a:lumMod val="65000"/>
                  <a:lumOff val="35000"/>
                </a:schemeClr>
              </a:solidFill>
              <a:latin typeface="+mj-lt"/>
            </a:rPr>
            <a:t>INFORMACIJA</a:t>
          </a:r>
        </a:p>
        <a:p>
          <a:pPr algn="l" rtl="0"/>
          <a:endParaRPr lang="en-US" sz="1100">
            <a:solidFill>
              <a:schemeClr val="tx1">
                <a:lumMod val="65000"/>
                <a:lumOff val="35000"/>
              </a:schemeClr>
            </a:solidFill>
          </a:endParaRPr>
        </a:p>
        <a:p>
          <a:pPr algn="l" rtl="0"/>
          <a:r>
            <a:rPr lang="lt" sz="1100">
              <a:solidFill>
                <a:schemeClr val="tx1">
                  <a:lumMod val="65000"/>
                  <a:lumOff val="35000"/>
                </a:schemeClr>
              </a:solidFill>
            </a:rPr>
            <a:t>Ši „PivotTable“ nebus automatiškai atnaujinta.  Norėdami atnaujinti, pasirinkite</a:t>
          </a:r>
          <a:r>
            <a:rPr lang="lt" sz="1100" baseline="0">
              <a:solidFill>
                <a:schemeClr val="tx1">
                  <a:lumMod val="65000"/>
                  <a:lumOff val="35000"/>
                </a:schemeClr>
              </a:solidFill>
            </a:rPr>
            <a:t> ją (bet kurį langelį iš „PivotTable“), juostelės skirtuke PIVOTTABLE ĮRANKIAI | ANALIZUOTI paspauskite Atnaujinti.  Arba paspauskite „SHIFT“, tada F10 pačioje „PivotTable“, tada pasirinkite Atnaujinti.</a:t>
          </a:r>
        </a:p>
        <a:p>
          <a:pPr algn="l" rtl="0"/>
          <a:endParaRPr lang="en-US" sz="1100" baseline="0">
            <a:solidFill>
              <a:schemeClr val="tx1">
                <a:lumMod val="65000"/>
                <a:lumOff val="35000"/>
              </a:schemeClr>
            </a:solidFill>
          </a:endParaRPr>
        </a:p>
        <a:p>
          <a:pPr algn="l" rtl="0"/>
          <a:r>
            <a:rPr lang="lt" sz="1100" baseline="0">
              <a:solidFill>
                <a:schemeClr val="tx1">
                  <a:lumMod val="65000"/>
                  <a:lumOff val="35000"/>
                </a:schemeClr>
              </a:solidFill>
            </a:rPr>
            <a:t>Norėdami panaikinti šį informacinį patarimą, pasirinkite bet kurį kraštą, tada paspauskite Delete.</a:t>
          </a:r>
          <a:endParaRPr lang="en-US" sz="1100">
            <a:solidFill>
              <a:schemeClr val="tx1">
                <a:lumMod val="65000"/>
                <a:lumOff val="35000"/>
              </a:schemeClr>
            </a:solidFill>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6.688149652779" createdVersion="5" refreshedVersion="6" minRefreshableVersion="3" recordCount="5" xr:uid="{00000000-000A-0000-FFFF-FFFF00000000}">
  <cacheSource type="worksheet">
    <worksheetSource name="Informacija"/>
  </cacheSource>
  <cacheFields count="22">
    <cacheField name="PROJEKTO PAVADINIMAS" numFmtId="0">
      <sharedItems count="5">
        <s v="1 projektas"/>
        <s v="2 projektas"/>
        <s v="3 projektas"/>
        <s v="4 projektas"/>
        <s v="5 projektas"/>
      </sharedItems>
    </cacheField>
    <cacheField name="PROJEKTO TIPAS" numFmtId="0">
      <sharedItems/>
    </cacheField>
    <cacheField name="NUMATOMA PRADŽIA" numFmtId="14">
      <sharedItems containsSemiMixedTypes="0" containsNonDate="0" containsDate="1" containsString="0" minDate="2019-02-20T00:00:00" maxDate="2019-09-29T00:00:00"/>
    </cacheField>
    <cacheField name="NUMATOMA PABAIGA" numFmtId="14">
      <sharedItems containsSemiMixedTypes="0" containsNonDate="0" containsDate="1" containsString="0" minDate="2019-04-21T00:00:00" maxDate="2019-10-29T00:00:00"/>
    </cacheField>
    <cacheField name="FAKTINĖ PRADŽIA" numFmtId="14">
      <sharedItems containsSemiMixedTypes="0" containsNonDate="0" containsDate="1" containsString="0" minDate="2019-03-02T00:00:00" maxDate="2019-10-09T00:00:00"/>
    </cacheField>
    <cacheField name="FAKTINĖ PABAIGA" numFmtId="14">
      <sharedItems containsSemiMixedTypes="0" containsNonDate="0" containsDate="1" containsString="0" minDate="2019-04-26T00:00:00" maxDate="2019-11-07T00:00:00"/>
    </cacheField>
    <cacheField name="NUMATYTOS DARBO VALANDOS" numFmtId="0">
      <sharedItems containsSemiMixedTypes="0" containsString="0" containsNumber="1" containsInteger="1" minValue="150" maxValue="500"/>
    </cacheField>
    <cacheField name="FAKTINĖS DARBO VALANDOS" numFmtId="0">
      <sharedItems containsSemiMixedTypes="0" containsString="0" containsNumber="1" containsInteger="1" minValue="145" maxValue="500"/>
    </cacheField>
    <cacheField name="NUMATOMA TRUKMĖ" numFmtId="0">
      <sharedItems containsSemiMixedTypes="0" containsString="0" containsNumber="1" containsInteger="1" minValue="0" maxValue="69"/>
    </cacheField>
    <cacheField name="FAKTINĖ TRUKMĖ" numFmtId="0">
      <sharedItems containsSemiMixedTypes="0" containsString="0" containsNumber="1" containsInteger="1" minValue="0" maxValue="69"/>
    </cacheField>
    <cacheField name="BENDRASIS PARTNERIS" numFmtId="169">
      <sharedItems containsSemiMixedTypes="0" containsString="0" containsNumber="1" containsInteger="1" minValue="5250" maxValue="35000"/>
    </cacheField>
    <cacheField name="VERSLO TEISININKAS" numFmtId="169">
      <sharedItems containsSemiMixedTypes="0" containsString="0" containsNumber="1" containsInteger="1" minValue="0" maxValue="40000"/>
    </cacheField>
    <cacheField name="GYNYBOS ŠALIS TEISINIAME PROCESE" numFmtId="169">
      <sharedItems containsSemiMixedTypes="0" containsString="0" containsNumber="1" containsInteger="1" minValue="0" maxValue="75000"/>
    </cacheField>
    <cacheField name="INTELEKTINĖS NUOSAVYBĖS TEISININKAS" numFmtId="169">
      <sharedItems containsSemiMixedTypes="0" containsString="0" containsNumber="1" containsInteger="1" minValue="0" maxValue="24750"/>
    </cacheField>
    <cacheField name="BANKROTO TEISININKAS" numFmtId="169">
      <sharedItems containsSemiMixedTypes="0" containsString="0" containsNumber="1" containsInteger="1" minValue="0" maxValue="0"/>
    </cacheField>
    <cacheField name="ADMINISTRACIJOS DARBUOTOJAI" numFmtId="169">
      <sharedItems containsSemiMixedTypes="0" containsString="0" containsNumber="1" containsInteger="1" minValue="5625" maxValue="20000"/>
    </cacheField>
    <cacheField name="2 BENDRASIS PARTNERIS" numFmtId="169">
      <sharedItems containsSemiMixedTypes="0" containsString="0" containsNumber="1" containsInteger="1" minValue="5075" maxValue="35000"/>
    </cacheField>
    <cacheField name="2 VERSLO TEISININKAS" numFmtId="169">
      <sharedItems containsSemiMixedTypes="0" containsString="0" containsNumber="1" containsInteger="1" minValue="0" maxValue="39000"/>
    </cacheField>
    <cacheField name="2 GYNYBOS ŠALIS TEISINIAME PROCESE" numFmtId="169">
      <sharedItems containsSemiMixedTypes="0" containsString="0" containsNumber="1" containsInteger="1" minValue="0" maxValue="75000"/>
    </cacheField>
    <cacheField name="2 INTELEKTINĖS NUOSAVYBĖS TEISININKAS" numFmtId="169">
      <sharedItems containsSemiMixedTypes="0" containsString="0" containsNumber="1" containsInteger="1" minValue="0" maxValue="23925"/>
    </cacheField>
    <cacheField name="2 BANKROTO TEISININKAS" numFmtId="169">
      <sharedItems containsSemiMixedTypes="0" containsString="0" containsNumber="1" containsInteger="1" minValue="0" maxValue="0"/>
    </cacheField>
    <cacheField name="2 ADMINISTRACIJOS DARBUOTOJAS" numFmtId="169">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Verslo įtraukimas"/>
    <d v="2019-02-20T00:00:00"/>
    <d v="2019-04-21T00:00:00"/>
    <d v="2019-03-02T00:00:00"/>
    <d v="2019-04-26T00:00:00"/>
    <n v="200"/>
    <n v="220"/>
    <n v="61"/>
    <n v="54"/>
    <n v="7000"/>
    <n v="20000"/>
    <n v="0"/>
    <n v="0"/>
    <n v="0"/>
    <n v="12500"/>
    <n v="7700"/>
    <n v="22000"/>
    <n v="0"/>
    <n v="0"/>
    <n v="0"/>
    <n v="13750"/>
  </r>
  <r>
    <x v="1"/>
    <s v="Verslo įsigijimas"/>
    <d v="2019-03-22T00:00:00"/>
    <d v="2019-05-31T00:00:00"/>
    <d v="2019-04-01T00:00:00"/>
    <d v="2019-06-10T00:00:00"/>
    <n v="400"/>
    <n v="390"/>
    <n v="69"/>
    <n v="69"/>
    <n v="14000"/>
    <n v="40000"/>
    <n v="0"/>
    <n v="11000"/>
    <n v="0"/>
    <n v="20000"/>
    <n v="13650"/>
    <n v="39000"/>
    <n v="0"/>
    <n v="10725"/>
    <n v="0"/>
    <n v="19500"/>
  </r>
  <r>
    <x v="2"/>
    <s v="Produkto atsakomybės gynyba"/>
    <d v="2019-07-20T00:00:00"/>
    <d v="2019-07-20T00:00:00"/>
    <d v="2019-07-20T00:00:00"/>
    <d v="2019-08-09T00:00:00"/>
    <n v="500"/>
    <n v="500"/>
    <n v="0"/>
    <n v="19"/>
    <n v="35000"/>
    <n v="0"/>
    <n v="75000"/>
    <n v="0"/>
    <n v="0"/>
    <n v="18750"/>
    <n v="35000"/>
    <n v="0"/>
    <n v="75000"/>
    <n v="0"/>
    <n v="0"/>
    <n v="18750"/>
  </r>
  <r>
    <x v="3"/>
    <s v="Patentų pateikimas"/>
    <d v="2019-09-08T00:00:00"/>
    <d v="2019-10-08T00:00:00"/>
    <d v="2019-10-08T00:00:00"/>
    <d v="2019-10-08T00:00:00"/>
    <n v="150"/>
    <n v="145"/>
    <n v="30"/>
    <n v="0"/>
    <n v="5250"/>
    <n v="0"/>
    <n v="0"/>
    <n v="24750"/>
    <n v="0"/>
    <n v="5625"/>
    <n v="5075"/>
    <n v="0"/>
    <n v="0"/>
    <n v="23925"/>
    <n v="0"/>
    <n v="5437.5"/>
  </r>
  <r>
    <x v="4"/>
    <s v="Darbuotojo byla"/>
    <d v="2019-09-28T00:00:00"/>
    <d v="2019-10-28T00:00:00"/>
    <d v="2019-10-08T00:00:00"/>
    <d v="2019-11-06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PivotTableSumos" cacheId="3" applyNumberFormats="0" applyBorderFormats="0" applyFontFormats="0" applyPatternFormats="0" applyAlignmentFormats="0" applyWidthHeightFormats="1" dataCaption="Values"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BENDRASIS PARTNERIS " fld="10" baseField="0" baseItem="1" numFmtId="170"/>
    <dataField name="ĮMONĖ " fld="11" baseField="0" baseItem="1" numFmtId="170"/>
    <dataField name="GYNYBOS ŠALIS TEISINIAME PROCESE " fld="12" baseField="0" baseItem="1" numFmtId="170"/>
    <dataField name="INTELEKTINĖ NUOSAVYBĖ " fld="13" baseField="0" baseItem="1" numFmtId="170"/>
    <dataField name="BANKROTAS " fld="14" baseField="0" baseItem="1" numFmtId="170"/>
    <dataField name="ADMINISTRACIJOS DARBUOTOJAI " fld="15" baseField="0" baseItem="1" numFmtId="170"/>
    <dataField name="BENDRASIS PARTNERIS  " fld="16" baseField="0" baseItem="1" numFmtId="170"/>
    <dataField name="ĮMONĖ" fld="17" baseField="0" baseItem="1" numFmtId="170"/>
    <dataField name="GYNYBOS ŠALIS TEISINIAME PROCESE  " fld="18" baseField="0" baseItem="1" numFmtId="170"/>
    <dataField name="BANKROTAS" fld="19" baseField="0" baseItem="1" numFmtId="170"/>
    <dataField name="INTELEKTINĖ NUOSAVYBĖ" fld="20" baseField="0" baseItem="1" numFmtId="170"/>
    <dataField name="ADMINISTRACIJOS DARBUOTOJAI  " fld="21" baseField="0" baseItem="1" numFmtId="170"/>
  </dataFields>
  <formats count="85">
    <format dxfId="169">
      <pivotArea dataOnly="0" labelOnly="1" outline="0" fieldPosition="0">
        <references count="1">
          <reference field="4294967294" count="12">
            <x v="0"/>
            <x v="1"/>
            <x v="2"/>
            <x v="3"/>
            <x v="4"/>
            <x v="5"/>
            <x v="6"/>
            <x v="7"/>
            <x v="8"/>
            <x v="9"/>
            <x v="10"/>
            <x v="11"/>
          </reference>
        </references>
      </pivotArea>
    </format>
    <format dxfId="168">
      <pivotArea outline="0" fieldPosition="0">
        <references count="2">
          <reference field="4294967294" count="1" selected="0">
            <x v="0"/>
          </reference>
          <reference field="0" count="1" selected="0">
            <x v="0"/>
          </reference>
        </references>
      </pivotArea>
    </format>
    <format dxfId="167">
      <pivotArea outline="0" fieldPosition="0">
        <references count="2">
          <reference field="4294967294" count="1" selected="0">
            <x v="1"/>
          </reference>
          <reference field="0" count="1" selected="0">
            <x v="0"/>
          </reference>
        </references>
      </pivotArea>
    </format>
    <format dxfId="166">
      <pivotArea outline="0" fieldPosition="0">
        <references count="2">
          <reference field="4294967294" count="1" selected="0">
            <x v="2"/>
          </reference>
          <reference field="0" count="1" selected="0">
            <x v="0"/>
          </reference>
        </references>
      </pivotArea>
    </format>
    <format dxfId="165">
      <pivotArea outline="0" fieldPosition="0">
        <references count="2">
          <reference field="4294967294" count="1" selected="0">
            <x v="3"/>
          </reference>
          <reference field="0" count="1" selected="0">
            <x v="0"/>
          </reference>
        </references>
      </pivotArea>
    </format>
    <format dxfId="164">
      <pivotArea outline="0" fieldPosition="0">
        <references count="2">
          <reference field="4294967294" count="1" selected="0">
            <x v="4"/>
          </reference>
          <reference field="0" count="1" selected="0">
            <x v="0"/>
          </reference>
        </references>
      </pivotArea>
    </format>
    <format dxfId="163">
      <pivotArea outline="0" fieldPosition="0">
        <references count="2">
          <reference field="4294967294" count="1" selected="0">
            <x v="5"/>
          </reference>
          <reference field="0" count="1" selected="0">
            <x v="0"/>
          </reference>
        </references>
      </pivotArea>
    </format>
    <format dxfId="162">
      <pivotArea outline="0" fieldPosition="0">
        <references count="2">
          <reference field="4294967294" count="1" selected="0">
            <x v="6"/>
          </reference>
          <reference field="0" count="1" selected="0">
            <x v="0"/>
          </reference>
        </references>
      </pivotArea>
    </format>
    <format dxfId="161">
      <pivotArea outline="0" fieldPosition="0">
        <references count="2">
          <reference field="4294967294" count="1" selected="0">
            <x v="7"/>
          </reference>
          <reference field="0" count="1" selected="0">
            <x v="0"/>
          </reference>
        </references>
      </pivotArea>
    </format>
    <format dxfId="160">
      <pivotArea outline="0" fieldPosition="0">
        <references count="2">
          <reference field="4294967294" count="1" selected="0">
            <x v="8"/>
          </reference>
          <reference field="0" count="1" selected="0">
            <x v="0"/>
          </reference>
        </references>
      </pivotArea>
    </format>
    <format dxfId="159">
      <pivotArea outline="0" fieldPosition="0">
        <references count="2">
          <reference field="4294967294" count="1" selected="0">
            <x v="9"/>
          </reference>
          <reference field="0" count="1" selected="0">
            <x v="0"/>
          </reference>
        </references>
      </pivotArea>
    </format>
    <format dxfId="158">
      <pivotArea outline="0" fieldPosition="0">
        <references count="2">
          <reference field="4294967294" count="1" selected="0">
            <x v="10"/>
          </reference>
          <reference field="0" count="1" selected="0">
            <x v="0"/>
          </reference>
        </references>
      </pivotArea>
    </format>
    <format dxfId="157">
      <pivotArea outline="0" fieldPosition="0">
        <references count="2">
          <reference field="4294967294" count="1" selected="0">
            <x v="11"/>
          </reference>
          <reference field="0" count="1" selected="0">
            <x v="0"/>
          </reference>
        </references>
      </pivotArea>
    </format>
    <format dxfId="156">
      <pivotArea outline="0" fieldPosition="0">
        <references count="2">
          <reference field="4294967294" count="1" selected="0">
            <x v="0"/>
          </reference>
          <reference field="0" count="1" selected="0">
            <x v="1"/>
          </reference>
        </references>
      </pivotArea>
    </format>
    <format dxfId="155">
      <pivotArea outline="0" fieldPosition="0">
        <references count="2">
          <reference field="4294967294" count="1" selected="0">
            <x v="1"/>
          </reference>
          <reference field="0" count="1" selected="0">
            <x v="1"/>
          </reference>
        </references>
      </pivotArea>
    </format>
    <format dxfId="154">
      <pivotArea outline="0" fieldPosition="0">
        <references count="2">
          <reference field="4294967294" count="1" selected="0">
            <x v="2"/>
          </reference>
          <reference field="0" count="1" selected="0">
            <x v="1"/>
          </reference>
        </references>
      </pivotArea>
    </format>
    <format dxfId="153">
      <pivotArea outline="0" fieldPosition="0">
        <references count="2">
          <reference field="4294967294" count="1" selected="0">
            <x v="3"/>
          </reference>
          <reference field="0" count="1" selected="0">
            <x v="1"/>
          </reference>
        </references>
      </pivotArea>
    </format>
    <format dxfId="152">
      <pivotArea outline="0" fieldPosition="0">
        <references count="2">
          <reference field="4294967294" count="1" selected="0">
            <x v="4"/>
          </reference>
          <reference field="0" count="1" selected="0">
            <x v="1"/>
          </reference>
        </references>
      </pivotArea>
    </format>
    <format dxfId="151">
      <pivotArea outline="0" fieldPosition="0">
        <references count="2">
          <reference field="4294967294" count="1" selected="0">
            <x v="5"/>
          </reference>
          <reference field="0" count="1" selected="0">
            <x v="1"/>
          </reference>
        </references>
      </pivotArea>
    </format>
    <format dxfId="150">
      <pivotArea outline="0" fieldPosition="0">
        <references count="2">
          <reference field="4294967294" count="1" selected="0">
            <x v="6"/>
          </reference>
          <reference field="0" count="1" selected="0">
            <x v="1"/>
          </reference>
        </references>
      </pivotArea>
    </format>
    <format dxfId="149">
      <pivotArea outline="0" fieldPosition="0">
        <references count="2">
          <reference field="4294967294" count="1" selected="0">
            <x v="7"/>
          </reference>
          <reference field="0" count="1" selected="0">
            <x v="1"/>
          </reference>
        </references>
      </pivotArea>
    </format>
    <format dxfId="148">
      <pivotArea outline="0" fieldPosition="0">
        <references count="2">
          <reference field="4294967294" count="1" selected="0">
            <x v="8"/>
          </reference>
          <reference field="0" count="1" selected="0">
            <x v="1"/>
          </reference>
        </references>
      </pivotArea>
    </format>
    <format dxfId="147">
      <pivotArea outline="0" fieldPosition="0">
        <references count="2">
          <reference field="4294967294" count="1" selected="0">
            <x v="9"/>
          </reference>
          <reference field="0" count="1" selected="0">
            <x v="1"/>
          </reference>
        </references>
      </pivotArea>
    </format>
    <format dxfId="146">
      <pivotArea outline="0" fieldPosition="0">
        <references count="2">
          <reference field="4294967294" count="1" selected="0">
            <x v="10"/>
          </reference>
          <reference field="0" count="1" selected="0">
            <x v="1"/>
          </reference>
        </references>
      </pivotArea>
    </format>
    <format dxfId="145">
      <pivotArea outline="0" fieldPosition="0">
        <references count="2">
          <reference field="4294967294" count="1" selected="0">
            <x v="11"/>
          </reference>
          <reference field="0" count="1" selected="0">
            <x v="1"/>
          </reference>
        </references>
      </pivotArea>
    </format>
    <format dxfId="144">
      <pivotArea outline="0" fieldPosition="0">
        <references count="2">
          <reference field="4294967294" count="1" selected="0">
            <x v="0"/>
          </reference>
          <reference field="0" count="1" selected="0">
            <x v="2"/>
          </reference>
        </references>
      </pivotArea>
    </format>
    <format dxfId="143">
      <pivotArea outline="0" fieldPosition="0">
        <references count="2">
          <reference field="4294967294" count="1" selected="0">
            <x v="1"/>
          </reference>
          <reference field="0" count="1" selected="0">
            <x v="2"/>
          </reference>
        </references>
      </pivotArea>
    </format>
    <format dxfId="142">
      <pivotArea outline="0" fieldPosition="0">
        <references count="2">
          <reference field="4294967294" count="1" selected="0">
            <x v="2"/>
          </reference>
          <reference field="0" count="1" selected="0">
            <x v="2"/>
          </reference>
        </references>
      </pivotArea>
    </format>
    <format dxfId="141">
      <pivotArea outline="0" fieldPosition="0">
        <references count="2">
          <reference field="4294967294" count="1" selected="0">
            <x v="3"/>
          </reference>
          <reference field="0" count="1" selected="0">
            <x v="2"/>
          </reference>
        </references>
      </pivotArea>
    </format>
    <format dxfId="140">
      <pivotArea outline="0" fieldPosition="0">
        <references count="2">
          <reference field="4294967294" count="1" selected="0">
            <x v="4"/>
          </reference>
          <reference field="0" count="1" selected="0">
            <x v="2"/>
          </reference>
        </references>
      </pivotArea>
    </format>
    <format dxfId="139">
      <pivotArea outline="0" fieldPosition="0">
        <references count="2">
          <reference field="4294967294" count="1" selected="0">
            <x v="5"/>
          </reference>
          <reference field="0" count="1" selected="0">
            <x v="2"/>
          </reference>
        </references>
      </pivotArea>
    </format>
    <format dxfId="138">
      <pivotArea outline="0" fieldPosition="0">
        <references count="2">
          <reference field="4294967294" count="1" selected="0">
            <x v="6"/>
          </reference>
          <reference field="0" count="1" selected="0">
            <x v="2"/>
          </reference>
        </references>
      </pivotArea>
    </format>
    <format dxfId="137">
      <pivotArea outline="0" fieldPosition="0">
        <references count="2">
          <reference field="4294967294" count="1" selected="0">
            <x v="7"/>
          </reference>
          <reference field="0" count="1" selected="0">
            <x v="2"/>
          </reference>
        </references>
      </pivotArea>
    </format>
    <format dxfId="136">
      <pivotArea outline="0" fieldPosition="0">
        <references count="2">
          <reference field="4294967294" count="1" selected="0">
            <x v="8"/>
          </reference>
          <reference field="0" count="1" selected="0">
            <x v="2"/>
          </reference>
        </references>
      </pivotArea>
    </format>
    <format dxfId="135">
      <pivotArea outline="0" fieldPosition="0">
        <references count="2">
          <reference field="4294967294" count="1" selected="0">
            <x v="9"/>
          </reference>
          <reference field="0" count="1" selected="0">
            <x v="2"/>
          </reference>
        </references>
      </pivotArea>
    </format>
    <format dxfId="134">
      <pivotArea outline="0" fieldPosition="0">
        <references count="2">
          <reference field="4294967294" count="1" selected="0">
            <x v="10"/>
          </reference>
          <reference field="0" count="1" selected="0">
            <x v="2"/>
          </reference>
        </references>
      </pivotArea>
    </format>
    <format dxfId="133">
      <pivotArea outline="0" fieldPosition="0">
        <references count="2">
          <reference field="4294967294" count="1" selected="0">
            <x v="11"/>
          </reference>
          <reference field="0" count="1" selected="0">
            <x v="2"/>
          </reference>
        </references>
      </pivotArea>
    </format>
    <format dxfId="132">
      <pivotArea outline="0" fieldPosition="0">
        <references count="2">
          <reference field="4294967294" count="1" selected="0">
            <x v="0"/>
          </reference>
          <reference field="0" count="1" selected="0">
            <x v="3"/>
          </reference>
        </references>
      </pivotArea>
    </format>
    <format dxfId="131">
      <pivotArea outline="0" fieldPosition="0">
        <references count="2">
          <reference field="4294967294" count="1" selected="0">
            <x v="1"/>
          </reference>
          <reference field="0" count="1" selected="0">
            <x v="3"/>
          </reference>
        </references>
      </pivotArea>
    </format>
    <format dxfId="130">
      <pivotArea outline="0" fieldPosition="0">
        <references count="2">
          <reference field="4294967294" count="1" selected="0">
            <x v="2"/>
          </reference>
          <reference field="0" count="1" selected="0">
            <x v="3"/>
          </reference>
        </references>
      </pivotArea>
    </format>
    <format dxfId="129">
      <pivotArea outline="0" fieldPosition="0">
        <references count="2">
          <reference field="4294967294" count="1" selected="0">
            <x v="3"/>
          </reference>
          <reference field="0" count="1" selected="0">
            <x v="3"/>
          </reference>
        </references>
      </pivotArea>
    </format>
    <format dxfId="128">
      <pivotArea outline="0" fieldPosition="0">
        <references count="2">
          <reference field="4294967294" count="1" selected="0">
            <x v="4"/>
          </reference>
          <reference field="0" count="1" selected="0">
            <x v="3"/>
          </reference>
        </references>
      </pivotArea>
    </format>
    <format dxfId="127">
      <pivotArea outline="0" fieldPosition="0">
        <references count="2">
          <reference field="4294967294" count="1" selected="0">
            <x v="5"/>
          </reference>
          <reference field="0" count="1" selected="0">
            <x v="3"/>
          </reference>
        </references>
      </pivotArea>
    </format>
    <format dxfId="126">
      <pivotArea outline="0" fieldPosition="0">
        <references count="2">
          <reference field="4294967294" count="1" selected="0">
            <x v="6"/>
          </reference>
          <reference field="0" count="1" selected="0">
            <x v="3"/>
          </reference>
        </references>
      </pivotArea>
    </format>
    <format dxfId="125">
      <pivotArea outline="0" fieldPosition="0">
        <references count="2">
          <reference field="4294967294" count="1" selected="0">
            <x v="7"/>
          </reference>
          <reference field="0" count="1" selected="0">
            <x v="3"/>
          </reference>
        </references>
      </pivotArea>
    </format>
    <format dxfId="124">
      <pivotArea outline="0" fieldPosition="0">
        <references count="2">
          <reference field="4294967294" count="1" selected="0">
            <x v="8"/>
          </reference>
          <reference field="0" count="1" selected="0">
            <x v="3"/>
          </reference>
        </references>
      </pivotArea>
    </format>
    <format dxfId="123">
      <pivotArea outline="0" fieldPosition="0">
        <references count="2">
          <reference field="4294967294" count="1" selected="0">
            <x v="9"/>
          </reference>
          <reference field="0" count="1" selected="0">
            <x v="3"/>
          </reference>
        </references>
      </pivotArea>
    </format>
    <format dxfId="122">
      <pivotArea outline="0" fieldPosition="0">
        <references count="2">
          <reference field="4294967294" count="1" selected="0">
            <x v="10"/>
          </reference>
          <reference field="0" count="1" selected="0">
            <x v="3"/>
          </reference>
        </references>
      </pivotArea>
    </format>
    <format dxfId="121">
      <pivotArea outline="0" fieldPosition="0">
        <references count="2">
          <reference field="4294967294" count="1" selected="0">
            <x v="11"/>
          </reference>
          <reference field="0" count="1" selected="0">
            <x v="3"/>
          </reference>
        </references>
      </pivotArea>
    </format>
    <format dxfId="120">
      <pivotArea outline="0" fieldPosition="0">
        <references count="2">
          <reference field="4294967294" count="1" selected="0">
            <x v="0"/>
          </reference>
          <reference field="0" count="1" selected="0">
            <x v="4"/>
          </reference>
        </references>
      </pivotArea>
    </format>
    <format dxfId="119">
      <pivotArea outline="0" fieldPosition="0">
        <references count="2">
          <reference field="4294967294" count="1" selected="0">
            <x v="1"/>
          </reference>
          <reference field="0" count="1" selected="0">
            <x v="4"/>
          </reference>
        </references>
      </pivotArea>
    </format>
    <format dxfId="118">
      <pivotArea outline="0" fieldPosition="0">
        <references count="2">
          <reference field="4294967294" count="1" selected="0">
            <x v="2"/>
          </reference>
          <reference field="0" count="1" selected="0">
            <x v="4"/>
          </reference>
        </references>
      </pivotArea>
    </format>
    <format dxfId="117">
      <pivotArea outline="0" fieldPosition="0">
        <references count="2">
          <reference field="4294967294" count="1" selected="0">
            <x v="3"/>
          </reference>
          <reference field="0" count="1" selected="0">
            <x v="4"/>
          </reference>
        </references>
      </pivotArea>
    </format>
    <format dxfId="116">
      <pivotArea outline="0" fieldPosition="0">
        <references count="2">
          <reference field="4294967294" count="1" selected="0">
            <x v="4"/>
          </reference>
          <reference field="0" count="1" selected="0">
            <x v="4"/>
          </reference>
        </references>
      </pivotArea>
    </format>
    <format dxfId="115">
      <pivotArea outline="0" fieldPosition="0">
        <references count="2">
          <reference field="4294967294" count="1" selected="0">
            <x v="5"/>
          </reference>
          <reference field="0" count="1" selected="0">
            <x v="4"/>
          </reference>
        </references>
      </pivotArea>
    </format>
    <format dxfId="114">
      <pivotArea outline="0" fieldPosition="0">
        <references count="2">
          <reference field="4294967294" count="1" selected="0">
            <x v="6"/>
          </reference>
          <reference field="0" count="1" selected="0">
            <x v="4"/>
          </reference>
        </references>
      </pivotArea>
    </format>
    <format dxfId="113">
      <pivotArea outline="0" fieldPosition="0">
        <references count="2">
          <reference field="4294967294" count="1" selected="0">
            <x v="7"/>
          </reference>
          <reference field="0" count="1" selected="0">
            <x v="4"/>
          </reference>
        </references>
      </pivotArea>
    </format>
    <format dxfId="112">
      <pivotArea outline="0" fieldPosition="0">
        <references count="2">
          <reference field="4294967294" count="1" selected="0">
            <x v="8"/>
          </reference>
          <reference field="0" count="1" selected="0">
            <x v="4"/>
          </reference>
        </references>
      </pivotArea>
    </format>
    <format dxfId="111">
      <pivotArea outline="0" fieldPosition="0">
        <references count="2">
          <reference field="4294967294" count="1" selected="0">
            <x v="9"/>
          </reference>
          <reference field="0" count="1" selected="0">
            <x v="4"/>
          </reference>
        </references>
      </pivotArea>
    </format>
    <format dxfId="110">
      <pivotArea outline="0" fieldPosition="0">
        <references count="2">
          <reference field="4294967294" count="1" selected="0">
            <x v="10"/>
          </reference>
          <reference field="0" count="1" selected="0">
            <x v="4"/>
          </reference>
        </references>
      </pivotArea>
    </format>
    <format dxfId="109">
      <pivotArea outline="0" fieldPosition="0">
        <references count="2">
          <reference field="4294967294" count="1" selected="0">
            <x v="11"/>
          </reference>
          <reference field="0" count="1" selected="0">
            <x v="4"/>
          </reference>
        </references>
      </pivotArea>
    </format>
    <format dxfId="108">
      <pivotArea field="0" grandRow="1" outline="0" axis="axisRow" fieldPosition="0">
        <references count="1">
          <reference field="4294967294" count="1" selected="0">
            <x v="0"/>
          </reference>
        </references>
      </pivotArea>
    </format>
    <format dxfId="107">
      <pivotArea field="0" grandRow="1" outline="0" axis="axisRow" fieldPosition="0">
        <references count="1">
          <reference field="4294967294" count="1" selected="0">
            <x v="1"/>
          </reference>
        </references>
      </pivotArea>
    </format>
    <format dxfId="106">
      <pivotArea field="0" grandRow="1" outline="0" axis="axisRow" fieldPosition="0">
        <references count="1">
          <reference field="4294967294" count="1" selected="0">
            <x v="2"/>
          </reference>
        </references>
      </pivotArea>
    </format>
    <format dxfId="105">
      <pivotArea field="0" grandRow="1" outline="0" axis="axisRow" fieldPosition="0">
        <references count="1">
          <reference field="4294967294" count="1" selected="0">
            <x v="3"/>
          </reference>
        </references>
      </pivotArea>
    </format>
    <format dxfId="104">
      <pivotArea field="0" grandRow="1" outline="0" axis="axisRow" fieldPosition="0">
        <references count="1">
          <reference field="4294967294" count="1" selected="0">
            <x v="4"/>
          </reference>
        </references>
      </pivotArea>
    </format>
    <format dxfId="103">
      <pivotArea field="0" grandRow="1" outline="0" axis="axisRow" fieldPosition="0">
        <references count="1">
          <reference field="4294967294" count="1" selected="0">
            <x v="5"/>
          </reference>
        </references>
      </pivotArea>
    </format>
    <format dxfId="102">
      <pivotArea field="0" grandRow="1" outline="0" axis="axisRow" fieldPosition="0">
        <references count="1">
          <reference field="4294967294" count="1" selected="0">
            <x v="6"/>
          </reference>
        </references>
      </pivotArea>
    </format>
    <format dxfId="101">
      <pivotArea field="0" grandRow="1" outline="0" axis="axisRow" fieldPosition="0">
        <references count="1">
          <reference field="4294967294" count="1" selected="0">
            <x v="7"/>
          </reference>
        </references>
      </pivotArea>
    </format>
    <format dxfId="100">
      <pivotArea field="0" grandRow="1" outline="0" axis="axisRow" fieldPosition="0">
        <references count="1">
          <reference field="4294967294" count="1" selected="0">
            <x v="8"/>
          </reference>
        </references>
      </pivotArea>
    </format>
    <format dxfId="99">
      <pivotArea field="0" grandRow="1" outline="0" axis="axisRow" fieldPosition="0">
        <references count="1">
          <reference field="4294967294" count="1" selected="0">
            <x v="9"/>
          </reference>
        </references>
      </pivotArea>
    </format>
    <format dxfId="98">
      <pivotArea field="0" grandRow="1" outline="0" axis="axisRow" fieldPosition="0">
        <references count="1">
          <reference field="4294967294" count="1" selected="0">
            <x v="10"/>
          </reference>
        </references>
      </pivotArea>
    </format>
    <format dxfId="97">
      <pivotArea field="0" grandRow="1" outline="0" axis="axisRow" fieldPosition="0">
        <references count="1">
          <reference field="4294967294" count="1" selected="0">
            <x v="11"/>
          </reference>
        </references>
      </pivotArea>
    </format>
    <format dxfId="96">
      <pivotArea outline="0" fieldPosition="0">
        <references count="1">
          <reference field="4294967294" count="1">
            <x v="0"/>
          </reference>
        </references>
      </pivotArea>
    </format>
    <format dxfId="95">
      <pivotArea outline="0" fieldPosition="0">
        <references count="1">
          <reference field="4294967294" count="1">
            <x v="1"/>
          </reference>
        </references>
      </pivotArea>
    </format>
    <format dxfId="94">
      <pivotArea outline="0" fieldPosition="0">
        <references count="1">
          <reference field="4294967294" count="1">
            <x v="2"/>
          </reference>
        </references>
      </pivotArea>
    </format>
    <format dxfId="93">
      <pivotArea outline="0" fieldPosition="0">
        <references count="1">
          <reference field="4294967294" count="1">
            <x v="3"/>
          </reference>
        </references>
      </pivotArea>
    </format>
    <format dxfId="92">
      <pivotArea outline="0" fieldPosition="0">
        <references count="1">
          <reference field="4294967294" count="1">
            <x v="4"/>
          </reference>
        </references>
      </pivotArea>
    </format>
    <format dxfId="91">
      <pivotArea outline="0" fieldPosition="0">
        <references count="1">
          <reference field="4294967294" count="1">
            <x v="5"/>
          </reference>
        </references>
      </pivotArea>
    </format>
    <format dxfId="90">
      <pivotArea outline="0" fieldPosition="0">
        <references count="1">
          <reference field="4294967294" count="1">
            <x v="6"/>
          </reference>
        </references>
      </pivotArea>
    </format>
    <format dxfId="89">
      <pivotArea outline="0" fieldPosition="0">
        <references count="1">
          <reference field="4294967294" count="1">
            <x v="7"/>
          </reference>
        </references>
      </pivotArea>
    </format>
    <format dxfId="88">
      <pivotArea outline="0" fieldPosition="0">
        <references count="1">
          <reference field="4294967294" count="1">
            <x v="8"/>
          </reference>
        </references>
      </pivotArea>
    </format>
    <format dxfId="87">
      <pivotArea outline="0" fieldPosition="0">
        <references count="1">
          <reference field="4294967294" count="1">
            <x v="9"/>
          </reference>
        </references>
      </pivotArea>
    </format>
    <format dxfId="86">
      <pivotArea outline="0" fieldPosition="0">
        <references count="1">
          <reference field="4294967294" count="1">
            <x v="10"/>
          </reference>
        </references>
      </pivotArea>
    </format>
    <format dxfId="85">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Šioje „PivotTable“ pateikiami projektų pavadinimai ir apskaičiuotos visų darbalapyje PROJEKTO PARAMETRAI esančių elementų reikšmė. Jos apskaičiuojamos padauginant trukmę valandomis darbalapyje PROJEKTO INFORMACIJA"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Parametrai" displayName="Parametrai" ref="B5:I11" headerRowDxfId="233" dataDxfId="232">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PROJEKTO TIPAS" totalsRowLabel="Suma" dataDxfId="231" totalsRowDxfId="230"/>
    <tableColumn id="2" xr3:uid="{00000000-0010-0000-0000-000002000000}" name="BENDRASIS PARTNERIS" dataDxfId="229" totalsRowDxfId="228"/>
    <tableColumn id="3" xr3:uid="{00000000-0010-0000-0000-000003000000}" name="VERSLO TEISININKAS" dataDxfId="227" totalsRowDxfId="226"/>
    <tableColumn id="4" xr3:uid="{00000000-0010-0000-0000-000004000000}" name="GYNYBOS ŠALIS TEISINIAME PROCESE" dataDxfId="225" totalsRowDxfId="224"/>
    <tableColumn id="5" xr3:uid="{00000000-0010-0000-0000-000005000000}" name="INTELEKTINĖS NUOSAVYBĖS TEISININKAS" dataDxfId="223" totalsRowDxfId="222"/>
    <tableColumn id="6" xr3:uid="{00000000-0010-0000-0000-000006000000}" name="BANKROTO TEISININKAS" dataDxfId="221" totalsRowDxfId="220"/>
    <tableColumn id="7" xr3:uid="{00000000-0010-0000-0000-000007000000}" name="ADMINISTRACIJOS DARBUOTOJAI" dataDxfId="219" totalsRowDxfId="218"/>
    <tableColumn id="8" xr3:uid="{00000000-0010-0000-0000-000008000000}" name="SUMA" totalsRowFunction="sum" dataDxfId="217" totalsRowDxfId="216">
      <calculatedColumnFormula>SUM(Parametrai[[#This Row],[BENDRASIS PARTNERIS]:[ADMINISTRACIJOS DARBUOTOJAI]])</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Šioje lentelėje įveskite projekto tipą, pagrindinio partnerio, verslo teisininko, advokato, intelektinės nuosavybės teisininko, bankroto teisininko ir administracijos darbuotojų procentus. Suma apskaičiuojama automatiškai"/>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Informacija" displayName="Informacija" ref="B4:W10" totalsRowCount="1" headerRowDxfId="215" dataDxfId="214">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PROJEKTO PAVADINIMAS" totalsRowLabel="BENDRA SUMA" dataDxfId="213" totalsRowDxfId="212"/>
    <tableColumn id="2" xr3:uid="{00000000-0010-0000-0100-000002000000}" name="PROJEKTO TIPAS" dataDxfId="211" totalsRowDxfId="210"/>
    <tableColumn id="3" xr3:uid="{00000000-0010-0000-0100-000003000000}" name="NUMATOMA PRADŽIA" dataDxfId="209" totalsRowDxfId="208"/>
    <tableColumn id="4" xr3:uid="{00000000-0010-0000-0100-000004000000}" name="NUMATOMA PABAIGA" dataDxfId="207" totalsRowDxfId="206"/>
    <tableColumn id="7" xr3:uid="{00000000-0010-0000-0100-000007000000}" name="FAKTINĖ PRADŽIA" dataDxfId="205" totalsRowDxfId="204"/>
    <tableColumn id="8" xr3:uid="{00000000-0010-0000-0100-000008000000}" name="FAKTINĖ PABAIGA" dataDxfId="203" totalsRowDxfId="202"/>
    <tableColumn id="5" xr3:uid="{00000000-0010-0000-0100-000005000000}" name="NUMATYTOS DARBO VALANDOS" totalsRowFunction="sum" dataDxfId="201" totalsRowDxfId="200"/>
    <tableColumn id="9" xr3:uid="{00000000-0010-0000-0100-000009000000}" name="FAKTINĖS DARBO VALANDOS" totalsRowFunction="sum" dataDxfId="199" totalsRowDxfId="198"/>
    <tableColumn id="6" xr3:uid="{00000000-0010-0000-0100-000006000000}" name="NUMATOMA TRUKMĖ" totalsRowFunction="sum" dataDxfId="197" totalsRowDxfId="196">
      <calculatedColumnFormula>DAYS360(Informacija[[#This Row],[NUMATOMA PRADŽIA]],Informacija[[#This Row],[NUMATOMA PABAIGA]],FALSE)</calculatedColumnFormula>
    </tableColumn>
    <tableColumn id="10" xr3:uid="{00000000-0010-0000-0100-00000A000000}" name="FAKTINĖ TRUKMĖ" totalsRowFunction="sum" dataDxfId="195" totalsRowDxfId="194">
      <calculatedColumnFormula>DAYS360(Informacija[[#This Row],[FAKTINĖ PRADŽIA]],Informacija[[#This Row],[FAKTINĖ PABAIGA]],FALSE)</calculatedColumnFormula>
    </tableColumn>
    <tableColumn id="11" xr3:uid="{00000000-0010-0000-0100-00000B000000}" name="BENDRASIS PARTNERIS" dataDxfId="193" totalsRowDxfId="192">
      <calculatedColumnFormula>INDEX(Parametrai[],MATCH(Informacija[[#This Row],[PROJEKTO TIPAS]],Parametrai[PROJEKTO TIPAS],0),MATCH(Informacija[[#Headers],[BENDRASIS PARTNERIS]],Parametrai[#Headers],0))*INDEX('PROJEKTO PARAMETRAI'!$B$12:$H$12,1,MATCH(Informacija[[#Headers],[BENDRASIS PARTNERIS]],Parametrai[#Headers],0))*Informacija[[#This Row],[NUMATYTOS DARBO VALANDOS]]</calculatedColumnFormula>
    </tableColumn>
    <tableColumn id="12" xr3:uid="{00000000-0010-0000-0100-00000C000000}" name="VERSLO TEISININKAS" dataDxfId="191" totalsRowDxfId="190">
      <calculatedColumnFormula>INDEX(Parametrai[],MATCH(Informacija[[#This Row],[PROJEKTO TIPAS]],Parametrai[PROJEKTO TIPAS],0),MATCH(Informacija[[#Headers],[VERSLO TEISININKAS]],Parametrai[#Headers],0))*INDEX('PROJEKTO PARAMETRAI'!$B$12:$H$12,1,MATCH(Informacija[[#Headers],[VERSLO TEISININKAS]],Parametrai[#Headers],0))*Informacija[[#This Row],[NUMATYTOS DARBO VALANDOS]]</calculatedColumnFormula>
    </tableColumn>
    <tableColumn id="13" xr3:uid="{00000000-0010-0000-0100-00000D000000}" name="GYNYBOS ŠALIS TEISINIAME PROCESE" dataDxfId="189" totalsRowDxfId="188">
      <calculatedColumnFormula>INDEX(Parametrai[],MATCH(Informacija[[#This Row],[PROJEKTO TIPAS]],Parametrai[PROJEKTO TIPAS],0),MATCH(Informacija[[#Headers],[GYNYBOS ŠALIS TEISINIAME PROCESE]],Parametrai[#Headers],0))*INDEX('PROJEKTO PARAMETRAI'!$B$12:$H$12,1,MATCH(Informacija[[#Headers],[GYNYBOS ŠALIS TEISINIAME PROCESE]],Parametrai[#Headers],0))*Informacija[[#This Row],[NUMATYTOS DARBO VALANDOS]]</calculatedColumnFormula>
    </tableColumn>
    <tableColumn id="14" xr3:uid="{00000000-0010-0000-0100-00000E000000}" name="INTELEKTINĖS NUOSAVYBĖS TEISININKAS" dataDxfId="187" totalsRowDxfId="186">
      <calculatedColumnFormula>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Row],[NUMATYTOS DARBO VALANDOS]]</calculatedColumnFormula>
    </tableColumn>
    <tableColumn id="15" xr3:uid="{00000000-0010-0000-0100-00000F000000}" name="BANKROTO TEISININKAS" dataDxfId="185" totalsRowDxfId="184">
      <calculatedColumnFormula>INDEX(Parametrai[],MATCH(Informacija[[#This Row],[PROJEKTO TIPAS]],Parametrai[PROJEKTO TIPAS],0),MATCH(Informacija[[#Headers],[BANKROTO TEISININKAS]],Parametrai[#Headers],0))*INDEX('PROJEKTO PARAMETRAI'!$B$12:$H$12,1,MATCH(Informacija[[#Headers],[BANKROTO TEISININKAS]],Parametrai[#Headers],0))*Informacija[[#This Row],[NUMATYTOS DARBO VALANDOS]]</calculatedColumnFormula>
    </tableColumn>
    <tableColumn id="16" xr3:uid="{00000000-0010-0000-0100-000010000000}" name="ADMINISTRACIJOS DARBUOTOJAI" dataDxfId="183" totalsRowDxfId="182">
      <calculatedColumnFormula>INDEX(Parametrai[],MATCH(Informacija[[#This Row],[PROJEKTO TIPAS]],Parametrai[PROJEKTO TIPAS],0),MATCH(Informacija[[#Headers],[ADMINISTRACIJOS DARBUOTOJAI]],Parametrai[#Headers],0))*INDEX('PROJEKTO PARAMETRAI'!$B$12:$H$12,1,MATCH(Informacija[[#Headers],[ADMINISTRACIJOS DARBUOTOJAI]],Parametrai[#Headers],0))*Informacija[[#This Row],[NUMATYTOS DARBO VALANDOS]]</calculatedColumnFormula>
    </tableColumn>
    <tableColumn id="17" xr3:uid="{00000000-0010-0000-0100-000011000000}" name="2 BENDRASIS PARTNERIS" dataDxfId="181" totalsRowDxfId="180">
      <calculatedColumnFormula>INDEX(Parametrai[],MATCH(Informacija[[#This Row],[PROJEKTO TIPAS]],Parametrai[PROJEKTO TIPAS],0),MATCH(Informacija[[#Headers],[BENDRASIS PARTNERIS]],Parametrai[#Headers],0))*INDEX('PROJEKTO PARAMETRAI'!$B$12:$H$12,1,MATCH(Informacija[[#Headers],[BENDRASIS PARTNERIS]],Parametrai[#Headers],0))*Informacija[[#This Row],[FAKTINĖS DARBO VALANDOS]]</calculatedColumnFormula>
    </tableColumn>
    <tableColumn id="18" xr3:uid="{00000000-0010-0000-0100-000012000000}" name="2 VERSLO TEISININKAS" dataDxfId="179" totalsRowDxfId="178">
      <calculatedColumnFormula>INDEX(Parametrai[],MATCH(Informacija[[#This Row],[PROJEKTO TIPAS]],Parametrai[PROJEKTO TIPAS],0),MATCH(Informacija[[#Headers],[VERSLO TEISININKAS]],Parametrai[#Headers],0))*INDEX('PROJEKTO PARAMETRAI'!$B$12:$H$12,1,MATCH(Informacija[[#Headers],[VERSLO TEISININKAS]],Parametrai[#Headers],0))*Informacija[[#This Row],[FAKTINĖS DARBO VALANDOS]]</calculatedColumnFormula>
    </tableColumn>
    <tableColumn id="19" xr3:uid="{00000000-0010-0000-0100-000013000000}" name="2 GYNYBOS ŠALIS TEISINIAME PROCESE" dataDxfId="177" totalsRowDxfId="176">
      <calculatedColumnFormula>INDEX(Parametrai[],MATCH(Informacija[[#This Row],[PROJEKTO TIPAS]],Parametrai[PROJEKTO TIPAS],0),MATCH(Informacija[[#Headers],[GYNYBOS ŠALIS TEISINIAME PROCESE]],Parametrai[#Headers],0))*INDEX('PROJEKTO PARAMETRAI'!$B$12:$H$12,1,MATCH(Informacija[[#Headers],[GYNYBOS ŠALIS TEISINIAME PROCESE]],Parametrai[#Headers],0))*Informacija[[#This Row],[FAKTINĖS DARBO VALANDOS]]</calculatedColumnFormula>
    </tableColumn>
    <tableColumn id="20" xr3:uid="{00000000-0010-0000-0100-000014000000}" name="2 INTELEKTINĖS NUOSAVYBĖS TEISININKAS" dataDxfId="175" totalsRowDxfId="174">
      <calculatedColumnFormula>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Row],[FAKTINĖS DARBO VALANDOS]]</calculatedColumnFormula>
    </tableColumn>
    <tableColumn id="21" xr3:uid="{00000000-0010-0000-0100-000015000000}" name="2 BANKROTO TEISININKAS" dataDxfId="173" totalsRowDxfId="172">
      <calculatedColumnFormula>INDEX(Parametrai[],MATCH(Informacija[[#This Row],[PROJEKTO TIPAS]],Parametrai[PROJEKTO TIPAS],0),MATCH(Informacija[[#Headers],[BANKROTO TEISININKAS]],Parametrai[#Headers],0))*INDEX('PROJEKTO PARAMETRAI'!$B$12:$H$12,1,MATCH(Informacija[[#Headers],[BANKROTO TEISININKAS]],Parametrai[#Headers],0))*Informacija[[#This Row],[FAKTINĖS DARBO VALANDOS]]</calculatedColumnFormula>
    </tableColumn>
    <tableColumn id="22" xr3:uid="{00000000-0010-0000-0100-000016000000}" name="2 ADMINISTRACIJOS DARBUOTOJAS" dataDxfId="171" totalsRowDxfId="170">
      <calculatedColumnFormula>INDEX(Parametrai[],MATCH(Informacija[[#This Row],[PROJEKTO TIPAS]],Parametrai[PROJEKTO TIPAS],0),MATCH(Informacija[[#Headers],[ADMINISTRACIJOS DARBUOTOJAI]],Parametrai[#Headers],0))*INDEX('PROJEKTO PARAMETRAI'!$B$12:$H$12,1,MATCH(Informacija[[#Headers],[ADMINISTRACIJOS DARBUOTOJAI]],Parametrai[#Headers],0))*Informacija[[#This Row],[FAKTINĖS DARBO VALANDOS]]</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Šioje lentelėje įveskite projekto pavadinimą, numatomas pradžios ir pabaigos datas, faktines pradžios ir pabaigos datas bei numatomas ir faktines darbo apimties vertes. Pasirinkite projekto tipą. Numatoma ir faktinė trukmė bei suma apskaičiuojamos automatiškai"/>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2.75" x14ac:dyDescent="0.2"/>
  <cols>
    <col min="1" max="1" width="2.7109375" customWidth="1"/>
    <col min="2" max="2" width="74.42578125" customWidth="1"/>
    <col min="3" max="3" width="2.7109375" customWidth="1"/>
  </cols>
  <sheetData>
    <row r="1" spans="2:2" ht="19.5" x14ac:dyDescent="0.25">
      <c r="B1" s="18" t="s">
        <v>0</v>
      </c>
    </row>
    <row r="3" spans="2:2" ht="50.25" customHeight="1" x14ac:dyDescent="0.2">
      <c r="B3" s="19" t="s">
        <v>71</v>
      </c>
    </row>
    <row r="4" spans="2:2" ht="39" customHeight="1" x14ac:dyDescent="0.2">
      <c r="B4" s="19" t="s">
        <v>72</v>
      </c>
    </row>
    <row r="5" spans="2:2" ht="57.75" customHeight="1" x14ac:dyDescent="0.2">
      <c r="B5" s="19" t="s">
        <v>70</v>
      </c>
    </row>
    <row r="6" spans="2:2" ht="22.5" customHeight="1" x14ac:dyDescent="0.2">
      <c r="B6" s="20" t="s">
        <v>1</v>
      </c>
    </row>
    <row r="7" spans="2:2" ht="72.75" customHeight="1" x14ac:dyDescent="0.2">
      <c r="B7" s="19" t="s">
        <v>2</v>
      </c>
    </row>
    <row r="8" spans="2:2" ht="86.25" customHeight="1" x14ac:dyDescent="0.2">
      <c r="B8" s="19" t="s">
        <v>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sheetPr>
  <dimension ref="A1:I21"/>
  <sheetViews>
    <sheetView showGridLines="0" workbookViewId="0"/>
  </sheetViews>
  <sheetFormatPr defaultColWidth="9.140625" defaultRowHeight="14.25" x14ac:dyDescent="0.2"/>
  <cols>
    <col min="1" max="1" width="1.85546875" style="12" customWidth="1"/>
    <col min="2" max="2" width="29.28515625" style="5" customWidth="1"/>
    <col min="3" max="3" width="25.5703125" style="5" customWidth="1"/>
    <col min="4" max="4" width="20.85546875" style="5" bestFit="1" customWidth="1"/>
    <col min="5" max="5" width="22.42578125" style="5" bestFit="1" customWidth="1"/>
    <col min="6" max="6" width="25.140625" style="5" customWidth="1"/>
    <col min="7" max="7" width="24.7109375" style="5" customWidth="1"/>
    <col min="8" max="8" width="32.28515625" style="5" customWidth="1"/>
    <col min="9" max="9" width="9" style="5" customWidth="1"/>
    <col min="10" max="16384" width="9.140625" style="5"/>
  </cols>
  <sheetData>
    <row r="1" spans="1:9" ht="35.450000000000003" customHeight="1" x14ac:dyDescent="0.35">
      <c r="A1" s="12" t="s">
        <v>73</v>
      </c>
      <c r="B1" s="2" t="s">
        <v>8</v>
      </c>
      <c r="C1" s="2"/>
      <c r="D1" s="2"/>
      <c r="E1" s="2"/>
      <c r="F1" s="2"/>
      <c r="G1" s="2"/>
      <c r="H1" s="2"/>
      <c r="I1" s="2"/>
    </row>
    <row r="2" spans="1:9" ht="19.5" x14ac:dyDescent="0.25">
      <c r="A2" s="12" t="s">
        <v>4</v>
      </c>
      <c r="B2" s="3" t="s">
        <v>9</v>
      </c>
      <c r="C2" s="3"/>
      <c r="D2" s="3"/>
      <c r="E2" s="3"/>
      <c r="F2" s="3"/>
      <c r="G2" s="3"/>
      <c r="H2" s="3"/>
      <c r="I2" s="3"/>
    </row>
    <row r="3" spans="1:9" ht="15" x14ac:dyDescent="0.2">
      <c r="A3" s="12" t="s">
        <v>5</v>
      </c>
      <c r="B3" s="4" t="str">
        <f>B1&amp;" (konfidencialu)"</f>
        <v>Įmonės pavadinimas (konfidencialu)</v>
      </c>
      <c r="C3" s="4"/>
      <c r="D3" s="4"/>
      <c r="E3" s="4"/>
      <c r="F3" s="4"/>
      <c r="G3" s="4"/>
      <c r="H3" s="4"/>
      <c r="I3" s="4"/>
    </row>
    <row r="4" spans="1:9" ht="28.5" customHeight="1" x14ac:dyDescent="0.2">
      <c r="A4" s="12" t="s">
        <v>6</v>
      </c>
      <c r="B4" s="8" t="s">
        <v>10</v>
      </c>
    </row>
    <row r="5" spans="1:9" ht="25.5" x14ac:dyDescent="0.2">
      <c r="A5" s="12" t="s">
        <v>7</v>
      </c>
      <c r="B5" s="10" t="s">
        <v>11</v>
      </c>
      <c r="C5" s="10" t="s">
        <v>23</v>
      </c>
      <c r="D5" s="10" t="s">
        <v>24</v>
      </c>
      <c r="E5" s="10" t="s">
        <v>26</v>
      </c>
      <c r="F5" s="10" t="s">
        <v>27</v>
      </c>
      <c r="G5" s="10" t="s">
        <v>29</v>
      </c>
      <c r="H5" s="10" t="s">
        <v>31</v>
      </c>
      <c r="I5" s="10" t="s">
        <v>69</v>
      </c>
    </row>
    <row r="6" spans="1:9" x14ac:dyDescent="0.2">
      <c r="B6" s="5" t="s">
        <v>12</v>
      </c>
      <c r="C6" s="6">
        <v>0.1</v>
      </c>
      <c r="D6" s="6">
        <v>0.4</v>
      </c>
      <c r="E6" s="6">
        <v>0</v>
      </c>
      <c r="F6" s="6">
        <v>0</v>
      </c>
      <c r="G6" s="6">
        <v>0</v>
      </c>
      <c r="H6" s="6">
        <v>0.5</v>
      </c>
      <c r="I6" s="7">
        <f>SUM(Parametrai[[#This Row],[BENDRASIS PARTNERIS]:[ADMINISTRACIJOS DARBUOTOJAI]])</f>
        <v>1</v>
      </c>
    </row>
    <row r="7" spans="1:9" x14ac:dyDescent="0.2">
      <c r="B7" s="5" t="s">
        <v>13</v>
      </c>
      <c r="C7" s="6">
        <v>0.1</v>
      </c>
      <c r="D7" s="6">
        <v>0.4</v>
      </c>
      <c r="E7" s="6">
        <v>0</v>
      </c>
      <c r="F7" s="6">
        <v>0.1</v>
      </c>
      <c r="G7" s="6">
        <v>0</v>
      </c>
      <c r="H7" s="6">
        <v>0.4</v>
      </c>
      <c r="I7" s="7">
        <f>SUM(Parametrai[[#This Row],[BENDRASIS PARTNERIS]:[ADMINISTRACIJOS DARBUOTOJAI]])</f>
        <v>1</v>
      </c>
    </row>
    <row r="8" spans="1:9" x14ac:dyDescent="0.2">
      <c r="B8" s="5" t="s">
        <v>14</v>
      </c>
      <c r="C8" s="6">
        <v>0.2</v>
      </c>
      <c r="D8" s="6">
        <v>0</v>
      </c>
      <c r="E8" s="6">
        <v>0.5</v>
      </c>
      <c r="F8" s="6">
        <v>0</v>
      </c>
      <c r="G8" s="6">
        <v>0</v>
      </c>
      <c r="H8" s="6">
        <v>0.3</v>
      </c>
      <c r="I8" s="7">
        <f>SUM(Parametrai[[#This Row],[BENDRASIS PARTNERIS]:[ADMINISTRACIJOS DARBUOTOJAI]])</f>
        <v>1</v>
      </c>
    </row>
    <row r="9" spans="1:9" x14ac:dyDescent="0.2">
      <c r="B9" s="5" t="s">
        <v>15</v>
      </c>
      <c r="C9" s="6">
        <v>0.1</v>
      </c>
      <c r="D9" s="6">
        <v>0</v>
      </c>
      <c r="E9" s="6">
        <v>0</v>
      </c>
      <c r="F9" s="6">
        <v>0.6</v>
      </c>
      <c r="G9" s="6">
        <v>0</v>
      </c>
      <c r="H9" s="6">
        <v>0.3</v>
      </c>
      <c r="I9" s="7">
        <f>SUM(Parametrai[[#This Row],[BENDRASIS PARTNERIS]:[ADMINISTRACIJOS DARBUOTOJAI]])</f>
        <v>1</v>
      </c>
    </row>
    <row r="10" spans="1:9" x14ac:dyDescent="0.2">
      <c r="B10" s="5" t="s">
        <v>16</v>
      </c>
      <c r="C10" s="6">
        <v>0.2</v>
      </c>
      <c r="D10" s="6">
        <v>0.1</v>
      </c>
      <c r="E10" s="6">
        <v>0.4</v>
      </c>
      <c r="F10" s="6">
        <v>0</v>
      </c>
      <c r="G10" s="6">
        <v>0</v>
      </c>
      <c r="H10" s="6">
        <v>0.3</v>
      </c>
      <c r="I10" s="7">
        <f>SUM(Parametrai[[#This Row],[BENDRASIS PARTNERIS]:[ADMINISTRACIJOS DARBUOTOJAI]])</f>
        <v>1</v>
      </c>
    </row>
    <row r="11" spans="1:9" x14ac:dyDescent="0.2">
      <c r="B11" s="5" t="s">
        <v>17</v>
      </c>
      <c r="C11" s="6">
        <v>0.1</v>
      </c>
      <c r="D11" s="6">
        <v>0.2</v>
      </c>
      <c r="E11" s="6">
        <v>0</v>
      </c>
      <c r="F11" s="6">
        <v>0</v>
      </c>
      <c r="G11" s="6">
        <v>0.4</v>
      </c>
      <c r="H11" s="6">
        <v>0.3</v>
      </c>
      <c r="I11" s="7">
        <f>SUM(Parametrai[[#This Row],[BENDRASIS PARTNERIS]:[ADMINISTRACIJOS DARBUOTOJAI]])</f>
        <v>1</v>
      </c>
    </row>
    <row r="12" spans="1:9" ht="15" x14ac:dyDescent="0.2">
      <c r="A12" s="21" t="s">
        <v>74</v>
      </c>
      <c r="B12" s="5" t="s">
        <v>18</v>
      </c>
      <c r="C12" s="24">
        <v>350</v>
      </c>
      <c r="D12" s="24">
        <v>250</v>
      </c>
      <c r="E12" s="24">
        <v>300</v>
      </c>
      <c r="F12" s="24">
        <v>275</v>
      </c>
      <c r="G12" s="24">
        <v>225</v>
      </c>
      <c r="H12" s="24">
        <v>125</v>
      </c>
      <c r="I12" s="6"/>
    </row>
    <row r="14" spans="1:9" x14ac:dyDescent="0.2">
      <c r="A14" s="12" t="s">
        <v>75</v>
      </c>
      <c r="B14" s="12"/>
      <c r="C14" s="12"/>
      <c r="D14" s="12"/>
      <c r="E14" s="12"/>
      <c r="F14" s="12"/>
      <c r="G14" s="12"/>
      <c r="H14" s="12"/>
      <c r="I14" s="12"/>
    </row>
    <row r="15" spans="1:9" x14ac:dyDescent="0.2">
      <c r="B15" s="12"/>
      <c r="C15" s="12" t="s">
        <v>23</v>
      </c>
      <c r="D15" s="12" t="s">
        <v>25</v>
      </c>
      <c r="E15" s="12" t="s">
        <v>26</v>
      </c>
      <c r="F15" s="12" t="s">
        <v>28</v>
      </c>
      <c r="G15" s="12" t="s">
        <v>30</v>
      </c>
      <c r="H15" s="12" t="s">
        <v>31</v>
      </c>
      <c r="I15" s="12"/>
    </row>
    <row r="16" spans="1:9" x14ac:dyDescent="0.2">
      <c r="B16" s="12" t="s">
        <v>19</v>
      </c>
      <c r="C16" s="25">
        <f>SUBTOTAL(109,Informacija[BENDRASIS PARTNERIS])</f>
        <v>78750</v>
      </c>
      <c r="D16" s="25">
        <f>SUBTOTAL(109,Informacija[VERSLO TEISININKAS])</f>
        <v>66250</v>
      </c>
      <c r="E16" s="25">
        <f>SUBTOTAL(109,Informacija[GYNYBOS ŠALIS TEISINIAME PROCESE])</f>
        <v>105000</v>
      </c>
      <c r="F16" s="25">
        <f>SUBTOTAL(109,Informacija[INTELEKTINĖS NUOSAVYBĖS TEISININKAS])</f>
        <v>35750</v>
      </c>
      <c r="G16" s="25">
        <f>SUBTOTAL(109,Informacija[BANKROTO TEISININKAS])</f>
        <v>0</v>
      </c>
      <c r="H16" s="25">
        <f>SUBTOTAL(109,Informacija[ADMINISTRACIJOS DARBUOTOJAI])</f>
        <v>66250</v>
      </c>
      <c r="I16" s="12"/>
    </row>
    <row r="17" spans="2:9" x14ac:dyDescent="0.2">
      <c r="B17" s="12" t="s">
        <v>20</v>
      </c>
      <c r="C17" s="25">
        <f>SUBTOTAL(109,Informacija[2 BENDRASIS PARTNERIS])</f>
        <v>79275</v>
      </c>
      <c r="D17" s="25">
        <f>SUBTOTAL(109,Informacija[2 VERSLO TEISININKAS])</f>
        <v>67375</v>
      </c>
      <c r="E17" s="25">
        <f>SUBTOTAL(109,Informacija[2 GYNYBOS ŠALIS TEISINIAME PROCESE])</f>
        <v>105600</v>
      </c>
      <c r="F17" s="25">
        <f>SUBTOTAL(109,Informacija[2 INTELEKTINĖS NUOSAVYBĖS TEISININKAS])</f>
        <v>34650</v>
      </c>
      <c r="G17" s="25">
        <f>SUBTOTAL(109,Informacija[2 BANKROTO TEISININKAS])</f>
        <v>0</v>
      </c>
      <c r="H17" s="25">
        <f>SUBTOTAL(109,Informacija[2 ADMINISTRACIJOS DARBUOTOJAS])</f>
        <v>67000</v>
      </c>
      <c r="I17" s="12"/>
    </row>
    <row r="18" spans="2:9" x14ac:dyDescent="0.2">
      <c r="B18" s="12" t="s">
        <v>21</v>
      </c>
      <c r="C18" s="13">
        <f>C16/$C$12</f>
        <v>225</v>
      </c>
      <c r="D18" s="13">
        <f t="shared" ref="D18:H18" si="0">D16/$C$12</f>
        <v>189.28571428571428</v>
      </c>
      <c r="E18" s="13">
        <f t="shared" si="0"/>
        <v>300</v>
      </c>
      <c r="F18" s="13">
        <f t="shared" si="0"/>
        <v>102.14285714285714</v>
      </c>
      <c r="G18" s="13">
        <f t="shared" si="0"/>
        <v>0</v>
      </c>
      <c r="H18" s="13">
        <f t="shared" si="0"/>
        <v>189.28571428571428</v>
      </c>
      <c r="I18" s="12"/>
    </row>
    <row r="19" spans="2:9" x14ac:dyDescent="0.2">
      <c r="B19" s="12" t="s">
        <v>22</v>
      </c>
      <c r="C19" s="13">
        <f>C17/$C$12</f>
        <v>226.5</v>
      </c>
      <c r="D19" s="13">
        <f>D17/$C$12</f>
        <v>192.5</v>
      </c>
      <c r="E19" s="13">
        <f>E17/$C$12</f>
        <v>301.71428571428572</v>
      </c>
      <c r="F19" s="13">
        <f>F17/$C$12</f>
        <v>99</v>
      </c>
      <c r="G19" s="13">
        <f>G17/$C$12</f>
        <v>0</v>
      </c>
      <c r="H19" s="13">
        <f>H17/$C$12</f>
        <v>191.42857142857142</v>
      </c>
      <c r="I19" s="12"/>
    </row>
    <row r="20" spans="2:9" x14ac:dyDescent="0.2">
      <c r="B20" s="14"/>
      <c r="C20" s="14"/>
      <c r="D20" s="14"/>
      <c r="E20" s="14"/>
      <c r="F20" s="14"/>
      <c r="G20" s="14"/>
      <c r="H20" s="14"/>
      <c r="I20" s="14"/>
    </row>
    <row r="21" spans="2:9" x14ac:dyDescent="0.2">
      <c r="B21" s="14"/>
      <c r="C21" s="14"/>
      <c r="D21" s="14"/>
      <c r="E21" s="14"/>
      <c r="F21" s="14"/>
      <c r="G21" s="14"/>
      <c r="H21" s="14"/>
      <c r="I21" s="14"/>
    </row>
  </sheetData>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AC10"/>
  <sheetViews>
    <sheetView showGridLines="0" workbookViewId="0"/>
  </sheetViews>
  <sheetFormatPr defaultColWidth="9.140625" defaultRowHeight="14.25" x14ac:dyDescent="0.2"/>
  <cols>
    <col min="1" max="1" width="1.85546875" style="12" customWidth="1"/>
    <col min="2" max="2" width="25.5703125" style="1" customWidth="1"/>
    <col min="3" max="3" width="27.7109375" style="1" customWidth="1"/>
    <col min="4" max="7" width="11.85546875" style="1" customWidth="1"/>
    <col min="8" max="8" width="13.28515625" style="1" customWidth="1"/>
    <col min="9" max="9" width="12.42578125" style="1" customWidth="1"/>
    <col min="10" max="10" width="13.5703125" style="1" customWidth="1"/>
    <col min="11" max="11" width="10.28515625" style="1" bestFit="1" customWidth="1"/>
    <col min="12" max="12" width="13.140625" style="1" hidden="1" customWidth="1"/>
    <col min="13" max="13" width="14" style="1" hidden="1" customWidth="1"/>
    <col min="14" max="14" width="16.85546875" style="1" hidden="1" customWidth="1"/>
    <col min="15" max="15" width="15.140625" style="1" hidden="1" customWidth="1"/>
    <col min="16" max="16" width="14.85546875" style="1" hidden="1" customWidth="1"/>
    <col min="17" max="17" width="18.140625" style="1" hidden="1" customWidth="1"/>
    <col min="18" max="18" width="14.7109375" style="1" hidden="1" customWidth="1"/>
    <col min="19" max="19" width="15.28515625" style="1" hidden="1" customWidth="1"/>
    <col min="20" max="20" width="16.85546875" style="1" hidden="1" customWidth="1"/>
    <col min="21" max="21" width="16.42578125" style="1" hidden="1" customWidth="1"/>
    <col min="22" max="22" width="14.5703125" style="1" hidden="1" customWidth="1"/>
    <col min="23" max="23" width="19.85546875" style="1" hidden="1" customWidth="1"/>
    <col min="24" max="24" width="2.7109375" style="1" customWidth="1"/>
    <col min="25" max="16384" width="9.140625" style="1"/>
  </cols>
  <sheetData>
    <row r="1" spans="1:29" ht="35.450000000000003" customHeight="1" x14ac:dyDescent="0.35">
      <c r="A1" s="12" t="s">
        <v>76</v>
      </c>
      <c r="B1" s="2" t="str">
        <f>'PROJEKTO PARAMETRAI'!B1</f>
        <v>Įmonės pavadinimas</v>
      </c>
      <c r="C1" s="2"/>
      <c r="D1" s="2"/>
      <c r="E1" s="2"/>
      <c r="F1" s="2"/>
      <c r="G1" s="2"/>
      <c r="H1" s="2"/>
      <c r="I1" s="2"/>
      <c r="J1" s="2"/>
      <c r="K1" s="2"/>
    </row>
    <row r="2" spans="1:29" ht="19.5" x14ac:dyDescent="0.25">
      <c r="A2" s="12" t="s">
        <v>33</v>
      </c>
      <c r="B2" s="3" t="str">
        <f>'PROJEKTO PARAMETRAI'!B2</f>
        <v>Advokatų kontorų projekto planavimas</v>
      </c>
      <c r="C2" s="3"/>
      <c r="D2" s="3"/>
      <c r="E2" s="3"/>
      <c r="F2" s="3"/>
      <c r="G2" s="3"/>
      <c r="H2" s="3"/>
      <c r="I2" s="3"/>
      <c r="J2" s="3"/>
      <c r="K2" s="3"/>
      <c r="Y2" s="27" t="s">
        <v>78</v>
      </c>
      <c r="Z2" s="28"/>
      <c r="AA2" s="28"/>
      <c r="AB2" s="28"/>
      <c r="AC2" s="28"/>
    </row>
    <row r="3" spans="1:29" s="17" customFormat="1" ht="29.25" customHeight="1" x14ac:dyDescent="0.2">
      <c r="A3" s="21" t="s">
        <v>5</v>
      </c>
      <c r="B3" s="16" t="str">
        <f>'PROJEKTO PARAMETRAI'!B3</f>
        <v>Įmonės pavadinimas (konfidencialu)</v>
      </c>
      <c r="C3" s="16"/>
      <c r="D3" s="16"/>
      <c r="E3" s="16"/>
      <c r="F3" s="16"/>
      <c r="G3" s="16"/>
      <c r="H3" s="16"/>
      <c r="I3" s="16"/>
      <c r="J3" s="16"/>
      <c r="K3" s="16"/>
      <c r="Y3" s="28"/>
      <c r="Z3" s="28"/>
      <c r="AA3" s="28"/>
      <c r="AB3" s="28"/>
      <c r="AC3" s="28"/>
    </row>
    <row r="4" spans="1:29" ht="38.25" x14ac:dyDescent="0.2">
      <c r="A4" s="21" t="s">
        <v>77</v>
      </c>
      <c r="B4" s="15" t="s">
        <v>34</v>
      </c>
      <c r="C4" s="15" t="s">
        <v>11</v>
      </c>
      <c r="D4" s="15" t="s">
        <v>40</v>
      </c>
      <c r="E4" s="15" t="s">
        <v>41</v>
      </c>
      <c r="F4" s="15" t="s">
        <v>42</v>
      </c>
      <c r="G4" s="15" t="s">
        <v>43</v>
      </c>
      <c r="H4" s="15" t="s">
        <v>44</v>
      </c>
      <c r="I4" s="15" t="s">
        <v>45</v>
      </c>
      <c r="J4" s="15" t="s">
        <v>46</v>
      </c>
      <c r="K4" s="15" t="s">
        <v>47</v>
      </c>
      <c r="L4" s="15" t="s">
        <v>23</v>
      </c>
      <c r="M4" s="15" t="s">
        <v>24</v>
      </c>
      <c r="N4" s="15" t="s">
        <v>26</v>
      </c>
      <c r="O4" s="15" t="s">
        <v>27</v>
      </c>
      <c r="P4" s="15" t="s">
        <v>29</v>
      </c>
      <c r="Q4" s="15" t="s">
        <v>31</v>
      </c>
      <c r="R4" s="15" t="s">
        <v>48</v>
      </c>
      <c r="S4" s="15" t="s">
        <v>49</v>
      </c>
      <c r="T4" s="15" t="s">
        <v>50</v>
      </c>
      <c r="U4" s="15" t="s">
        <v>51</v>
      </c>
      <c r="V4" s="15" t="s">
        <v>52</v>
      </c>
      <c r="W4" s="15" t="s">
        <v>53</v>
      </c>
      <c r="Y4" s="28"/>
      <c r="Z4" s="28"/>
      <c r="AA4" s="28"/>
      <c r="AB4" s="28"/>
      <c r="AC4" s="28"/>
    </row>
    <row r="5" spans="1:29" x14ac:dyDescent="0.2">
      <c r="B5" t="s">
        <v>35</v>
      </c>
      <c r="C5" t="s">
        <v>12</v>
      </c>
      <c r="D5" s="9">
        <f ca="1">TODAY()</f>
        <v>43516</v>
      </c>
      <c r="E5" s="9">
        <f ca="1">TODAY()+60</f>
        <v>43576</v>
      </c>
      <c r="F5" s="9">
        <f ca="1">TODAY()+10</f>
        <v>43526</v>
      </c>
      <c r="G5" s="9">
        <f ca="1">TODAY()+65</f>
        <v>43581</v>
      </c>
      <c r="H5">
        <v>200</v>
      </c>
      <c r="I5">
        <v>220</v>
      </c>
      <c r="J5">
        <f ca="1">DAYS360(Informacija[[#This Row],[NUMATOMA PRADŽIA]],Informacija[[#This Row],[NUMATOMA PABAIGA]],FALSE)</f>
        <v>61</v>
      </c>
      <c r="K5">
        <f ca="1">DAYS360(Informacija[[#This Row],[FAKTINĖ PRADŽIA]],Informacija[[#This Row],[FAKTINĖ PABAIGA]],FALSE)</f>
        <v>54</v>
      </c>
      <c r="L5" s="23">
        <f>INDEX(Parametrai[],MATCH(Informacija[[#This Row],[PROJEKTO TIPAS]],Parametrai[PROJEKTO TIPAS],0),MATCH(Informacija[[#Headers],[BENDRASIS PARTNERIS]],Parametrai[#Headers],0))*INDEX('PROJEKTO PARAMETRAI'!$B$12:$H$12,1,MATCH(Informacija[[#Headers],[BENDRASIS PARTNERIS]],Parametrai[#Headers],0))*Informacija[[#This Row],[NUMATYTOS DARBO VALANDOS]]</f>
        <v>7000</v>
      </c>
      <c r="M5" s="23">
        <f>INDEX(Parametrai[],MATCH(Informacija[[#This Row],[PROJEKTO TIPAS]],Parametrai[PROJEKTO TIPAS],0),MATCH(Informacija[[#Headers],[VERSLO TEISININKAS]],Parametrai[#Headers],0))*INDEX('PROJEKTO PARAMETRAI'!$B$12:$H$12,1,MATCH(Informacija[[#Headers],[VERSLO TEISININKAS]],Parametrai[#Headers],0))*Informacija[[#This Row],[NUMATYTOS DARBO VALANDOS]]</f>
        <v>20000</v>
      </c>
      <c r="N5"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Row],[NUMATYTOS DARBO VALANDOS]]</f>
        <v>0</v>
      </c>
      <c r="O5"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Row],[NUMATYTOS DARBO VALANDOS]]</f>
        <v>0</v>
      </c>
      <c r="P5" s="23">
        <f>INDEX(Parametrai[],MATCH(Informacija[[#This Row],[PROJEKTO TIPAS]],Parametrai[PROJEKTO TIPAS],0),MATCH(Informacija[[#Headers],[BANKROTO TEISININKAS]],Parametrai[#Headers],0))*INDEX('PROJEKTO PARAMETRAI'!$B$12:$H$12,1,MATCH(Informacija[[#Headers],[BANKROTO TEISININKAS]],Parametrai[#Headers],0))*Informacija[[#This Row],[NUMATYTOS DARBO VALANDOS]]</f>
        <v>0</v>
      </c>
      <c r="Q5" s="23">
        <f>INDEX(Parametrai[],MATCH(Informacija[[#This Row],[PROJEKTO TIPAS]],Parametrai[PROJEKTO TIPAS],0),MATCH(Informacija[[#Headers],[ADMINISTRACIJOS DARBUOTOJAI]],Parametrai[#Headers],0))*INDEX('PROJEKTO PARAMETRAI'!$B$12:$H$12,1,MATCH(Informacija[[#Headers],[ADMINISTRACIJOS DARBUOTOJAI]],Parametrai[#Headers],0))*Informacija[[#This Row],[NUMATYTOS DARBO VALANDOS]]</f>
        <v>12500</v>
      </c>
      <c r="R5" s="23">
        <f>INDEX(Parametrai[],MATCH(Informacija[[#This Row],[PROJEKTO TIPAS]],Parametrai[PROJEKTO TIPAS],0),MATCH(Informacija[[#Headers],[BENDRASIS PARTNERIS]],Parametrai[#Headers],0))*INDEX('PROJEKTO PARAMETRAI'!$B$12:$H$12,1,MATCH(Informacija[[#Headers],[BENDRASIS PARTNERIS]],Parametrai[#Headers],0))*Informacija[[#This Row],[FAKTINĖS DARBO VALANDOS]]</f>
        <v>7700</v>
      </c>
      <c r="S5" s="23">
        <f>INDEX(Parametrai[],MATCH(Informacija[[#This Row],[PROJEKTO TIPAS]],Parametrai[PROJEKTO TIPAS],0),MATCH(Informacija[[#Headers],[VERSLO TEISININKAS]],Parametrai[#Headers],0))*INDEX('PROJEKTO PARAMETRAI'!$B$12:$H$12,1,MATCH(Informacija[[#Headers],[VERSLO TEISININKAS]],Parametrai[#Headers],0))*Informacija[[#This Row],[FAKTINĖS DARBO VALANDOS]]</f>
        <v>22000</v>
      </c>
      <c r="T5"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Row],[FAKTINĖS DARBO VALANDOS]]</f>
        <v>0</v>
      </c>
      <c r="U5"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Row],[FAKTINĖS DARBO VALANDOS]]</f>
        <v>0</v>
      </c>
      <c r="V5" s="23">
        <f>INDEX(Parametrai[],MATCH(Informacija[[#This Row],[PROJEKTO TIPAS]],Parametrai[PROJEKTO TIPAS],0),MATCH(Informacija[[#Headers],[BANKROTO TEISININKAS]],Parametrai[#Headers],0))*INDEX('PROJEKTO PARAMETRAI'!$B$12:$H$12,1,MATCH(Informacija[[#Headers],[BANKROTO TEISININKAS]],Parametrai[#Headers],0))*Informacija[[#This Row],[FAKTINĖS DARBO VALANDOS]]</f>
        <v>0</v>
      </c>
      <c r="W5" s="23">
        <f>INDEX(Parametrai[],MATCH(Informacija[[#This Row],[PROJEKTO TIPAS]],Parametrai[PROJEKTO TIPAS],0),MATCH(Informacija[[#Headers],[ADMINISTRACIJOS DARBUOTOJAI]],Parametrai[#Headers],0))*INDEX('PROJEKTO PARAMETRAI'!$B$12:$H$12,1,MATCH(Informacija[[#Headers],[ADMINISTRACIJOS DARBUOTOJAI]],Parametrai[#Headers],0))*Informacija[[#This Row],[FAKTINĖS DARBO VALANDOS]]</f>
        <v>13750</v>
      </c>
      <c r="Y5" s="28"/>
      <c r="Z5" s="28"/>
      <c r="AA5" s="28"/>
      <c r="AB5" s="28"/>
      <c r="AC5" s="28"/>
    </row>
    <row r="6" spans="1:29" x14ac:dyDescent="0.2">
      <c r="B6" t="s">
        <v>36</v>
      </c>
      <c r="C6" t="s">
        <v>13</v>
      </c>
      <c r="D6" s="9">
        <f ca="1">TODAY()+30</f>
        <v>43546</v>
      </c>
      <c r="E6" s="9">
        <f ca="1">TODAY()+100</f>
        <v>43616</v>
      </c>
      <c r="F6" s="9">
        <f ca="1">TODAY()+40</f>
        <v>43556</v>
      </c>
      <c r="G6" s="9">
        <f ca="1">TODAY()+110</f>
        <v>43626</v>
      </c>
      <c r="H6">
        <v>400</v>
      </c>
      <c r="I6">
        <v>390</v>
      </c>
      <c r="J6">
        <f ca="1">DAYS360(Informacija[[#This Row],[NUMATOMA PRADŽIA]],Informacija[[#This Row],[NUMATOMA PABAIGA]],FALSE)</f>
        <v>69</v>
      </c>
      <c r="K6">
        <f ca="1">DAYS360(Informacija[[#This Row],[FAKTINĖ PRADŽIA]],Informacija[[#This Row],[FAKTINĖ PABAIGA]],FALSE)</f>
        <v>69</v>
      </c>
      <c r="L6" s="23">
        <f>INDEX(Parametrai[],MATCH(Informacija[[#This Row],[PROJEKTO TIPAS]],Parametrai[PROJEKTO TIPAS],0),MATCH(Informacija[[#Headers],[BENDRASIS PARTNERIS]],Parametrai[#Headers],0))*INDEX('PROJEKTO PARAMETRAI'!$B$12:$H$12,1,MATCH(Informacija[[#Headers],[BENDRASIS PARTNERIS]],Parametrai[#Headers],0))*Informacija[[#This Row],[NUMATYTOS DARBO VALANDOS]]</f>
        <v>14000</v>
      </c>
      <c r="M6" s="23">
        <f>INDEX(Parametrai[],MATCH(Informacija[[#This Row],[PROJEKTO TIPAS]],Parametrai[PROJEKTO TIPAS],0),MATCH(Informacija[[#Headers],[VERSLO TEISININKAS]],Parametrai[#Headers],0))*INDEX('PROJEKTO PARAMETRAI'!$B$12:$H$12,1,MATCH(Informacija[[#Headers],[VERSLO TEISININKAS]],Parametrai[#Headers],0))*Informacija[[#This Row],[NUMATYTOS DARBO VALANDOS]]</f>
        <v>40000</v>
      </c>
      <c r="N6"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Row],[NUMATYTOS DARBO VALANDOS]]</f>
        <v>0</v>
      </c>
      <c r="O6"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Row],[NUMATYTOS DARBO VALANDOS]]</f>
        <v>11000</v>
      </c>
      <c r="P6" s="23">
        <f>INDEX(Parametrai[],MATCH(Informacija[[#This Row],[PROJEKTO TIPAS]],Parametrai[PROJEKTO TIPAS],0),MATCH(Informacija[[#Headers],[BANKROTO TEISININKAS]],Parametrai[#Headers],0))*INDEX('PROJEKTO PARAMETRAI'!$B$12:$H$12,1,MATCH(Informacija[[#Headers],[BANKROTO TEISININKAS]],Parametrai[#Headers],0))*Informacija[[#This Row],[NUMATYTOS DARBO VALANDOS]]</f>
        <v>0</v>
      </c>
      <c r="Q6" s="23">
        <f>INDEX(Parametrai[],MATCH(Informacija[[#This Row],[PROJEKTO TIPAS]],Parametrai[PROJEKTO TIPAS],0),MATCH(Informacija[[#Headers],[ADMINISTRACIJOS DARBUOTOJAI]],Parametrai[#Headers],0))*INDEX('PROJEKTO PARAMETRAI'!$B$12:$H$12,1,MATCH(Informacija[[#Headers],[ADMINISTRACIJOS DARBUOTOJAI]],Parametrai[#Headers],0))*Informacija[[#This Row],[NUMATYTOS DARBO VALANDOS]]</f>
        <v>20000</v>
      </c>
      <c r="R6" s="23">
        <f>INDEX(Parametrai[],MATCH(Informacija[[#This Row],[PROJEKTO TIPAS]],Parametrai[PROJEKTO TIPAS],0),MATCH(Informacija[[#Headers],[BENDRASIS PARTNERIS]],Parametrai[#Headers],0))*INDEX('PROJEKTO PARAMETRAI'!$B$12:$H$12,1,MATCH(Informacija[[#Headers],[BENDRASIS PARTNERIS]],Parametrai[#Headers],0))*Informacija[[#This Row],[FAKTINĖS DARBO VALANDOS]]</f>
        <v>13650</v>
      </c>
      <c r="S6" s="23">
        <f>INDEX(Parametrai[],MATCH(Informacija[[#This Row],[PROJEKTO TIPAS]],Parametrai[PROJEKTO TIPAS],0),MATCH(Informacija[[#Headers],[VERSLO TEISININKAS]],Parametrai[#Headers],0))*INDEX('PROJEKTO PARAMETRAI'!$B$12:$H$12,1,MATCH(Informacija[[#Headers],[VERSLO TEISININKAS]],Parametrai[#Headers],0))*Informacija[[#This Row],[FAKTINĖS DARBO VALANDOS]]</f>
        <v>39000</v>
      </c>
      <c r="T6"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Row],[FAKTINĖS DARBO VALANDOS]]</f>
        <v>0</v>
      </c>
      <c r="U6"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Row],[FAKTINĖS DARBO VALANDOS]]</f>
        <v>10725</v>
      </c>
      <c r="V6" s="23">
        <f>INDEX(Parametrai[],MATCH(Informacija[[#This Row],[PROJEKTO TIPAS]],Parametrai[PROJEKTO TIPAS],0),MATCH(Informacija[[#Headers],[BANKROTO TEISININKAS]],Parametrai[#Headers],0))*INDEX('PROJEKTO PARAMETRAI'!$B$12:$H$12,1,MATCH(Informacija[[#Headers],[BANKROTO TEISININKAS]],Parametrai[#Headers],0))*Informacija[[#This Row],[FAKTINĖS DARBO VALANDOS]]</f>
        <v>0</v>
      </c>
      <c r="W6" s="23">
        <f>INDEX(Parametrai[],MATCH(Informacija[[#This Row],[PROJEKTO TIPAS]],Parametrai[PROJEKTO TIPAS],0),MATCH(Informacija[[#Headers],[ADMINISTRACIJOS DARBUOTOJAI]],Parametrai[#Headers],0))*INDEX('PROJEKTO PARAMETRAI'!$B$12:$H$12,1,MATCH(Informacija[[#Headers],[ADMINISTRACIJOS DARBUOTOJAI]],Parametrai[#Headers],0))*Informacija[[#This Row],[FAKTINĖS DARBO VALANDOS]]</f>
        <v>19500</v>
      </c>
      <c r="Y6" s="28"/>
      <c r="Z6" s="28"/>
      <c r="AA6" s="28"/>
      <c r="AB6" s="28"/>
      <c r="AC6" s="28"/>
    </row>
    <row r="7" spans="1:29" x14ac:dyDescent="0.2">
      <c r="B7" t="s">
        <v>37</v>
      </c>
      <c r="C7" t="s">
        <v>14</v>
      </c>
      <c r="D7" s="9">
        <f ca="1">TODAY()+150</f>
        <v>43666</v>
      </c>
      <c r="E7" s="9">
        <f ca="1">TODAY()+150</f>
        <v>43666</v>
      </c>
      <c r="F7" s="9">
        <f ca="1">TODAY()+150</f>
        <v>43666</v>
      </c>
      <c r="G7" s="9">
        <f ca="1">TODAY()+170</f>
        <v>43686</v>
      </c>
      <c r="H7">
        <v>500</v>
      </c>
      <c r="I7">
        <v>500</v>
      </c>
      <c r="J7">
        <f ca="1">DAYS360(Informacija[[#This Row],[NUMATOMA PRADŽIA]],Informacija[[#This Row],[NUMATOMA PABAIGA]],FALSE)</f>
        <v>0</v>
      </c>
      <c r="K7">
        <f ca="1">DAYS360(Informacija[[#This Row],[FAKTINĖ PRADŽIA]],Informacija[[#This Row],[FAKTINĖ PABAIGA]],FALSE)</f>
        <v>19</v>
      </c>
      <c r="L7" s="23">
        <f>INDEX(Parametrai[],MATCH(Informacija[[#This Row],[PROJEKTO TIPAS]],Parametrai[PROJEKTO TIPAS],0),MATCH(Informacija[[#Headers],[BENDRASIS PARTNERIS]],Parametrai[#Headers],0))*INDEX('PROJEKTO PARAMETRAI'!$B$12:$H$12,1,MATCH(Informacija[[#Headers],[BENDRASIS PARTNERIS]],Parametrai[#Headers],0))*Informacija[[#This Row],[NUMATYTOS DARBO VALANDOS]]</f>
        <v>35000</v>
      </c>
      <c r="M7" s="23">
        <f>INDEX(Parametrai[],MATCH(Informacija[[#This Row],[PROJEKTO TIPAS]],Parametrai[PROJEKTO TIPAS],0),MATCH(Informacija[[#Headers],[VERSLO TEISININKAS]],Parametrai[#Headers],0))*INDEX('PROJEKTO PARAMETRAI'!$B$12:$H$12,1,MATCH(Informacija[[#Headers],[VERSLO TEISININKAS]],Parametrai[#Headers],0))*Informacija[[#This Row],[NUMATYTOS DARBO VALANDOS]]</f>
        <v>0</v>
      </c>
      <c r="N7"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Row],[NUMATYTOS DARBO VALANDOS]]</f>
        <v>75000</v>
      </c>
      <c r="O7"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Row],[NUMATYTOS DARBO VALANDOS]]</f>
        <v>0</v>
      </c>
      <c r="P7" s="23">
        <f>INDEX(Parametrai[],MATCH(Informacija[[#This Row],[PROJEKTO TIPAS]],Parametrai[PROJEKTO TIPAS],0),MATCH(Informacija[[#Headers],[BANKROTO TEISININKAS]],Parametrai[#Headers],0))*INDEX('PROJEKTO PARAMETRAI'!$B$12:$H$12,1,MATCH(Informacija[[#Headers],[BANKROTO TEISININKAS]],Parametrai[#Headers],0))*Informacija[[#This Row],[NUMATYTOS DARBO VALANDOS]]</f>
        <v>0</v>
      </c>
      <c r="Q7" s="23">
        <f>INDEX(Parametrai[],MATCH(Informacija[[#This Row],[PROJEKTO TIPAS]],Parametrai[PROJEKTO TIPAS],0),MATCH(Informacija[[#Headers],[ADMINISTRACIJOS DARBUOTOJAI]],Parametrai[#Headers],0))*INDEX('PROJEKTO PARAMETRAI'!$B$12:$H$12,1,MATCH(Informacija[[#Headers],[ADMINISTRACIJOS DARBUOTOJAI]],Parametrai[#Headers],0))*Informacija[[#This Row],[NUMATYTOS DARBO VALANDOS]]</f>
        <v>18750</v>
      </c>
      <c r="R7" s="23">
        <f>INDEX(Parametrai[],MATCH(Informacija[[#This Row],[PROJEKTO TIPAS]],Parametrai[PROJEKTO TIPAS],0),MATCH(Informacija[[#Headers],[BENDRASIS PARTNERIS]],Parametrai[#Headers],0))*INDEX('PROJEKTO PARAMETRAI'!$B$12:$H$12,1,MATCH(Informacija[[#Headers],[BENDRASIS PARTNERIS]],Parametrai[#Headers],0))*Informacija[[#This Row],[FAKTINĖS DARBO VALANDOS]]</f>
        <v>35000</v>
      </c>
      <c r="S7" s="23">
        <f>INDEX(Parametrai[],MATCH(Informacija[[#This Row],[PROJEKTO TIPAS]],Parametrai[PROJEKTO TIPAS],0),MATCH(Informacija[[#Headers],[VERSLO TEISININKAS]],Parametrai[#Headers],0))*INDEX('PROJEKTO PARAMETRAI'!$B$12:$H$12,1,MATCH(Informacija[[#Headers],[VERSLO TEISININKAS]],Parametrai[#Headers],0))*Informacija[[#This Row],[FAKTINĖS DARBO VALANDOS]]</f>
        <v>0</v>
      </c>
      <c r="T7"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Row],[FAKTINĖS DARBO VALANDOS]]</f>
        <v>75000</v>
      </c>
      <c r="U7"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Row],[FAKTINĖS DARBO VALANDOS]]</f>
        <v>0</v>
      </c>
      <c r="V7" s="23">
        <f>INDEX(Parametrai[],MATCH(Informacija[[#This Row],[PROJEKTO TIPAS]],Parametrai[PROJEKTO TIPAS],0),MATCH(Informacija[[#Headers],[BANKROTO TEISININKAS]],Parametrai[#Headers],0))*INDEX('PROJEKTO PARAMETRAI'!$B$12:$H$12,1,MATCH(Informacija[[#Headers],[BANKROTO TEISININKAS]],Parametrai[#Headers],0))*Informacija[[#This Row],[FAKTINĖS DARBO VALANDOS]]</f>
        <v>0</v>
      </c>
      <c r="W7" s="23">
        <f>INDEX(Parametrai[],MATCH(Informacija[[#This Row],[PROJEKTO TIPAS]],Parametrai[PROJEKTO TIPAS],0),MATCH(Informacija[[#Headers],[ADMINISTRACIJOS DARBUOTOJAI]],Parametrai[#Headers],0))*INDEX('PROJEKTO PARAMETRAI'!$B$12:$H$12,1,MATCH(Informacija[[#Headers],[ADMINISTRACIJOS DARBUOTOJAI]],Parametrai[#Headers],0))*Informacija[[#This Row],[FAKTINĖS DARBO VALANDOS]]</f>
        <v>18750</v>
      </c>
      <c r="Y7" s="28"/>
      <c r="Z7" s="28"/>
      <c r="AA7" s="28"/>
      <c r="AB7" s="28"/>
      <c r="AC7" s="28"/>
    </row>
    <row r="8" spans="1:29" x14ac:dyDescent="0.2">
      <c r="B8" t="s">
        <v>38</v>
      </c>
      <c r="C8" t="s">
        <v>15</v>
      </c>
      <c r="D8" s="9">
        <f ca="1">TODAY()+200</f>
        <v>43716</v>
      </c>
      <c r="E8" s="9">
        <f ca="1">TODAY()+230</f>
        <v>43746</v>
      </c>
      <c r="F8" s="9">
        <f ca="1">TODAY()+230</f>
        <v>43746</v>
      </c>
      <c r="G8" s="9">
        <f ca="1">TODAY()+230</f>
        <v>43746</v>
      </c>
      <c r="H8">
        <v>150</v>
      </c>
      <c r="I8">
        <v>145</v>
      </c>
      <c r="J8">
        <f ca="1">DAYS360(Informacija[[#This Row],[NUMATOMA PRADŽIA]],Informacija[[#This Row],[NUMATOMA PABAIGA]],FALSE)</f>
        <v>30</v>
      </c>
      <c r="K8">
        <f ca="1">DAYS360(Informacija[[#This Row],[FAKTINĖ PRADŽIA]],Informacija[[#This Row],[FAKTINĖ PABAIGA]],FALSE)</f>
        <v>0</v>
      </c>
      <c r="L8" s="23">
        <f>INDEX(Parametrai[],MATCH(Informacija[[#This Row],[PROJEKTO TIPAS]],Parametrai[PROJEKTO TIPAS],0),MATCH(Informacija[[#Headers],[BENDRASIS PARTNERIS]],Parametrai[#Headers],0))*INDEX('PROJEKTO PARAMETRAI'!$B$12:$H$12,1,MATCH(Informacija[[#Headers],[BENDRASIS PARTNERIS]],Parametrai[#Headers],0))*Informacija[[#This Row],[NUMATYTOS DARBO VALANDOS]]</f>
        <v>5250</v>
      </c>
      <c r="M8" s="23">
        <f>INDEX(Parametrai[],MATCH(Informacija[[#This Row],[PROJEKTO TIPAS]],Parametrai[PROJEKTO TIPAS],0),MATCH(Informacija[[#Headers],[VERSLO TEISININKAS]],Parametrai[#Headers],0))*INDEX('PROJEKTO PARAMETRAI'!$B$12:$H$12,1,MATCH(Informacija[[#Headers],[VERSLO TEISININKAS]],Parametrai[#Headers],0))*Informacija[[#This Row],[NUMATYTOS DARBO VALANDOS]]</f>
        <v>0</v>
      </c>
      <c r="N8"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Row],[NUMATYTOS DARBO VALANDOS]]</f>
        <v>0</v>
      </c>
      <c r="O8"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Row],[NUMATYTOS DARBO VALANDOS]]</f>
        <v>24750</v>
      </c>
      <c r="P8" s="23">
        <f>INDEX(Parametrai[],MATCH(Informacija[[#This Row],[PROJEKTO TIPAS]],Parametrai[PROJEKTO TIPAS],0),MATCH(Informacija[[#Headers],[BANKROTO TEISININKAS]],Parametrai[#Headers],0))*INDEX('PROJEKTO PARAMETRAI'!$B$12:$H$12,1,MATCH(Informacija[[#Headers],[BANKROTO TEISININKAS]],Parametrai[#Headers],0))*Informacija[[#This Row],[NUMATYTOS DARBO VALANDOS]]</f>
        <v>0</v>
      </c>
      <c r="Q8" s="23">
        <f>INDEX(Parametrai[],MATCH(Informacija[[#This Row],[PROJEKTO TIPAS]],Parametrai[PROJEKTO TIPAS],0),MATCH(Informacija[[#Headers],[ADMINISTRACIJOS DARBUOTOJAI]],Parametrai[#Headers],0))*INDEX('PROJEKTO PARAMETRAI'!$B$12:$H$12,1,MATCH(Informacija[[#Headers],[ADMINISTRACIJOS DARBUOTOJAI]],Parametrai[#Headers],0))*Informacija[[#This Row],[NUMATYTOS DARBO VALANDOS]]</f>
        <v>5625</v>
      </c>
      <c r="R8" s="23">
        <f>INDEX(Parametrai[],MATCH(Informacija[[#This Row],[PROJEKTO TIPAS]],Parametrai[PROJEKTO TIPAS],0),MATCH(Informacija[[#Headers],[BENDRASIS PARTNERIS]],Parametrai[#Headers],0))*INDEX('PROJEKTO PARAMETRAI'!$B$12:$H$12,1,MATCH(Informacija[[#Headers],[BENDRASIS PARTNERIS]],Parametrai[#Headers],0))*Informacija[[#This Row],[FAKTINĖS DARBO VALANDOS]]</f>
        <v>5075</v>
      </c>
      <c r="S8" s="23">
        <f>INDEX(Parametrai[],MATCH(Informacija[[#This Row],[PROJEKTO TIPAS]],Parametrai[PROJEKTO TIPAS],0),MATCH(Informacija[[#Headers],[VERSLO TEISININKAS]],Parametrai[#Headers],0))*INDEX('PROJEKTO PARAMETRAI'!$B$12:$H$12,1,MATCH(Informacija[[#Headers],[VERSLO TEISININKAS]],Parametrai[#Headers],0))*Informacija[[#This Row],[FAKTINĖS DARBO VALANDOS]]</f>
        <v>0</v>
      </c>
      <c r="T8"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Row],[FAKTINĖS DARBO VALANDOS]]</f>
        <v>0</v>
      </c>
      <c r="U8"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Row],[FAKTINĖS DARBO VALANDOS]]</f>
        <v>23925</v>
      </c>
      <c r="V8" s="23">
        <f>INDEX(Parametrai[],MATCH(Informacija[[#This Row],[PROJEKTO TIPAS]],Parametrai[PROJEKTO TIPAS],0),MATCH(Informacija[[#Headers],[BANKROTO TEISININKAS]],Parametrai[#Headers],0))*INDEX('PROJEKTO PARAMETRAI'!$B$12:$H$12,1,MATCH(Informacija[[#Headers],[BANKROTO TEISININKAS]],Parametrai[#Headers],0))*Informacija[[#This Row],[FAKTINĖS DARBO VALANDOS]]</f>
        <v>0</v>
      </c>
      <c r="W8" s="23">
        <f>INDEX(Parametrai[],MATCH(Informacija[[#This Row],[PROJEKTO TIPAS]],Parametrai[PROJEKTO TIPAS],0),MATCH(Informacija[[#Headers],[ADMINISTRACIJOS DARBUOTOJAI]],Parametrai[#Headers],0))*INDEX('PROJEKTO PARAMETRAI'!$B$12:$H$12,1,MATCH(Informacija[[#Headers],[ADMINISTRACIJOS DARBUOTOJAI]],Parametrai[#Headers],0))*Informacija[[#This Row],[FAKTINĖS DARBO VALANDOS]]</f>
        <v>5437.5</v>
      </c>
      <c r="Y8" s="28"/>
      <c r="Z8" s="28"/>
      <c r="AA8" s="28"/>
      <c r="AB8" s="28"/>
      <c r="AC8" s="28"/>
    </row>
    <row r="9" spans="1:29" x14ac:dyDescent="0.2">
      <c r="B9" t="s">
        <v>39</v>
      </c>
      <c r="C9" t="s">
        <v>16</v>
      </c>
      <c r="D9" s="9">
        <f ca="1">TODAY()+220</f>
        <v>43736</v>
      </c>
      <c r="E9" s="9">
        <f ca="1">TODAY()+250</f>
        <v>43766</v>
      </c>
      <c r="F9" s="9">
        <f ca="1">TODAY()+230</f>
        <v>43746</v>
      </c>
      <c r="G9" s="9">
        <f ca="1">TODAY()+259</f>
        <v>43775</v>
      </c>
      <c r="H9">
        <v>250</v>
      </c>
      <c r="I9">
        <v>255</v>
      </c>
      <c r="J9">
        <f ca="1">DAYS360(Informacija[[#This Row],[NUMATOMA PRADŽIA]],Informacija[[#This Row],[NUMATOMA PABAIGA]],FALSE)</f>
        <v>30</v>
      </c>
      <c r="K9">
        <f ca="1">DAYS360(Informacija[[#This Row],[FAKTINĖ PRADŽIA]],Informacija[[#This Row],[FAKTINĖ PABAIGA]],FALSE)</f>
        <v>28</v>
      </c>
      <c r="L9" s="23">
        <f>INDEX(Parametrai[],MATCH(Informacija[[#This Row],[PROJEKTO TIPAS]],Parametrai[PROJEKTO TIPAS],0),MATCH(Informacija[[#Headers],[BENDRASIS PARTNERIS]],Parametrai[#Headers],0))*INDEX('PROJEKTO PARAMETRAI'!$B$12:$H$12,1,MATCH(Informacija[[#Headers],[BENDRASIS PARTNERIS]],Parametrai[#Headers],0))*Informacija[[#This Row],[NUMATYTOS DARBO VALANDOS]]</f>
        <v>17500</v>
      </c>
      <c r="M9" s="23">
        <f>INDEX(Parametrai[],MATCH(Informacija[[#This Row],[PROJEKTO TIPAS]],Parametrai[PROJEKTO TIPAS],0),MATCH(Informacija[[#Headers],[VERSLO TEISININKAS]],Parametrai[#Headers],0))*INDEX('PROJEKTO PARAMETRAI'!$B$12:$H$12,1,MATCH(Informacija[[#Headers],[VERSLO TEISININKAS]],Parametrai[#Headers],0))*Informacija[[#This Row],[NUMATYTOS DARBO VALANDOS]]</f>
        <v>6250</v>
      </c>
      <c r="N9"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Row],[NUMATYTOS DARBO VALANDOS]]</f>
        <v>30000</v>
      </c>
      <c r="O9"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Row],[NUMATYTOS DARBO VALANDOS]]</f>
        <v>0</v>
      </c>
      <c r="P9" s="23">
        <f>INDEX(Parametrai[],MATCH(Informacija[[#This Row],[PROJEKTO TIPAS]],Parametrai[PROJEKTO TIPAS],0),MATCH(Informacija[[#Headers],[BANKROTO TEISININKAS]],Parametrai[#Headers],0))*INDEX('PROJEKTO PARAMETRAI'!$B$12:$H$12,1,MATCH(Informacija[[#Headers],[BANKROTO TEISININKAS]],Parametrai[#Headers],0))*Informacija[[#This Row],[NUMATYTOS DARBO VALANDOS]]</f>
        <v>0</v>
      </c>
      <c r="Q9" s="23">
        <f>INDEX(Parametrai[],MATCH(Informacija[[#This Row],[PROJEKTO TIPAS]],Parametrai[PROJEKTO TIPAS],0),MATCH(Informacija[[#Headers],[ADMINISTRACIJOS DARBUOTOJAI]],Parametrai[#Headers],0))*INDEX('PROJEKTO PARAMETRAI'!$B$12:$H$12,1,MATCH(Informacija[[#Headers],[ADMINISTRACIJOS DARBUOTOJAI]],Parametrai[#Headers],0))*Informacija[[#This Row],[NUMATYTOS DARBO VALANDOS]]</f>
        <v>9375</v>
      </c>
      <c r="R9" s="23">
        <f>INDEX(Parametrai[],MATCH(Informacija[[#This Row],[PROJEKTO TIPAS]],Parametrai[PROJEKTO TIPAS],0),MATCH(Informacija[[#Headers],[BENDRASIS PARTNERIS]],Parametrai[#Headers],0))*INDEX('PROJEKTO PARAMETRAI'!$B$12:$H$12,1,MATCH(Informacija[[#Headers],[BENDRASIS PARTNERIS]],Parametrai[#Headers],0))*Informacija[[#This Row],[FAKTINĖS DARBO VALANDOS]]</f>
        <v>17850</v>
      </c>
      <c r="S9" s="23">
        <f>INDEX(Parametrai[],MATCH(Informacija[[#This Row],[PROJEKTO TIPAS]],Parametrai[PROJEKTO TIPAS],0),MATCH(Informacija[[#Headers],[VERSLO TEISININKAS]],Parametrai[#Headers],0))*INDEX('PROJEKTO PARAMETRAI'!$B$12:$H$12,1,MATCH(Informacija[[#Headers],[VERSLO TEISININKAS]],Parametrai[#Headers],0))*Informacija[[#This Row],[FAKTINĖS DARBO VALANDOS]]</f>
        <v>6375</v>
      </c>
      <c r="T9" s="23">
        <f>INDEX(Parametrai[],MATCH(Informacija[[#This Row],[PROJEKTO TIPAS]],Parametrai[PROJEKTO TIPAS],0),MATCH(Informacija[[#Headers],[GYNYBOS ŠALIS TEISINIAME PROCESE]],Parametrai[#Headers],0))*INDEX('PROJEKTO PARAMETRAI'!$B$12:$H$12,1,MATCH(Informacija[[#Headers],[GYNYBOS ŠALIS TEISINIAME PROCESE]],Parametrai[#Headers],0))*Informacija[[#This Row],[FAKTINĖS DARBO VALANDOS]]</f>
        <v>30600</v>
      </c>
      <c r="U9" s="23">
        <f>INDEX(Parametrai[],MATCH(Informacija[[#This Row],[PROJEKTO TIPAS]],Parametrai[PROJEKTO TIPAS],0),MATCH(Informacija[[#Headers],[INTELEKTINĖS NUOSAVYBĖS TEISININKAS]],Parametrai[#Headers],0))*INDEX('PROJEKTO PARAMETRAI'!$B$12:$H$12,1,MATCH(Informacija[[#Headers],[INTELEKTINĖS NUOSAVYBĖS TEISININKAS]],Parametrai[#Headers],0))*Informacija[[#This Row],[FAKTINĖS DARBO VALANDOS]]</f>
        <v>0</v>
      </c>
      <c r="V9" s="23">
        <f>INDEX(Parametrai[],MATCH(Informacija[[#This Row],[PROJEKTO TIPAS]],Parametrai[PROJEKTO TIPAS],0),MATCH(Informacija[[#Headers],[BANKROTO TEISININKAS]],Parametrai[#Headers],0))*INDEX('PROJEKTO PARAMETRAI'!$B$12:$H$12,1,MATCH(Informacija[[#Headers],[BANKROTO TEISININKAS]],Parametrai[#Headers],0))*Informacija[[#This Row],[FAKTINĖS DARBO VALANDOS]]</f>
        <v>0</v>
      </c>
      <c r="W9" s="23">
        <f>INDEX(Parametrai[],MATCH(Informacija[[#This Row],[PROJEKTO TIPAS]],Parametrai[PROJEKTO TIPAS],0),MATCH(Informacija[[#Headers],[ADMINISTRACIJOS DARBUOTOJAI]],Parametrai[#Headers],0))*INDEX('PROJEKTO PARAMETRAI'!$B$12:$H$12,1,MATCH(Informacija[[#Headers],[ADMINISTRACIJOS DARBUOTOJAI]],Parametrai[#Headers],0))*Informacija[[#This Row],[FAKTINĖS DARBO VALANDOS]]</f>
        <v>9562.5</v>
      </c>
      <c r="Y9" s="28"/>
      <c r="Z9" s="28"/>
      <c r="AA9" s="28"/>
      <c r="AB9" s="28"/>
      <c r="AC9" s="28"/>
    </row>
    <row r="10" spans="1:29" x14ac:dyDescent="0.2">
      <c r="B10" s="1" t="s">
        <v>32</v>
      </c>
      <c r="H10" s="1">
        <f>SUBTOTAL(109,Informacija[NUMATYTOS DARBO VALANDOS])</f>
        <v>1500</v>
      </c>
      <c r="I10" s="1">
        <f>SUBTOTAL(109,Informacija[FAKTINĖS DARBO VALANDOS])</f>
        <v>1510</v>
      </c>
      <c r="J10" s="1">
        <f ca="1">SUBTOTAL(109,Informacija[NUMATOMA TRUKMĖ])</f>
        <v>190</v>
      </c>
      <c r="K10" s="1">
        <f ca="1">SUBTOTAL(109,Informacija[FAKTINĖ TRUKMĖ])</f>
        <v>170</v>
      </c>
    </row>
  </sheetData>
  <mergeCells count="1">
    <mergeCell ref="Y2:AC9"/>
  </mergeCells>
  <dataValidations count="1">
    <dataValidation type="list" allowBlank="1" showInputMessage="1" showErrorMessage="1" sqref="C5:C9" xr:uid="{00000000-0002-0000-0100-000000000000}">
      <formula1>ProjektoTipas</formula1>
    </dataValidation>
  </dataValidations>
  <pageMargins left="0.7" right="0.7" top="0.75" bottom="0.75" header="0.3" footer="0.3"/>
  <pageSetup paperSize="9"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T28"/>
  <sheetViews>
    <sheetView showGridLines="0" workbookViewId="0"/>
  </sheetViews>
  <sheetFormatPr defaultColWidth="9.140625" defaultRowHeight="14.25" x14ac:dyDescent="0.2"/>
  <cols>
    <col min="1" max="1" width="1.85546875" style="12" customWidth="1"/>
    <col min="2" max="2" width="24.42578125" style="1" bestFit="1" customWidth="1"/>
    <col min="3" max="4" width="14.140625" style="1" bestFit="1" customWidth="1"/>
    <col min="5" max="5" width="15.28515625" style="1" bestFit="1" customWidth="1"/>
    <col min="6" max="6" width="14.140625" style="1" bestFit="1" customWidth="1"/>
    <col min="7" max="7" width="11.28515625" style="1" bestFit="1" customWidth="1"/>
    <col min="8" max="8" width="16.140625" style="1" bestFit="1" customWidth="1"/>
    <col min="9" max="10" width="14.140625" style="1" bestFit="1" customWidth="1"/>
    <col min="11" max="11" width="15.28515625" style="1" bestFit="1" customWidth="1"/>
    <col min="12" max="12" width="14.140625" style="1" bestFit="1" customWidth="1"/>
    <col min="13" max="13" width="12.140625" style="1" bestFit="1" customWidth="1"/>
    <col min="14" max="14" width="16.140625" style="1" bestFit="1" customWidth="1"/>
    <col min="15" max="15" width="2.7109375" style="1" customWidth="1"/>
    <col min="16" max="16384" width="9.140625" style="1"/>
  </cols>
  <sheetData>
    <row r="1" spans="1:20" ht="35.450000000000003" customHeight="1" x14ac:dyDescent="0.35">
      <c r="A1" s="12" t="s">
        <v>80</v>
      </c>
      <c r="B1" s="2" t="str">
        <f>'PROJEKTO PARAMETRAI'!B1</f>
        <v>Įmonės pavadinimas</v>
      </c>
      <c r="C1" s="2"/>
      <c r="D1" s="2"/>
      <c r="E1" s="2"/>
      <c r="F1" s="2"/>
      <c r="G1" s="2"/>
      <c r="H1" s="2"/>
      <c r="I1" s="2"/>
      <c r="J1" s="2"/>
      <c r="K1" s="2"/>
      <c r="L1" s="2"/>
      <c r="M1" s="2"/>
      <c r="N1" s="2"/>
    </row>
    <row r="2" spans="1:20" ht="19.5" x14ac:dyDescent="0.25">
      <c r="A2" s="12" t="s">
        <v>4</v>
      </c>
      <c r="B2" s="3" t="str">
        <f>'PROJEKTO PARAMETRAI'!B2</f>
        <v>Advokatų kontorų projekto planavimas</v>
      </c>
      <c r="C2" s="3"/>
      <c r="D2" s="3"/>
      <c r="E2" s="3"/>
      <c r="F2" s="3"/>
      <c r="G2" s="3"/>
      <c r="H2" s="3"/>
      <c r="I2" s="3"/>
      <c r="J2" s="3"/>
      <c r="K2" s="3"/>
    </row>
    <row r="3" spans="1:20" ht="15" x14ac:dyDescent="0.2">
      <c r="A3" s="12" t="s">
        <v>5</v>
      </c>
      <c r="B3" s="4" t="str">
        <f>'PROJEKTO PARAMETRAI'!B3</f>
        <v>Įmonės pavadinimas (konfidencialu)</v>
      </c>
      <c r="C3" s="4"/>
      <c r="D3" s="4"/>
      <c r="E3" s="4"/>
      <c r="F3" s="4"/>
      <c r="G3" s="4"/>
      <c r="H3" s="4"/>
      <c r="I3" s="4"/>
      <c r="J3" s="4"/>
      <c r="K3" s="4"/>
    </row>
    <row r="4" spans="1:20" x14ac:dyDescent="0.2">
      <c r="A4" s="12" t="s">
        <v>79</v>
      </c>
      <c r="C4" s="29" t="s">
        <v>56</v>
      </c>
      <c r="D4" s="30"/>
      <c r="E4" s="30"/>
      <c r="F4" s="30"/>
      <c r="G4" s="30"/>
      <c r="H4" s="31"/>
      <c r="I4" s="29" t="s">
        <v>63</v>
      </c>
      <c r="J4" s="30"/>
      <c r="K4" s="30"/>
      <c r="L4" s="30"/>
      <c r="M4" s="30"/>
      <c r="N4" s="31"/>
      <c r="P4" s="32" t="s">
        <v>67</v>
      </c>
      <c r="Q4" s="33"/>
      <c r="R4" s="33"/>
      <c r="S4" s="33"/>
      <c r="T4" s="33"/>
    </row>
    <row r="5" spans="1:20" s="11" customFormat="1" ht="38.25" x14ac:dyDescent="0.2">
      <c r="A5" s="21" t="s">
        <v>54</v>
      </c>
      <c r="B5" s="22" t="s">
        <v>34</v>
      </c>
      <c r="C5" s="10" t="s">
        <v>57</v>
      </c>
      <c r="D5" s="10" t="s">
        <v>58</v>
      </c>
      <c r="E5" s="10" t="s">
        <v>59</v>
      </c>
      <c r="F5" s="10" t="s">
        <v>60</v>
      </c>
      <c r="G5" s="10" t="s">
        <v>61</v>
      </c>
      <c r="H5" s="10" t="s">
        <v>62</v>
      </c>
      <c r="I5" s="10" t="s">
        <v>64</v>
      </c>
      <c r="J5" s="10" t="s">
        <v>25</v>
      </c>
      <c r="K5" s="10" t="s">
        <v>65</v>
      </c>
      <c r="L5" s="10" t="s">
        <v>30</v>
      </c>
      <c r="M5" s="10" t="s">
        <v>68</v>
      </c>
      <c r="N5" s="10" t="s">
        <v>66</v>
      </c>
      <c r="P5" s="33"/>
      <c r="Q5" s="33"/>
      <c r="R5" s="33"/>
      <c r="S5" s="33"/>
      <c r="T5" s="33"/>
    </row>
    <row r="6" spans="1:20" x14ac:dyDescent="0.2">
      <c r="B6" t="s">
        <v>35</v>
      </c>
      <c r="C6" s="26">
        <v>7000</v>
      </c>
      <c r="D6" s="26">
        <v>20000</v>
      </c>
      <c r="E6" s="26">
        <v>0</v>
      </c>
      <c r="F6" s="26">
        <v>0</v>
      </c>
      <c r="G6" s="26">
        <v>0</v>
      </c>
      <c r="H6" s="26">
        <v>12500</v>
      </c>
      <c r="I6" s="26">
        <v>7700</v>
      </c>
      <c r="J6" s="26">
        <v>22000</v>
      </c>
      <c r="K6" s="26">
        <v>0</v>
      </c>
      <c r="L6" s="26">
        <v>0</v>
      </c>
      <c r="M6" s="26">
        <v>0</v>
      </c>
      <c r="N6" s="26">
        <v>13750</v>
      </c>
      <c r="P6" s="33"/>
      <c r="Q6" s="33"/>
      <c r="R6" s="33"/>
      <c r="S6" s="33"/>
      <c r="T6" s="33"/>
    </row>
    <row r="7" spans="1:20" x14ac:dyDescent="0.2">
      <c r="B7" t="s">
        <v>36</v>
      </c>
      <c r="C7" s="26">
        <v>14000</v>
      </c>
      <c r="D7" s="26">
        <v>40000</v>
      </c>
      <c r="E7" s="26">
        <v>0</v>
      </c>
      <c r="F7" s="26">
        <v>11000</v>
      </c>
      <c r="G7" s="26">
        <v>0</v>
      </c>
      <c r="H7" s="26">
        <v>20000</v>
      </c>
      <c r="I7" s="26">
        <v>13650</v>
      </c>
      <c r="J7" s="26">
        <v>39000</v>
      </c>
      <c r="K7" s="26">
        <v>0</v>
      </c>
      <c r="L7" s="26">
        <v>10725</v>
      </c>
      <c r="M7" s="26">
        <v>0</v>
      </c>
      <c r="N7" s="26">
        <v>19500</v>
      </c>
      <c r="P7" s="33"/>
      <c r="Q7" s="33"/>
      <c r="R7" s="33"/>
      <c r="S7" s="33"/>
      <c r="T7" s="33"/>
    </row>
    <row r="8" spans="1:20" x14ac:dyDescent="0.2">
      <c r="B8" t="s">
        <v>37</v>
      </c>
      <c r="C8" s="26">
        <v>35000</v>
      </c>
      <c r="D8" s="26">
        <v>0</v>
      </c>
      <c r="E8" s="26">
        <v>75000</v>
      </c>
      <c r="F8" s="26">
        <v>0</v>
      </c>
      <c r="G8" s="26">
        <v>0</v>
      </c>
      <c r="H8" s="26">
        <v>18750</v>
      </c>
      <c r="I8" s="26">
        <v>35000</v>
      </c>
      <c r="J8" s="26">
        <v>0</v>
      </c>
      <c r="K8" s="26">
        <v>75000</v>
      </c>
      <c r="L8" s="26">
        <v>0</v>
      </c>
      <c r="M8" s="26">
        <v>0</v>
      </c>
      <c r="N8" s="26">
        <v>18750</v>
      </c>
      <c r="P8" s="33"/>
      <c r="Q8" s="33"/>
      <c r="R8" s="33"/>
      <c r="S8" s="33"/>
      <c r="T8" s="33"/>
    </row>
    <row r="9" spans="1:20" x14ac:dyDescent="0.2">
      <c r="B9" t="s">
        <v>38</v>
      </c>
      <c r="C9" s="26">
        <v>5250</v>
      </c>
      <c r="D9" s="26">
        <v>0</v>
      </c>
      <c r="E9" s="26">
        <v>0</v>
      </c>
      <c r="F9" s="26">
        <v>24750</v>
      </c>
      <c r="G9" s="26">
        <v>0</v>
      </c>
      <c r="H9" s="26">
        <v>5625</v>
      </c>
      <c r="I9" s="26">
        <v>5075</v>
      </c>
      <c r="J9" s="26">
        <v>0</v>
      </c>
      <c r="K9" s="26">
        <v>0</v>
      </c>
      <c r="L9" s="26">
        <v>23925</v>
      </c>
      <c r="M9" s="26">
        <v>0</v>
      </c>
      <c r="N9" s="26">
        <v>5437.5</v>
      </c>
      <c r="P9" s="33"/>
      <c r="Q9" s="33"/>
      <c r="R9" s="33"/>
      <c r="S9" s="33"/>
      <c r="T9" s="33"/>
    </row>
    <row r="10" spans="1:20" x14ac:dyDescent="0.2">
      <c r="B10" t="s">
        <v>39</v>
      </c>
      <c r="C10" s="26">
        <v>17500</v>
      </c>
      <c r="D10" s="26">
        <v>6250</v>
      </c>
      <c r="E10" s="26">
        <v>30000</v>
      </c>
      <c r="F10" s="26">
        <v>0</v>
      </c>
      <c r="G10" s="26">
        <v>0</v>
      </c>
      <c r="H10" s="26">
        <v>9375</v>
      </c>
      <c r="I10" s="26">
        <v>17850</v>
      </c>
      <c r="J10" s="26">
        <v>6375</v>
      </c>
      <c r="K10" s="26">
        <v>30600</v>
      </c>
      <c r="L10" s="26">
        <v>0</v>
      </c>
      <c r="M10" s="26">
        <v>0</v>
      </c>
      <c r="N10" s="26">
        <v>9562.5</v>
      </c>
      <c r="P10" s="33"/>
      <c r="Q10" s="33"/>
      <c r="R10" s="33"/>
      <c r="S10" s="33"/>
      <c r="T10" s="33"/>
    </row>
    <row r="11" spans="1:20" x14ac:dyDescent="0.2">
      <c r="B11" t="s">
        <v>55</v>
      </c>
      <c r="C11" s="26">
        <v>78750</v>
      </c>
      <c r="D11" s="26">
        <v>66250</v>
      </c>
      <c r="E11" s="26">
        <v>105000</v>
      </c>
      <c r="F11" s="26">
        <v>35750</v>
      </c>
      <c r="G11" s="26">
        <v>0</v>
      </c>
      <c r="H11" s="26">
        <v>66250</v>
      </c>
      <c r="I11" s="26">
        <v>79275</v>
      </c>
      <c r="J11" s="26">
        <v>67375</v>
      </c>
      <c r="K11" s="26">
        <v>105600</v>
      </c>
      <c r="L11" s="26">
        <v>34650</v>
      </c>
      <c r="M11" s="26">
        <v>0</v>
      </c>
      <c r="N11" s="26">
        <v>67000</v>
      </c>
      <c r="P11" s="33"/>
      <c r="Q11" s="33"/>
      <c r="R11" s="33"/>
      <c r="S11" s="33"/>
      <c r="T11" s="33"/>
    </row>
    <row r="12" spans="1:20" x14ac:dyDescent="0.2">
      <c r="B12"/>
      <c r="C12"/>
      <c r="D12"/>
      <c r="E12"/>
      <c r="F12"/>
      <c r="G12"/>
      <c r="H12"/>
      <c r="I12"/>
      <c r="J12"/>
      <c r="K12"/>
      <c r="L12"/>
      <c r="M12"/>
      <c r="N12"/>
      <c r="P12" s="33"/>
      <c r="Q12" s="33"/>
      <c r="R12" s="33"/>
      <c r="S12" s="33"/>
      <c r="T12" s="33"/>
    </row>
    <row r="13" spans="1:20" x14ac:dyDescent="0.2">
      <c r="B13"/>
      <c r="C13"/>
      <c r="D13"/>
      <c r="E13"/>
      <c r="F13"/>
      <c r="G13"/>
      <c r="H13"/>
      <c r="I13"/>
      <c r="J13"/>
      <c r="K13"/>
      <c r="L13"/>
      <c r="M13"/>
      <c r="N13"/>
      <c r="P13" s="33"/>
      <c r="Q13" s="33"/>
      <c r="R13" s="33"/>
      <c r="S13" s="33"/>
      <c r="T13" s="33"/>
    </row>
    <row r="14" spans="1:20" x14ac:dyDescent="0.2">
      <c r="B14"/>
      <c r="C14"/>
      <c r="D14"/>
      <c r="E14"/>
      <c r="F14"/>
      <c r="G14"/>
      <c r="H14"/>
      <c r="I14"/>
      <c r="J14"/>
      <c r="K14"/>
      <c r="L14"/>
      <c r="M14"/>
      <c r="N14"/>
      <c r="P14" s="33"/>
      <c r="Q14" s="33"/>
      <c r="R14" s="33"/>
      <c r="S14" s="33"/>
      <c r="T14" s="33"/>
    </row>
    <row r="15" spans="1:20" x14ac:dyDescent="0.2">
      <c r="B15"/>
      <c r="C15"/>
      <c r="D15"/>
      <c r="E15"/>
      <c r="F15"/>
      <c r="G15"/>
      <c r="H15"/>
      <c r="I15"/>
      <c r="J15"/>
      <c r="K15"/>
      <c r="L15"/>
      <c r="M15"/>
      <c r="N15"/>
      <c r="P15" s="33"/>
      <c r="Q15" s="33"/>
      <c r="R15" s="33"/>
      <c r="S15" s="33"/>
      <c r="T15" s="33"/>
    </row>
    <row r="16" spans="1:20" x14ac:dyDescent="0.2">
      <c r="B16"/>
      <c r="C16"/>
      <c r="D16"/>
      <c r="E16"/>
      <c r="F16"/>
      <c r="G16"/>
      <c r="H16"/>
      <c r="I16"/>
      <c r="J16"/>
      <c r="K16"/>
      <c r="L16"/>
      <c r="M16"/>
      <c r="N16"/>
    </row>
    <row r="17" spans="2:14" x14ac:dyDescent="0.2">
      <c r="B17"/>
      <c r="C17"/>
      <c r="D17"/>
      <c r="E17"/>
      <c r="F17"/>
      <c r="G17"/>
      <c r="H17"/>
      <c r="I17"/>
      <c r="J17"/>
      <c r="K17"/>
      <c r="L17"/>
      <c r="M17"/>
      <c r="N17"/>
    </row>
    <row r="18" spans="2:14" x14ac:dyDescent="0.2">
      <c r="B18"/>
      <c r="C18"/>
      <c r="D18"/>
      <c r="E18"/>
      <c r="F18"/>
      <c r="G18"/>
      <c r="H18"/>
      <c r="I18"/>
      <c r="J18"/>
      <c r="K18"/>
      <c r="L18"/>
      <c r="M18"/>
      <c r="N18"/>
    </row>
    <row r="19" spans="2:14" x14ac:dyDescent="0.2">
      <c r="B19"/>
      <c r="C19"/>
      <c r="D19"/>
      <c r="E19"/>
      <c r="F19"/>
      <c r="G19"/>
      <c r="H19"/>
      <c r="I19"/>
      <c r="J19"/>
      <c r="K19"/>
      <c r="L19"/>
      <c r="M19"/>
      <c r="N19"/>
    </row>
    <row r="20" spans="2:14" x14ac:dyDescent="0.2">
      <c r="B20"/>
      <c r="C20"/>
      <c r="D20"/>
      <c r="E20"/>
      <c r="F20"/>
      <c r="G20"/>
      <c r="H20"/>
      <c r="I20"/>
      <c r="J20"/>
      <c r="K20"/>
      <c r="L20"/>
      <c r="M20"/>
      <c r="N20"/>
    </row>
    <row r="21" spans="2:14" x14ac:dyDescent="0.2">
      <c r="B21"/>
      <c r="C21"/>
      <c r="D21"/>
      <c r="E21"/>
      <c r="F21"/>
      <c r="G21"/>
      <c r="H21"/>
      <c r="I21"/>
      <c r="J21"/>
      <c r="K21"/>
      <c r="L21"/>
      <c r="M21"/>
      <c r="N21"/>
    </row>
    <row r="22" spans="2:14" x14ac:dyDescent="0.2">
      <c r="B22"/>
      <c r="C22"/>
      <c r="D22"/>
      <c r="E22"/>
      <c r="F22"/>
      <c r="G22"/>
      <c r="H22"/>
      <c r="I22"/>
      <c r="J22"/>
      <c r="K22"/>
      <c r="L22"/>
      <c r="M22"/>
      <c r="N22"/>
    </row>
    <row r="23" spans="2:14" x14ac:dyDescent="0.2">
      <c r="B23"/>
      <c r="C23"/>
      <c r="D23"/>
      <c r="E23"/>
      <c r="F23"/>
      <c r="G23"/>
      <c r="H23"/>
      <c r="I23"/>
      <c r="J23"/>
      <c r="K23"/>
      <c r="L23"/>
      <c r="M23"/>
      <c r="N23"/>
    </row>
    <row r="24" spans="2:14" x14ac:dyDescent="0.2">
      <c r="B24"/>
      <c r="C24"/>
      <c r="D24"/>
      <c r="E24"/>
      <c r="F24"/>
      <c r="G24"/>
      <c r="H24"/>
      <c r="I24"/>
      <c r="J24"/>
      <c r="K24"/>
      <c r="L24"/>
      <c r="M24"/>
      <c r="N24"/>
    </row>
    <row r="25" spans="2:14" x14ac:dyDescent="0.2">
      <c r="B25"/>
      <c r="C25"/>
      <c r="D25"/>
      <c r="E25"/>
      <c r="F25"/>
      <c r="G25"/>
      <c r="H25"/>
      <c r="I25"/>
      <c r="J25"/>
      <c r="K25"/>
      <c r="L25"/>
      <c r="M25"/>
      <c r="N25"/>
    </row>
    <row r="26" spans="2:14" x14ac:dyDescent="0.2">
      <c r="B26"/>
      <c r="C26"/>
      <c r="D26"/>
      <c r="E26"/>
      <c r="F26"/>
      <c r="G26"/>
      <c r="H26"/>
      <c r="I26"/>
      <c r="J26"/>
      <c r="K26"/>
      <c r="L26"/>
      <c r="M26"/>
      <c r="N26"/>
    </row>
    <row r="27" spans="2:14" x14ac:dyDescent="0.2">
      <c r="B27"/>
      <c r="C27"/>
      <c r="D27"/>
      <c r="E27"/>
      <c r="F27"/>
      <c r="G27"/>
      <c r="H27"/>
      <c r="I27"/>
      <c r="J27"/>
      <c r="K27"/>
      <c r="L27"/>
      <c r="M27"/>
      <c r="N27"/>
    </row>
    <row r="28" spans="2:14" x14ac:dyDescent="0.2">
      <c r="B28"/>
      <c r="C28"/>
      <c r="D28"/>
      <c r="E28"/>
      <c r="F28"/>
      <c r="G28"/>
      <c r="H28"/>
      <c r="I28"/>
      <c r="J28"/>
      <c r="K28"/>
      <c r="L28"/>
      <c r="M28"/>
      <c r="N28"/>
    </row>
  </sheetData>
  <mergeCells count="3">
    <mergeCell ref="I4:N4"/>
    <mergeCell ref="C4:H4"/>
    <mergeCell ref="P4:T15"/>
  </mergeCells>
  <pageMargins left="0.7" right="0.7" top="0.75" bottom="0.75" header="0.3" footer="0.3"/>
  <pageSetup paperSize="9" fitToHeight="0"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Darbalapiai</vt:lpstr>
      </vt:variant>
      <vt:variant>
        <vt:i4>4</vt:i4>
      </vt:variant>
      <vt:variant>
        <vt:lpstr>Įvardytieji diapazonai</vt:lpstr>
      </vt:variant>
      <vt:variant>
        <vt:i4>3</vt:i4>
      </vt:variant>
    </vt:vector>
  </HeadingPairs>
  <TitlesOfParts>
    <vt:vector size="7" baseType="lpstr">
      <vt:lpstr>Pradžia</vt:lpstr>
      <vt:lpstr>PROJEKTO PARAMETRAI</vt:lpstr>
      <vt:lpstr>PROJEKTO INFORMACIJA</vt:lpstr>
      <vt:lpstr>PROJEKTO SUMOS</vt:lpstr>
      <vt:lpstr>'PROJEKTO INFORMACIJA'!Print_Titles</vt:lpstr>
      <vt:lpstr>'PROJEKTO SUMOS'!Print_Titles</vt:lpstr>
      <vt:lpstr>ProjektoTipas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2019-02-20T08:31:42Z</dcterms:modified>
</cp:coreProperties>
</file>

<file path=docProps/custom.xml><?xml version="1.0" encoding="utf-8"?>
<Properties xmlns="http://schemas.openxmlformats.org/officeDocument/2006/custom-properties" xmlns:vt="http://schemas.openxmlformats.org/officeDocument/2006/docPropsVTypes"/>
</file>