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lt-LT\"/>
    </mc:Choice>
  </mc:AlternateContent>
  <bookViews>
    <workbookView xWindow="0" yWindow="0" windowWidth="28800" windowHeight="14145" xr2:uid="{00000000-000D-0000-FFFF-FFFF00000000}"/>
  </bookViews>
  <sheets>
    <sheet name="Pajamos (pardavimas)" sheetId="2" r:id="rId1"/>
    <sheet name="Pardavimo išlaidos" sheetId="3" r:id="rId2"/>
    <sheet name="Išlaidos" sheetId="4" r:id="rId3"/>
  </sheets>
  <definedNames>
    <definedName name="FYMonthNo">IF(FYMonthStart="SAU",1,IF(FYMonthStart="VAS",2,IF(FYMonthStart="KOV",3,IF(FYMonthStart="BAL",4,IF(FYMonthStart="GEG",5,IF(FYMonthStart="BIR",6,IF(FYMonthStart="LIE",7,IF(FYMonthStart="RGP",8,IF(FYMonthStart="RGS",9,IF(FYMonthStart="SPL",10,IF(FYMonthStart="LAP",11,12)))))))))))</definedName>
    <definedName name="FYMonthStart">'Pajamos (pardavimas)'!$AC$2</definedName>
    <definedName name="FYStartYear">'Pajamos (pardavimas)'!$AD$2</definedName>
    <definedName name="Įmonės_pavadinimas">'Pajamos (pardavimas)'!$AD$1</definedName>
    <definedName name="Pavadinimas1">Pajamos[[#Headers],[PAJAMOS (PARDAVIMAS)]]</definedName>
    <definedName name="Pavadinimas2">Pardavimoišlaidos[[#Headers],[Pardavimo savikaina]]</definedName>
    <definedName name="Pavadinimas3">tblExpenses[[#Headers],[IŠLAIDOS]]</definedName>
    <definedName name="_xlnm.Print_Titles" localSheetId="2">Išlaidos!$3:$4</definedName>
    <definedName name="_xlnm.Print_Titles" localSheetId="0">'Pajamos (pardavimas)'!$3:$4</definedName>
    <definedName name="_xlnm.Print_Titles" localSheetId="1">'Pardavimo išlaidos'!$3:$4</definedName>
    <definedName name="Projection_Period_Title">'Pajamos (pardavimas)'!$B$1</definedName>
    <definedName name="Wksht_Title">'Pajamos (pardavimas)'!$B$2</definedName>
  </definedNames>
  <calcPr calcId="171027"/>
</workbook>
</file>

<file path=xl/calcChain.xml><?xml version="1.0" encoding="utf-8"?>
<calcChain xmlns="http://schemas.openxmlformats.org/spreadsheetml/2006/main">
  <c r="P11" i="4" l="1"/>
  <c r="B2" i="4" l="1"/>
  <c r="Q24" i="4"/>
  <c r="E24" i="4"/>
  <c r="S11" i="4" s="1"/>
  <c r="F24" i="4"/>
  <c r="G24" i="4"/>
  <c r="U11" i="4" s="1"/>
  <c r="H24" i="4"/>
  <c r="I24" i="4"/>
  <c r="W11" i="4" s="1"/>
  <c r="J24" i="4"/>
  <c r="K24" i="4"/>
  <c r="Y11" i="4" s="1"/>
  <c r="L24" i="4"/>
  <c r="M24" i="4"/>
  <c r="AA6" i="4" s="1"/>
  <c r="N24" i="4"/>
  <c r="O24" i="4"/>
  <c r="AC8" i="4" s="1"/>
  <c r="D24" i="4"/>
  <c r="AC6" i="4"/>
  <c r="AC10" i="4"/>
  <c r="AC14" i="4"/>
  <c r="AC18" i="4"/>
  <c r="AC22" i="4"/>
  <c r="AB6" i="4"/>
  <c r="AB22" i="4"/>
  <c r="AA8" i="4"/>
  <c r="AA12" i="4"/>
  <c r="AA16" i="4"/>
  <c r="AA18" i="4"/>
  <c r="AA20" i="4"/>
  <c r="AA22" i="4"/>
  <c r="Z7" i="4"/>
  <c r="Y7" i="4"/>
  <c r="Y9" i="4"/>
  <c r="Y12" i="4"/>
  <c r="Y14" i="4"/>
  <c r="Y16" i="4"/>
  <c r="Y18" i="4"/>
  <c r="Y20" i="4"/>
  <c r="Y22" i="4"/>
  <c r="X21" i="4"/>
  <c r="W7" i="4"/>
  <c r="W9" i="4"/>
  <c r="W12" i="4"/>
  <c r="W14" i="4"/>
  <c r="W16" i="4"/>
  <c r="W18" i="4"/>
  <c r="W20" i="4"/>
  <c r="W21" i="4"/>
  <c r="W22" i="4"/>
  <c r="W23" i="4"/>
  <c r="V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T21" i="4"/>
  <c r="S6" i="4"/>
  <c r="S7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R9" i="4"/>
  <c r="AC5" i="4"/>
  <c r="W5" i="4"/>
  <c r="Y5" i="4"/>
  <c r="AA5" i="4"/>
  <c r="U5" i="4"/>
  <c r="S5" i="4"/>
  <c r="P6" i="4"/>
  <c r="P7" i="4"/>
  <c r="P8" i="4"/>
  <c r="P9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Q12" i="3"/>
  <c r="E12" i="3"/>
  <c r="F12" i="3"/>
  <c r="G12" i="3"/>
  <c r="H12" i="3"/>
  <c r="I12" i="3"/>
  <c r="J12" i="3"/>
  <c r="K12" i="3"/>
  <c r="L12" i="3"/>
  <c r="M12" i="3"/>
  <c r="N12" i="3"/>
  <c r="O12" i="3"/>
  <c r="D12" i="3"/>
  <c r="AC6" i="3"/>
  <c r="AB6" i="3"/>
  <c r="AB7" i="3"/>
  <c r="AB8" i="3"/>
  <c r="AB9" i="3"/>
  <c r="AB10" i="3"/>
  <c r="AB11" i="3"/>
  <c r="AA8" i="3"/>
  <c r="Z6" i="3"/>
  <c r="Z7" i="3"/>
  <c r="Z8" i="3"/>
  <c r="Z9" i="3"/>
  <c r="Z10" i="3"/>
  <c r="Z11" i="3"/>
  <c r="Y10" i="3"/>
  <c r="X6" i="3"/>
  <c r="X7" i="3"/>
  <c r="X8" i="3"/>
  <c r="X9" i="3"/>
  <c r="X10" i="3"/>
  <c r="X11" i="3"/>
  <c r="W8" i="3"/>
  <c r="V6" i="3"/>
  <c r="V7" i="3"/>
  <c r="V8" i="3"/>
  <c r="V9" i="3"/>
  <c r="V10" i="3"/>
  <c r="V11" i="3"/>
  <c r="U6" i="3"/>
  <c r="U10" i="3"/>
  <c r="T6" i="3"/>
  <c r="T7" i="3"/>
  <c r="T8" i="3"/>
  <c r="T9" i="3"/>
  <c r="T10" i="3"/>
  <c r="T11" i="3"/>
  <c r="S8" i="3"/>
  <c r="R6" i="3"/>
  <c r="R7" i="3"/>
  <c r="R8" i="3"/>
  <c r="R9" i="3"/>
  <c r="R10" i="3"/>
  <c r="R11" i="3"/>
  <c r="AC5" i="3"/>
  <c r="AB5" i="3"/>
  <c r="AB12" i="3" s="1"/>
  <c r="X5" i="3"/>
  <c r="X12" i="3" s="1"/>
  <c r="Z5" i="3"/>
  <c r="Z12" i="3" s="1"/>
  <c r="T5" i="3"/>
  <c r="T12" i="3" s="1"/>
  <c r="V5" i="3"/>
  <c r="R5" i="3"/>
  <c r="R12" i="3" s="1"/>
  <c r="P6" i="3"/>
  <c r="P7" i="3"/>
  <c r="P8" i="3"/>
  <c r="P9" i="3"/>
  <c r="P10" i="3"/>
  <c r="P11" i="3"/>
  <c r="P5" i="3"/>
  <c r="Q12" i="2"/>
  <c r="F12" i="2"/>
  <c r="G12" i="2"/>
  <c r="U6" i="2" s="1"/>
  <c r="H12" i="2"/>
  <c r="I12" i="2"/>
  <c r="W6" i="2" s="1"/>
  <c r="J12" i="2"/>
  <c r="K12" i="2"/>
  <c r="Y6" i="2" s="1"/>
  <c r="L12" i="2"/>
  <c r="M12" i="2"/>
  <c r="AA6" i="2" s="1"/>
  <c r="N12" i="2"/>
  <c r="O12" i="2"/>
  <c r="AC6" i="2" s="1"/>
  <c r="E12" i="2"/>
  <c r="D12" i="2"/>
  <c r="AC7" i="2"/>
  <c r="AC9" i="2"/>
  <c r="AC11" i="2"/>
  <c r="AB9" i="2"/>
  <c r="AA7" i="2"/>
  <c r="AA9" i="2"/>
  <c r="AA11" i="2"/>
  <c r="Z8" i="2"/>
  <c r="Y7" i="2"/>
  <c r="Y9" i="2"/>
  <c r="Y11" i="2"/>
  <c r="X9" i="2"/>
  <c r="W7" i="2"/>
  <c r="W9" i="2"/>
  <c r="W11" i="2"/>
  <c r="V8" i="2"/>
  <c r="U7" i="2"/>
  <c r="U9" i="2"/>
  <c r="U11" i="2"/>
  <c r="T9" i="2"/>
  <c r="S8" i="2"/>
  <c r="V5" i="2"/>
  <c r="U5" i="2"/>
  <c r="R6" i="2"/>
  <c r="R8" i="2"/>
  <c r="R10" i="2"/>
  <c r="R5" i="2"/>
  <c r="P6" i="2"/>
  <c r="P7" i="2"/>
  <c r="P8" i="2"/>
  <c r="P9" i="2"/>
  <c r="P10" i="2"/>
  <c r="P11" i="2"/>
  <c r="P5" i="2"/>
  <c r="U24" i="4" l="1"/>
  <c r="W19" i="4"/>
  <c r="W17" i="4"/>
  <c r="W15" i="4"/>
  <c r="W13" i="4"/>
  <c r="W10" i="4"/>
  <c r="W8" i="4"/>
  <c r="W6" i="4"/>
  <c r="Y23" i="4"/>
  <c r="Y21" i="4"/>
  <c r="Y19" i="4"/>
  <c r="Y17" i="4"/>
  <c r="Y15" i="4"/>
  <c r="Y13" i="4"/>
  <c r="Y10" i="4"/>
  <c r="Y8" i="4"/>
  <c r="Y6" i="4"/>
  <c r="AA23" i="4"/>
  <c r="AA21" i="4"/>
  <c r="AA19" i="4"/>
  <c r="AA17" i="4"/>
  <c r="AA14" i="4"/>
  <c r="AA10" i="4"/>
  <c r="AC20" i="4"/>
  <c r="AC16" i="4"/>
  <c r="AC12" i="4"/>
  <c r="R16" i="4"/>
  <c r="R11" i="4"/>
  <c r="AB10" i="4"/>
  <c r="AB11" i="4"/>
  <c r="Z15" i="4"/>
  <c r="Z11" i="4"/>
  <c r="X9" i="4"/>
  <c r="X11" i="4"/>
  <c r="V15" i="4"/>
  <c r="V11" i="4"/>
  <c r="T9" i="4"/>
  <c r="T11" i="4"/>
  <c r="W24" i="4"/>
  <c r="R20" i="4"/>
  <c r="T13" i="4"/>
  <c r="V19" i="4"/>
  <c r="X13" i="4"/>
  <c r="Z19" i="4"/>
  <c r="AB14" i="4"/>
  <c r="AC7" i="4"/>
  <c r="AC11" i="4"/>
  <c r="AA7" i="4"/>
  <c r="AA11" i="4"/>
  <c r="S24" i="4"/>
  <c r="AB5" i="4"/>
  <c r="Z5" i="4"/>
  <c r="X5" i="4"/>
  <c r="T17" i="4"/>
  <c r="V23" i="4"/>
  <c r="X17" i="4"/>
  <c r="Y24" i="4"/>
  <c r="Z23" i="4"/>
  <c r="AB18" i="4"/>
  <c r="S7" i="2"/>
  <c r="S6" i="2"/>
  <c r="S10" i="2"/>
  <c r="E14" i="3"/>
  <c r="E26" i="4" s="1"/>
  <c r="N14" i="3"/>
  <c r="N26" i="4" s="1"/>
  <c r="AB6" i="2"/>
  <c r="AB8" i="2"/>
  <c r="AB10" i="2"/>
  <c r="AB5" i="2"/>
  <c r="L14" i="3"/>
  <c r="L26" i="4" s="1"/>
  <c r="Z7" i="2"/>
  <c r="Z9" i="2"/>
  <c r="Z11" i="2"/>
  <c r="J14" i="3"/>
  <c r="J26" i="4" s="1"/>
  <c r="X6" i="2"/>
  <c r="X8" i="2"/>
  <c r="X10" i="2"/>
  <c r="X5" i="2"/>
  <c r="H14" i="3"/>
  <c r="H26" i="4" s="1"/>
  <c r="V7" i="2"/>
  <c r="V9" i="2"/>
  <c r="V11" i="2"/>
  <c r="F14" i="3"/>
  <c r="F26" i="4" s="1"/>
  <c r="T6" i="2"/>
  <c r="T8" i="2"/>
  <c r="T10" i="2"/>
  <c r="T5" i="2"/>
  <c r="S5" i="2"/>
  <c r="Z5" i="2"/>
  <c r="T11" i="2"/>
  <c r="T7" i="2"/>
  <c r="V10" i="2"/>
  <c r="V6" i="2"/>
  <c r="X11" i="2"/>
  <c r="X7" i="2"/>
  <c r="Z10" i="2"/>
  <c r="Z6" i="2"/>
  <c r="AB11" i="2"/>
  <c r="AB7" i="2"/>
  <c r="AC7" i="3"/>
  <c r="AC8" i="3"/>
  <c r="AC10" i="3"/>
  <c r="AA7" i="3"/>
  <c r="AA6" i="3"/>
  <c r="AA10" i="3"/>
  <c r="Y7" i="3"/>
  <c r="Y8" i="3"/>
  <c r="Y6" i="3"/>
  <c r="W7" i="3"/>
  <c r="W6" i="3"/>
  <c r="W10" i="3"/>
  <c r="I14" i="3"/>
  <c r="I26" i="4" s="1"/>
  <c r="U7" i="3"/>
  <c r="U8" i="3"/>
  <c r="S7" i="3"/>
  <c r="S6" i="3"/>
  <c r="S10" i="3"/>
  <c r="M14" i="3"/>
  <c r="M26" i="4" s="1"/>
  <c r="R6" i="4"/>
  <c r="R7" i="4"/>
  <c r="R15" i="4"/>
  <c r="R17" i="4"/>
  <c r="R19" i="4"/>
  <c r="R21" i="4"/>
  <c r="R23" i="4"/>
  <c r="R5" i="4"/>
  <c r="AB7" i="4"/>
  <c r="AB9" i="4"/>
  <c r="AB13" i="4"/>
  <c r="AB15" i="4"/>
  <c r="AB17" i="4"/>
  <c r="AB19" i="4"/>
  <c r="AB21" i="4"/>
  <c r="AB23" i="4"/>
  <c r="Z6" i="4"/>
  <c r="Z8" i="4"/>
  <c r="Z10" i="4"/>
  <c r="Z12" i="4"/>
  <c r="Z14" i="4"/>
  <c r="Z16" i="4"/>
  <c r="Z18" i="4"/>
  <c r="Z20" i="4"/>
  <c r="Z22" i="4"/>
  <c r="X6" i="4"/>
  <c r="X8" i="4"/>
  <c r="X10" i="4"/>
  <c r="X12" i="4"/>
  <c r="X14" i="4"/>
  <c r="X16" i="4"/>
  <c r="X18" i="4"/>
  <c r="X20" i="4"/>
  <c r="X22" i="4"/>
  <c r="V6" i="4"/>
  <c r="V8" i="4"/>
  <c r="V10" i="4"/>
  <c r="V12" i="4"/>
  <c r="V14" i="4"/>
  <c r="V16" i="4"/>
  <c r="V18" i="4"/>
  <c r="V20" i="4"/>
  <c r="V22" i="4"/>
  <c r="V5" i="4"/>
  <c r="T6" i="4"/>
  <c r="T8" i="4"/>
  <c r="T10" i="4"/>
  <c r="T12" i="4"/>
  <c r="T14" i="4"/>
  <c r="T16" i="4"/>
  <c r="T18" i="4"/>
  <c r="T20" i="4"/>
  <c r="T22" i="4"/>
  <c r="T5" i="4"/>
  <c r="R7" i="2"/>
  <c r="D14" i="3"/>
  <c r="D26" i="4" s="1"/>
  <c r="P12" i="3"/>
  <c r="AD5" i="3" s="1"/>
  <c r="V12" i="3"/>
  <c r="O14" i="3"/>
  <c r="O26" i="4" s="1"/>
  <c r="K14" i="3"/>
  <c r="K26" i="4" s="1"/>
  <c r="G14" i="3"/>
  <c r="G26" i="4" s="1"/>
  <c r="R22" i="4"/>
  <c r="R18" i="4"/>
  <c r="R13" i="4"/>
  <c r="T23" i="4"/>
  <c r="T19" i="4"/>
  <c r="T15" i="4"/>
  <c r="T7" i="4"/>
  <c r="V21" i="4"/>
  <c r="V17" i="4"/>
  <c r="V13" i="4"/>
  <c r="V9" i="4"/>
  <c r="X23" i="4"/>
  <c r="X19" i="4"/>
  <c r="X15" i="4"/>
  <c r="X7" i="4"/>
  <c r="Z21" i="4"/>
  <c r="Z17" i="4"/>
  <c r="Z13" i="4"/>
  <c r="Z9" i="4"/>
  <c r="AB20" i="4"/>
  <c r="AB16" i="4"/>
  <c r="AB12" i="4"/>
  <c r="AB8" i="4"/>
  <c r="P24" i="4"/>
  <c r="AA15" i="4"/>
  <c r="AA13" i="4"/>
  <c r="AA9" i="4"/>
  <c r="AC23" i="4"/>
  <c r="AC21" i="4"/>
  <c r="AC19" i="4"/>
  <c r="AC17" i="4"/>
  <c r="AC15" i="4"/>
  <c r="AC13" i="4"/>
  <c r="AC9" i="4"/>
  <c r="R14" i="4"/>
  <c r="R12" i="4"/>
  <c r="R10" i="4"/>
  <c r="R8" i="4"/>
  <c r="U5" i="3"/>
  <c r="S5" i="3"/>
  <c r="Y5" i="3"/>
  <c r="W5" i="3"/>
  <c r="AA5" i="3"/>
  <c r="S11" i="3"/>
  <c r="S9" i="3"/>
  <c r="U11" i="3"/>
  <c r="U9" i="3"/>
  <c r="W11" i="3"/>
  <c r="W9" i="3"/>
  <c r="Y11" i="3"/>
  <c r="Y9" i="3"/>
  <c r="AA11" i="3"/>
  <c r="AA9" i="3"/>
  <c r="AC11" i="3"/>
  <c r="AC9" i="3"/>
  <c r="P12" i="2"/>
  <c r="Y5" i="2"/>
  <c r="W5" i="2"/>
  <c r="AC5" i="2"/>
  <c r="AA5" i="2"/>
  <c r="U10" i="2"/>
  <c r="U12" i="2" s="1"/>
  <c r="U8" i="2"/>
  <c r="W10" i="2"/>
  <c r="W8" i="2"/>
  <c r="Y10" i="2"/>
  <c r="Y8" i="2"/>
  <c r="AA10" i="2"/>
  <c r="AA8" i="2"/>
  <c r="AC10" i="2"/>
  <c r="AC8" i="2"/>
  <c r="S11" i="2"/>
  <c r="S9" i="2"/>
  <c r="R11" i="2"/>
  <c r="R9" i="2"/>
  <c r="AD1" i="4"/>
  <c r="B1" i="4"/>
  <c r="B1" i="3"/>
  <c r="AD1" i="3"/>
  <c r="AD2" i="2"/>
  <c r="B2" i="3"/>
  <c r="R12" i="2" l="1"/>
  <c r="AC12" i="3"/>
  <c r="V12" i="2"/>
  <c r="AC24" i="4"/>
  <c r="AD23" i="4"/>
  <c r="AD11" i="4"/>
  <c r="Z24" i="4"/>
  <c r="AB24" i="4"/>
  <c r="AA24" i="4"/>
  <c r="X24" i="4"/>
  <c r="AC12" i="2"/>
  <c r="Y12" i="2"/>
  <c r="AA12" i="3"/>
  <c r="Y12" i="3"/>
  <c r="U12" i="3"/>
  <c r="R24" i="4"/>
  <c r="Z12" i="2"/>
  <c r="X12" i="2"/>
  <c r="AA12" i="2"/>
  <c r="W12" i="2"/>
  <c r="AD11" i="2"/>
  <c r="P14" i="3"/>
  <c r="W12" i="3"/>
  <c r="S12" i="3"/>
  <c r="P26" i="4"/>
  <c r="T24" i="4"/>
  <c r="V24" i="4"/>
  <c r="S12" i="2"/>
  <c r="T12" i="2"/>
  <c r="AB12" i="2"/>
  <c r="O3" i="4"/>
  <c r="AC3" i="4" s="1"/>
  <c r="M3" i="4"/>
  <c r="AA3" i="4" s="1"/>
  <c r="K3" i="4"/>
  <c r="Y3" i="4" s="1"/>
  <c r="I3" i="4"/>
  <c r="W3" i="4" s="1"/>
  <c r="G3" i="4"/>
  <c r="U3" i="4" s="1"/>
  <c r="E3" i="4"/>
  <c r="S3" i="4" s="1"/>
  <c r="N3" i="4"/>
  <c r="AB3" i="4" s="1"/>
  <c r="L3" i="4"/>
  <c r="Z3" i="4" s="1"/>
  <c r="J3" i="4"/>
  <c r="X3" i="4" s="1"/>
  <c r="H3" i="4"/>
  <c r="V3" i="4" s="1"/>
  <c r="F3" i="4"/>
  <c r="T3" i="4" s="1"/>
  <c r="D3" i="4"/>
  <c r="R3" i="4" s="1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O3" i="3"/>
  <c r="AC3" i="3" s="1"/>
  <c r="M3" i="3"/>
  <c r="AA3" i="3" s="1"/>
  <c r="K3" i="3"/>
  <c r="Y3" i="3" s="1"/>
  <c r="I3" i="3"/>
  <c r="W3" i="3" s="1"/>
  <c r="G3" i="3"/>
  <c r="U3" i="3" s="1"/>
  <c r="E3" i="3"/>
  <c r="S3" i="3" s="1"/>
  <c r="O3" i="2"/>
  <c r="AC3" i="2" s="1"/>
  <c r="M3" i="2"/>
  <c r="AA3" i="2" s="1"/>
  <c r="K3" i="2"/>
  <c r="Y3" i="2" s="1"/>
  <c r="I3" i="2"/>
  <c r="W3" i="2" s="1"/>
  <c r="G3" i="2"/>
  <c r="U3" i="2" s="1"/>
  <c r="E3" i="2"/>
  <c r="S3" i="2" s="1"/>
  <c r="N3" i="2"/>
  <c r="AB3" i="2" s="1"/>
  <c r="L3" i="2"/>
  <c r="Z3" i="2" s="1"/>
  <c r="J3" i="2"/>
  <c r="X3" i="2" s="1"/>
  <c r="H3" i="2"/>
  <c r="V3" i="2" s="1"/>
  <c r="F3" i="2"/>
  <c r="T3" i="2" s="1"/>
  <c r="D3" i="2"/>
  <c r="R3" i="2" s="1"/>
  <c r="AD8" i="4"/>
  <c r="AD12" i="4"/>
  <c r="AD16" i="4"/>
  <c r="AD20" i="4"/>
  <c r="AD5" i="4"/>
  <c r="AD9" i="4"/>
  <c r="AD13" i="4"/>
  <c r="AD17" i="4"/>
  <c r="AD21" i="4"/>
  <c r="AD6" i="4"/>
  <c r="AD10" i="4"/>
  <c r="AD14" i="4"/>
  <c r="AD18" i="4"/>
  <c r="AD22" i="4"/>
  <c r="AD7" i="4"/>
  <c r="AD15" i="4"/>
  <c r="AD19" i="4"/>
  <c r="AD9" i="3"/>
  <c r="AD6" i="3"/>
  <c r="AD12" i="3" s="1"/>
  <c r="AD10" i="3"/>
  <c r="AD7" i="3"/>
  <c r="AD11" i="3"/>
  <c r="AD8" i="3"/>
  <c r="AD8" i="2"/>
  <c r="AD5" i="2"/>
  <c r="AD9" i="2"/>
  <c r="AD6" i="2"/>
  <c r="AD10" i="2"/>
  <c r="AD7" i="2"/>
  <c r="AD2" i="4"/>
  <c r="AC2" i="4"/>
  <c r="AD2" i="3"/>
  <c r="AC2" i="3"/>
  <c r="AD12" i="2" l="1"/>
  <c r="AD24" i="4"/>
  <c r="X26" i="4"/>
  <c r="Z14" i="3"/>
  <c r="T26" i="4" l="1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<sst xmlns="http://schemas.openxmlformats.org/spreadsheetml/2006/main" count="160" uniqueCount="78">
  <si>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Dvylika mėnesių</t>
  </si>
  <si>
    <t>PELNO IR NUOSTOLIŲ PROGNOZĖ</t>
  </si>
  <si>
    <t>PAJAMOS (PARDAVIMAS)</t>
  </si>
  <si>
    <t>1 pajamos</t>
  </si>
  <si>
    <t>2 pajamos</t>
  </si>
  <si>
    <t>3 pajamos</t>
  </si>
  <si>
    <t>4 pajamos</t>
  </si>
  <si>
    <t>5 pajamos</t>
  </si>
  <si>
    <t>6 pajamos</t>
  </si>
  <si>
    <t>7 pajamos</t>
  </si>
  <si>
    <t>BENDRAS PARDAVIMAS</t>
  </si>
  <si>
    <t>TENDENCIJA</t>
  </si>
  <si>
    <t>KASMET</t>
  </si>
  <si>
    <t>Kasmet</t>
  </si>
  <si>
    <t>IND %</t>
  </si>
  <si>
    <t>Indeksas %</t>
  </si>
  <si>
    <t>Sau %</t>
  </si>
  <si>
    <t>Vas %</t>
  </si>
  <si>
    <t>Kov %</t>
  </si>
  <si>
    <t>Bal %</t>
  </si>
  <si>
    <t>Geg %</t>
  </si>
  <si>
    <t>Bir %</t>
  </si>
  <si>
    <t>Lie %</t>
  </si>
  <si>
    <t>Rgs %</t>
  </si>
  <si>
    <t>Spl %</t>
  </si>
  <si>
    <t>FINANSINIAI METAI PRASIDEDA:</t>
  </si>
  <si>
    <t>Lap %</t>
  </si>
  <si>
    <t>Grd %</t>
  </si>
  <si>
    <t>Įmonės pavadinimas</t>
  </si>
  <si>
    <t>METAI %</t>
  </si>
  <si>
    <t>Metai %</t>
  </si>
  <si>
    <t>1 išlaidos</t>
  </si>
  <si>
    <t>2 išlaidos</t>
  </si>
  <si>
    <t>3 išlaidos</t>
  </si>
  <si>
    <t>4 išlaidos</t>
  </si>
  <si>
    <t>5 išlaidos</t>
  </si>
  <si>
    <t>6 išlaidos</t>
  </si>
  <si>
    <t>7 išlaidos</t>
  </si>
  <si>
    <t>Bendrasis pelnas</t>
  </si>
  <si>
    <t>FINANSINIAI METAI:</t>
  </si>
  <si>
    <t>IŠLAIDOS</t>
  </si>
  <si>
    <t xml:space="preserve">Atlyginimų išlaidos </t>
  </si>
  <si>
    <t xml:space="preserve">Algalapių išlaidos </t>
  </si>
  <si>
    <t>Išorinės paslaugos</t>
  </si>
  <si>
    <t>Ištekliai (biuras ir veikla)</t>
  </si>
  <si>
    <t>Remontas ir priežiūra</t>
  </si>
  <si>
    <t>Reklama</t>
  </si>
  <si>
    <t>Automobilis, pristatymas ir kelionės</t>
  </si>
  <si>
    <t>Apskaita ir teisinės paslaugos</t>
  </si>
  <si>
    <t>Nuoma</t>
  </si>
  <si>
    <t>Telefonas</t>
  </si>
  <si>
    <t>Komunalinės paslaugos</t>
  </si>
  <si>
    <t>Draudimas</t>
  </si>
  <si>
    <t>Mokesčiai (nekilnojamasis turtas ir kt.)</t>
  </si>
  <si>
    <t>Palūkanos</t>
  </si>
  <si>
    <t>Nusidėvėjimas</t>
  </si>
  <si>
    <t>Kitos išlaidos (nurodyti)</t>
  </si>
  <si>
    <t>Įvairios (nenurodyta)</t>
  </si>
  <si>
    <t>BENDROSIOS IŠLAIDOS</t>
  </si>
  <si>
    <t>Grynasis Pelnas</t>
  </si>
  <si>
    <t xml:space="preserve"> </t>
  </si>
  <si>
    <t>1stulpelis</t>
  </si>
  <si>
    <t>Sau</t>
  </si>
  <si>
    <t>Vas</t>
  </si>
  <si>
    <t>Kov</t>
  </si>
  <si>
    <t>Bal</t>
  </si>
  <si>
    <t>Geg</t>
  </si>
  <si>
    <t>Bir</t>
  </si>
  <si>
    <t>Lie</t>
  </si>
  <si>
    <t>Rgp</t>
  </si>
  <si>
    <t>Rgs</t>
  </si>
  <si>
    <t>Spl</t>
  </si>
  <si>
    <t>Lap</t>
  </si>
  <si>
    <t>Grd</t>
  </si>
  <si>
    <t>Rgp %</t>
  </si>
  <si>
    <t>SAU</t>
  </si>
  <si>
    <t>Pardavimo savikaina</t>
  </si>
  <si>
    <t>Bendroji pardavimo savikaina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</si>
</sst>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_-* #,##0\ [$EUR]_-;\-* #,##0\ [$EUR]_-;_-* &quot;-&quot;\ [$EUR]_-;_-@_-"/>
    <numFmt numFmtId="169" formatCode="[$-427]yy/mmm;@"/>
    <numFmt numFmtId="170" formatCode="0&quot; &quot;%"/>
  </numFmts>
  <fonts count="2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8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1" fillId="3" borderId="4" applyNumberFormat="0" applyFont="0" applyAlignment="0"/>
    <xf numFmtId="164" fontId="11" fillId="6" borderId="4" applyNumberFormat="0" applyFont="0" applyAlignment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8" fontId="9" fillId="2" borderId="0" xfId="9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8" fontId="0" fillId="0" borderId="0" xfId="6" applyFont="1" applyFill="1" applyBorder="1"/>
    <xf numFmtId="0" fontId="0" fillId="0" borderId="0" xfId="0" applyFont="1" applyFill="1" applyBorder="1"/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8" fontId="11" fillId="6" borderId="4" xfId="6" applyFill="1" applyBorder="1"/>
    <xf numFmtId="0" fontId="0" fillId="0" borderId="0" xfId="0" applyFont="1" applyFill="1" applyBorder="1" applyAlignment="1">
      <alignment horizontal="right" wrapText="1" indent="1"/>
    </xf>
    <xf numFmtId="168" fontId="0" fillId="0" borderId="0" xfId="0" applyNumberFormat="1" applyFont="1" applyFill="1" applyBorder="1"/>
    <xf numFmtId="168" fontId="11" fillId="3" borderId="4" xfId="6" applyFill="1" applyBorder="1"/>
    <xf numFmtId="0" fontId="6" fillId="0" borderId="0" xfId="15" applyAlignment="1">
      <alignment horizontal="right" indent="1"/>
    </xf>
    <xf numFmtId="0" fontId="14" fillId="0" borderId="0" xfId="0" applyNumberFormat="1" applyFont="1"/>
    <xf numFmtId="0" fontId="15" fillId="0" borderId="3" xfId="3" applyFo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12" applyFo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1" fillId="0" borderId="0" xfId="13" applyFont="1">
      <alignment horizontal="right" vertical="center"/>
    </xf>
    <xf numFmtId="0" fontId="21" fillId="0" borderId="0" xfId="13" applyNumberFormat="1" applyFont="1">
      <alignment horizontal="right" vertical="center"/>
    </xf>
    <xf numFmtId="169" fontId="22" fillId="0" borderId="2" xfId="14" applyNumberFormat="1" applyFont="1">
      <alignment horizontal="center" vertical="center"/>
    </xf>
    <xf numFmtId="169" fontId="22" fillId="0" borderId="2" xfId="14" applyFont="1">
      <alignment horizontal="center" vertical="center"/>
    </xf>
    <xf numFmtId="0" fontId="23" fillId="0" borderId="0" xfId="15" applyFont="1" applyAlignment="1">
      <alignment horizontal="right" indent="1"/>
    </xf>
    <xf numFmtId="0" fontId="23" fillId="0" borderId="0" xfId="15" applyFont="1">
      <alignment horizontal="right" indent="1"/>
    </xf>
    <xf numFmtId="167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right"/>
    </xf>
    <xf numFmtId="0" fontId="14" fillId="0" borderId="0" xfId="11" applyFont="1">
      <alignment horizontal="right" wrapText="1" indent="1"/>
    </xf>
    <xf numFmtId="0" fontId="24" fillId="5" borderId="4" xfId="16" applyNumberFormat="1" applyFont="1" applyAlignment="1">
      <alignment horizontal="center"/>
    </xf>
    <xf numFmtId="168" fontId="25" fillId="0" borderId="0" xfId="6" applyFont="1" applyFill="1" applyBorder="1"/>
    <xf numFmtId="168" fontId="25" fillId="5" borderId="4" xfId="6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wrapText="1" indent="1"/>
    </xf>
    <xf numFmtId="0" fontId="14" fillId="0" borderId="0" xfId="0" applyFont="1" applyFill="1" applyBorder="1"/>
    <xf numFmtId="168" fontId="14" fillId="0" borderId="0" xfId="0" applyNumberFormat="1" applyFont="1" applyFill="1" applyBorder="1"/>
    <xf numFmtId="170" fontId="25" fillId="0" borderId="0" xfId="1" applyNumberFormat="1" applyFont="1" applyFill="1" applyBorder="1" applyAlignment="1">
      <alignment horizontal="right"/>
    </xf>
    <xf numFmtId="170" fontId="25" fillId="5" borderId="4" xfId="1" applyNumberFormat="1" applyFont="1" applyFill="1" applyBorder="1" applyAlignment="1">
      <alignment horizontal="right"/>
    </xf>
    <xf numFmtId="170" fontId="25" fillId="5" borderId="4" xfId="1" applyNumberFormat="1" applyFont="1" applyFill="1" applyBorder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0" fillId="0" borderId="0" xfId="1" applyNumberFormat="1" applyFont="1" applyFill="1" applyBorder="1" applyAlignment="1">
      <alignment horizontal="right"/>
    </xf>
    <xf numFmtId="170" fontId="11" fillId="3" borderId="4" xfId="1" applyNumberFormat="1" applyFill="1" applyBorder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11" fillId="0" borderId="0" xfId="0" applyNumberFormat="1" applyFont="1" applyAlignment="1">
      <alignment horizontal="right"/>
    </xf>
    <xf numFmtId="170" fontId="9" fillId="2" borderId="0" xfId="10" applyNumberFormat="1" applyFill="1" applyAlignment="1">
      <alignment horizontal="right" vertical="center" indent="1"/>
    </xf>
    <xf numFmtId="170" fontId="11" fillId="6" borderId="4" xfId="1" applyNumberFormat="1" applyFill="1" applyBorder="1" applyAlignment="1">
      <alignment horizontal="right"/>
    </xf>
  </cellXfs>
  <cellStyles count="19">
    <cellStyle name="1 antraštė" xfId="3" builtinId="16" customBuiltin="1"/>
    <cellStyle name="1 lentelės antraštė" xfId="15" xr:uid="{00000000-0005-0000-0000-000001000000}"/>
    <cellStyle name="2 antraštė" xfId="12" builtinId="17" customBuiltin="1"/>
    <cellStyle name="3 antraštė" xfId="13" builtinId="18" customBuiltin="1"/>
    <cellStyle name="4 antraštė" xfId="14" builtinId="19" customBuiltin="1"/>
    <cellStyle name="Įprastas" xfId="0" builtinId="0" customBuiltin="1"/>
    <cellStyle name="Išlaidų užpildymas" xfId="18" xr:uid="{00000000-0005-0000-0000-000006000000}"/>
    <cellStyle name="Kablelis" xfId="4" builtinId="3" customBuiltin="1"/>
    <cellStyle name="Kablelis [0]" xfId="5" builtinId="6" customBuiltin="1"/>
    <cellStyle name="Lentelės informacija" xfId="11" xr:uid="{00000000-0005-0000-0000-000009000000}"/>
    <cellStyle name="Pajamų užpildymas" xfId="16" xr:uid="{00000000-0005-0000-0000-00000A000000}"/>
    <cellStyle name="Pardavimo išlaidų užpildymas" xfId="17" xr:uid="{00000000-0005-0000-0000-00000B000000}"/>
    <cellStyle name="Pastaba" xfId="7" builtinId="10" customBuiltin="1"/>
    <cellStyle name="Pavadinimas" xfId="2" builtinId="15" customBuiltin="1"/>
    <cellStyle name="Pelnas" xfId="8" xr:uid="{00000000-0005-0000-0000-00000E000000}"/>
    <cellStyle name="Pelno procentas" xfId="10" xr:uid="{00000000-0005-0000-0000-00000F000000}"/>
    <cellStyle name="Pelno suma" xfId="9" xr:uid="{00000000-0005-0000-0000-000010000000}"/>
    <cellStyle name="Procentai" xfId="1" builtinId="5" customBuiltin="1"/>
    <cellStyle name="Valiuta [0]" xfId="6" builtinId="7" customBuiltin="1"/>
  </cellStyles>
  <dxfs count="145"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elno ir nuostolių pajamos" defaultPivotStyle="PivotStyleLight16">
    <tableStyle name="Pelno ir nuostolių išlaidos" pivot="0" count="5" xr9:uid="{00000000-0011-0000-FFFF-FFFF00000000}">
      <tableStyleElement type="wholeTable" dxfId="144"/>
      <tableStyleElement type="headerRow" dxfId="143"/>
      <tableStyleElement type="totalRow" dxfId="142"/>
      <tableStyleElement type="firstRowStripe" dxfId="141"/>
      <tableStyleElement type="secondRowStripe" dxfId="140"/>
    </tableStyle>
    <tableStyle name="Pelno ir nuostolių pajamos" pivot="0" count="5" xr9:uid="{00000000-0011-0000-FFFF-FFFF01000000}">
      <tableStyleElement type="wholeTable" dxfId="139"/>
      <tableStyleElement type="headerRow" dxfId="138"/>
      <tableStyleElement type="totalRow" dxfId="137"/>
      <tableStyleElement type="firstRowStripe" dxfId="136"/>
      <tableStyleElement type="secondRowStripe" dxfId="135"/>
    </tableStyle>
    <tableStyle name="Pelno ir nuostolių pardavimas" pivot="0" count="5" xr9:uid="{00000000-0011-0000-FFFF-FFFF02000000}">
      <tableStyleElement type="wholeTable" dxfId="134"/>
      <tableStyleElement type="headerRow" dxfId="133"/>
      <tableStyleElement type="totalRow" dxfId="132"/>
      <tableStyleElement type="firstRowStripe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jamos" displayName="Pajamos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PAJAMOS (PARDAVIMAS)" totalsRowLabel="BENDRAS PARDAVIMAS" totalsRowDxfId="129"/>
    <tableColumn id="29" xr3:uid="{00000000-0010-0000-0000-00001D000000}" name="TENDENCIJA" dataDxfId="128" totalsRowDxfId="127"/>
    <tableColumn id="2" xr3:uid="{00000000-0010-0000-0000-000002000000}" name="Sau" totalsRowFunction="sum" totalsRowDxfId="126"/>
    <tableColumn id="3" xr3:uid="{00000000-0010-0000-0000-000003000000}" name="Vas" totalsRowFunction="sum" totalsRowDxfId="125"/>
    <tableColumn id="4" xr3:uid="{00000000-0010-0000-0000-000004000000}" name="Kov" totalsRowFunction="sum" totalsRowDxfId="124"/>
    <tableColumn id="5" xr3:uid="{00000000-0010-0000-0000-000005000000}" name="Bal" totalsRowFunction="sum" totalsRowDxfId="123"/>
    <tableColumn id="6" xr3:uid="{00000000-0010-0000-0000-000006000000}" name="Geg" totalsRowFunction="sum" totalsRowDxfId="122"/>
    <tableColumn id="7" xr3:uid="{00000000-0010-0000-0000-000007000000}" name="Bir" totalsRowFunction="sum" totalsRowDxfId="121"/>
    <tableColumn id="8" xr3:uid="{00000000-0010-0000-0000-000008000000}" name="Lie" totalsRowFunction="sum" totalsRowDxfId="120"/>
    <tableColumn id="9" xr3:uid="{00000000-0010-0000-0000-000009000000}" name="Rgp" totalsRowFunction="sum" totalsRowDxfId="119"/>
    <tableColumn id="10" xr3:uid="{00000000-0010-0000-0000-00000A000000}" name="Rgs" totalsRowFunction="sum" totalsRowDxfId="118"/>
    <tableColumn id="11" xr3:uid="{00000000-0010-0000-0000-00000B000000}" name="Spl" totalsRowFunction="sum" totalsRowDxfId="117"/>
    <tableColumn id="12" xr3:uid="{00000000-0010-0000-0000-00000C000000}" name="Lap" totalsRowFunction="sum" totalsRowDxfId="116"/>
    <tableColumn id="13" xr3:uid="{00000000-0010-0000-0000-00000D000000}" name="Grd" totalsRowFunction="sum" totalsRowDxfId="115"/>
    <tableColumn id="14" xr3:uid="{00000000-0010-0000-0000-00000E000000}" name="Kasmet" totalsRowFunction="sum" totalsRowDxfId="114">
      <calculatedColumnFormula>SUM(Pajamos[[#This Row],[Sau]:[Grd]])</calculatedColumnFormula>
    </tableColumn>
    <tableColumn id="15" xr3:uid="{00000000-0010-0000-0000-00000F000000}" name="Indeksas %" totalsRowFunction="sum" dataDxfId="41" totalsRowDxfId="113"/>
    <tableColumn id="16" xr3:uid="{00000000-0010-0000-0000-000010000000}" name="Sau %" totalsRowFunction="sum" dataDxfId="40" totalsRowDxfId="112">
      <calculatedColumnFormula>IFERROR(Pajamos[[#This Row],[Sau]]/Pajamos[[#Totals],[Sau]],"-")</calculatedColumnFormula>
    </tableColumn>
    <tableColumn id="17" xr3:uid="{00000000-0010-0000-0000-000011000000}" name="Vas %" totalsRowFunction="sum" dataDxfId="39" totalsRowDxfId="111">
      <calculatedColumnFormula>IFERROR(Pajamos[[#This Row],[Vas]]/Pajamos[[#Totals],[Vas]],"-")</calculatedColumnFormula>
    </tableColumn>
    <tableColumn id="18" xr3:uid="{00000000-0010-0000-0000-000012000000}" name="Kov %" totalsRowFunction="sum" dataDxfId="38" totalsRowDxfId="110">
      <calculatedColumnFormula>IFERROR(Pajamos[[#This Row],[Kov]]/Pajamos[[#Totals],[Kov]],"-")</calculatedColumnFormula>
    </tableColumn>
    <tableColumn id="19" xr3:uid="{00000000-0010-0000-0000-000013000000}" name="Bal %" totalsRowFunction="sum" dataDxfId="37" totalsRowDxfId="109">
      <calculatedColumnFormula>IFERROR(Pajamos[[#This Row],[Bal]]/Pajamos[[#Totals],[Bal]],"-")</calculatedColumnFormula>
    </tableColumn>
    <tableColumn id="20" xr3:uid="{00000000-0010-0000-0000-000014000000}" name="Geg %" totalsRowFunction="sum" dataDxfId="36" totalsRowDxfId="108">
      <calculatedColumnFormula>IFERROR(Pajamos[[#This Row],[Geg]]/Pajamos[[#Totals],[Geg]],"-")</calculatedColumnFormula>
    </tableColumn>
    <tableColumn id="21" xr3:uid="{00000000-0010-0000-0000-000015000000}" name="Bir %" totalsRowFunction="sum" dataDxfId="35" totalsRowDxfId="107">
      <calculatedColumnFormula>IFERROR(Pajamos[[#This Row],[Bir]]/Pajamos[[#Totals],[Bir]],"-")</calculatedColumnFormula>
    </tableColumn>
    <tableColumn id="22" xr3:uid="{00000000-0010-0000-0000-000016000000}" name="Lie %" totalsRowFunction="sum" dataDxfId="34" totalsRowDxfId="106">
      <calculatedColumnFormula>IFERROR(Pajamos[[#This Row],[Lie]]/Pajamos[[#Totals],[Lie]],"-")</calculatedColumnFormula>
    </tableColumn>
    <tableColumn id="23" xr3:uid="{00000000-0010-0000-0000-000017000000}" name="Rgp %" totalsRowFunction="sum" dataDxfId="33" totalsRowDxfId="105">
      <calculatedColumnFormula>IFERROR(Pajamos[[#This Row],[Rgp]]/Pajamos[[#Totals],[Rgp]],"-")</calculatedColumnFormula>
    </tableColumn>
    <tableColumn id="24" xr3:uid="{00000000-0010-0000-0000-000018000000}" name="Rgs %" totalsRowFunction="sum" dataDxfId="32" totalsRowDxfId="104">
      <calculatedColumnFormula>IFERROR(Pajamos[[#This Row],[Rgs]]/Pajamos[[#Totals],[Rgs]],"-")</calculatedColumnFormula>
    </tableColumn>
    <tableColumn id="25" xr3:uid="{00000000-0010-0000-0000-000019000000}" name="Spl %" totalsRowFunction="sum" dataDxfId="31" totalsRowDxfId="103">
      <calculatedColumnFormula>IFERROR(Pajamos[[#This Row],[Spl]]/Pajamos[[#Totals],[Spl]],"-")</calculatedColumnFormula>
    </tableColumn>
    <tableColumn id="26" xr3:uid="{00000000-0010-0000-0000-00001A000000}" name="Lap %" totalsRowFunction="sum" dataDxfId="30" totalsRowDxfId="102">
      <calculatedColumnFormula>IFERROR(Pajamos[[#This Row],[Lap]]/Pajamos[[#Totals],[Lap]],"-")</calculatedColumnFormula>
    </tableColumn>
    <tableColumn id="27" xr3:uid="{00000000-0010-0000-0000-00001B000000}" name="Grd %" totalsRowFunction="sum" dataDxfId="29" totalsRowDxfId="101">
      <calculatedColumnFormula>IFERROR(Pajamos[[#This Row],[Grd]]/Pajamos[[#Totals],[Grd]],"-")</calculatedColumnFormula>
    </tableColumn>
    <tableColumn id="28" xr3:uid="{00000000-0010-0000-0000-00001C000000}" name="Metai %" totalsRowFunction="sum" dataDxfId="28" totalsRowDxfId="100">
      <calculatedColumnFormula>IFERROR(Pajamos[[#This Row],[Kasmet]]/Pajamos[[#Totals],[Kasmet]],"-")</calculatedColumnFormula>
    </tableColumn>
  </tableColumns>
  <tableStyleInfo name="Pelno ir nuostolių pajamos" showFirstColumn="0" showLastColumn="0" showRowStripes="1" showColumnStripes="0"/>
  <extLst>
    <ext xmlns:x14="http://schemas.microsoft.com/office/spreadsheetml/2009/9/main" uri="{504A1905-F514-4f6f-8877-14C23A59335A}">
      <x14:table altTextSummary="Kiekvieno pajamų elemento mėnesio pardavimų, bendrosios metinės sumos ir mėnesinės procentinės reikšmės suvestinė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davimoišlaidos" displayName="Pardavimoišlaidos" ref="B4:AD12" totalsRowCount="1">
  <tableColumns count="29">
    <tableColumn id="1" xr3:uid="{00000000-0010-0000-0100-000001000000}" name="Pardavimo savikaina" totalsRowLabel="Bendroji pardavimo savikaina" totalsRowDxfId="70"/>
    <tableColumn id="2" xr3:uid="{00000000-0010-0000-0100-000002000000}" name="TENDENCIJA" totalsRowDxfId="69"/>
    <tableColumn id="3" xr3:uid="{00000000-0010-0000-0100-000003000000}" name="Sau" totalsRowFunction="sum" totalsRowDxfId="68"/>
    <tableColumn id="4" xr3:uid="{00000000-0010-0000-0100-000004000000}" name="Vas" totalsRowFunction="sum" totalsRowDxfId="67"/>
    <tableColumn id="5" xr3:uid="{00000000-0010-0000-0100-000005000000}" name="Kov" totalsRowFunction="sum" totalsRowDxfId="66"/>
    <tableColumn id="6" xr3:uid="{00000000-0010-0000-0100-000006000000}" name="Bal" totalsRowFunction="sum" totalsRowDxfId="65"/>
    <tableColumn id="7" xr3:uid="{00000000-0010-0000-0100-000007000000}" name="Geg" totalsRowFunction="sum" totalsRowDxfId="64"/>
    <tableColumn id="8" xr3:uid="{00000000-0010-0000-0100-000008000000}" name="Bir" totalsRowFunction="sum" totalsRowDxfId="63"/>
    <tableColumn id="9" xr3:uid="{00000000-0010-0000-0100-000009000000}" name="Lie" totalsRowFunction="sum" totalsRowDxfId="62"/>
    <tableColumn id="10" xr3:uid="{00000000-0010-0000-0100-00000A000000}" name="Rgp" totalsRowFunction="sum" totalsRowDxfId="61"/>
    <tableColumn id="11" xr3:uid="{00000000-0010-0000-0100-00000B000000}" name="Rgs" totalsRowFunction="sum" totalsRowDxfId="60"/>
    <tableColumn id="12" xr3:uid="{00000000-0010-0000-0100-00000C000000}" name="Spl" totalsRowFunction="sum" totalsRowDxfId="59"/>
    <tableColumn id="13" xr3:uid="{00000000-0010-0000-0100-00000D000000}" name="Lap" totalsRowFunction="sum" totalsRowDxfId="58"/>
    <tableColumn id="14" xr3:uid="{00000000-0010-0000-0100-00000E000000}" name="Grd" totalsRowFunction="sum" totalsRowDxfId="57"/>
    <tableColumn id="15" xr3:uid="{00000000-0010-0000-0100-00000F000000}" name="Kasmet" totalsRowFunction="sum" totalsRowDxfId="56">
      <calculatedColumnFormula>SUM(Pardavimoišlaidos[[#This Row],[Sau]:[Grd]])</calculatedColumnFormula>
    </tableColumn>
    <tableColumn id="16" xr3:uid="{00000000-0010-0000-0100-000010000000}" name="Indeksas %" totalsRowFunction="sum" dataDxfId="27" totalsRowDxfId="55"/>
    <tableColumn id="17" xr3:uid="{00000000-0010-0000-0100-000011000000}" name="Sau %" totalsRowFunction="sum" dataDxfId="26" totalsRowDxfId="54">
      <calculatedColumnFormula>IFERROR(Pardavimoišlaidos[[#This Row],[Sau]]/Pardavimoišlaidos[[#Totals],[Sau]],"-")</calculatedColumnFormula>
    </tableColumn>
    <tableColumn id="18" xr3:uid="{00000000-0010-0000-0100-000012000000}" name="Vas %" totalsRowFunction="sum" dataDxfId="25" totalsRowDxfId="53">
      <calculatedColumnFormula>IFERROR(Pardavimoišlaidos[[#This Row],[Vas]]/Pardavimoišlaidos[[#Totals],[Vas]],"-")</calculatedColumnFormula>
    </tableColumn>
    <tableColumn id="19" xr3:uid="{00000000-0010-0000-0100-000013000000}" name="Kov %" totalsRowFunction="sum" dataDxfId="24" totalsRowDxfId="52">
      <calculatedColumnFormula>IFERROR(Pardavimoišlaidos[[#This Row],[Kov]]/Pardavimoišlaidos[[#Totals],[Kov]],"-")</calculatedColumnFormula>
    </tableColumn>
    <tableColumn id="20" xr3:uid="{00000000-0010-0000-0100-000014000000}" name="Bal %" totalsRowFunction="sum" dataDxfId="23" totalsRowDxfId="51">
      <calculatedColumnFormula>IFERROR(Pardavimoišlaidos[[#This Row],[Bal]]/Pardavimoišlaidos[[#Totals],[Bal]],"-")</calculatedColumnFormula>
    </tableColumn>
    <tableColumn id="21" xr3:uid="{00000000-0010-0000-0100-000015000000}" name="Geg %" totalsRowFunction="sum" dataDxfId="22" totalsRowDxfId="50">
      <calculatedColumnFormula>IFERROR(Pardavimoišlaidos[[#This Row],[Geg]]/Pardavimoišlaidos[[#Totals],[Geg]],"-")</calculatedColumnFormula>
    </tableColumn>
    <tableColumn id="22" xr3:uid="{00000000-0010-0000-0100-000016000000}" name="Bir %" totalsRowFunction="sum" dataDxfId="21" totalsRowDxfId="49">
      <calculatedColumnFormula>IFERROR(Pardavimoišlaidos[[#This Row],[Bir]]/Pardavimoišlaidos[[#Totals],[Bir]],"-")</calculatedColumnFormula>
    </tableColumn>
    <tableColumn id="23" xr3:uid="{00000000-0010-0000-0100-000017000000}" name="Lie %" totalsRowFunction="sum" dataDxfId="20" totalsRowDxfId="48">
      <calculatedColumnFormula>IFERROR(Pardavimoišlaidos[[#This Row],[Lie]]/Pardavimoišlaidos[[#Totals],[Lie]],"-")</calculatedColumnFormula>
    </tableColumn>
    <tableColumn id="24" xr3:uid="{00000000-0010-0000-0100-000018000000}" name="Rgp %" totalsRowFunction="sum" dataDxfId="19" totalsRowDxfId="47">
      <calculatedColumnFormula>IFERROR(Pardavimoišlaidos[[#This Row],[Rgp]]/Pardavimoišlaidos[[#Totals],[Rgp]],"-")</calculatedColumnFormula>
    </tableColumn>
    <tableColumn id="25" xr3:uid="{00000000-0010-0000-0100-000019000000}" name="Rgs %" totalsRowFunction="sum" dataDxfId="18" totalsRowDxfId="46">
      <calculatedColumnFormula>IFERROR(Pardavimoišlaidos[[#This Row],[Rgs]]/Pardavimoišlaidos[[#Totals],[Rgs]],"-")</calculatedColumnFormula>
    </tableColumn>
    <tableColumn id="26" xr3:uid="{00000000-0010-0000-0100-00001A000000}" name="Spl %" totalsRowFunction="sum" dataDxfId="17" totalsRowDxfId="45">
      <calculatedColumnFormula>IFERROR(Pardavimoišlaidos[[#This Row],[Spl]]/Pardavimoišlaidos[[#Totals],[Spl]],"-")</calculatedColumnFormula>
    </tableColumn>
    <tableColumn id="27" xr3:uid="{00000000-0010-0000-0100-00001B000000}" name="Lap %" totalsRowFunction="sum" dataDxfId="16" totalsRowDxfId="44">
      <calculatedColumnFormula>IFERROR(Pardavimoišlaidos[[#This Row],[Lap]]/Pardavimoišlaidos[[#Totals],[Lap]],"-")</calculatedColumnFormula>
    </tableColumn>
    <tableColumn id="28" xr3:uid="{00000000-0010-0000-0100-00001C000000}" name="Grd %" totalsRowFunction="sum" dataDxfId="15" totalsRowDxfId="43">
      <calculatedColumnFormula>IFERROR(Pardavimoišlaidos[[#This Row],[Grd]]/Pardavimoišlaidos[[#Totals],[Grd]],"-")</calculatedColumnFormula>
    </tableColumn>
    <tableColumn id="29" xr3:uid="{00000000-0010-0000-0100-00001D000000}" name="Metai %" totalsRowFunction="sum" dataDxfId="14" totalsRowDxfId="42">
      <calculatedColumnFormula>IFERROR(Pardavimoišlaidos[[#This Row],[Kasmet]]/Pardavimoišlaidos[[#Totals],[Kasmet]],"-")</calculatedColumnFormula>
    </tableColumn>
  </tableColumns>
  <tableStyleInfo name="Pelno ir nuostolių pardavimas" showFirstColumn="0" showLastColumn="0" showRowStripes="1" showColumnStripes="0"/>
  <extLst>
    <ext xmlns:x14="http://schemas.microsoft.com/office/spreadsheetml/2009/9/main" uri="{504A1905-F514-4f6f-8877-14C23A59335A}">
      <x14:table altTextSummary="Kiekvieno išlaidų elemento pardavimo išlaidų, bendrosios metinės sumos ir mėnesinės procentinės reikšmės suvestinė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4:AD24" totalsRowCount="1">
  <tableColumns count="29">
    <tableColumn id="1" xr3:uid="{00000000-0010-0000-0200-000001000000}" name="IŠLAIDOS" totalsRowLabel="BENDROSIOS IŠLAIDOS" totalsRowDxfId="99"/>
    <tableColumn id="2" xr3:uid="{00000000-0010-0000-0200-000002000000}" name="TENDENCIJA" totalsRowDxfId="98"/>
    <tableColumn id="3" xr3:uid="{00000000-0010-0000-0200-000003000000}" name="1stulpelis" totalsRowFunction="sum" totalsRowDxfId="97"/>
    <tableColumn id="4" xr3:uid="{00000000-0010-0000-0200-000004000000}" name="Vas" totalsRowFunction="sum" totalsRowDxfId="96"/>
    <tableColumn id="5" xr3:uid="{00000000-0010-0000-0200-000005000000}" name="Kov" totalsRowFunction="sum" totalsRowDxfId="95"/>
    <tableColumn id="6" xr3:uid="{00000000-0010-0000-0200-000006000000}" name="Bal" totalsRowFunction="sum" totalsRowDxfId="94"/>
    <tableColumn id="7" xr3:uid="{00000000-0010-0000-0200-000007000000}" name="Geg" totalsRowFunction="sum" totalsRowDxfId="93"/>
    <tableColumn id="8" xr3:uid="{00000000-0010-0000-0200-000008000000}" name="Bir" totalsRowFunction="sum" totalsRowDxfId="92"/>
    <tableColumn id="9" xr3:uid="{00000000-0010-0000-0200-000009000000}" name="Lie" totalsRowFunction="sum" totalsRowDxfId="91"/>
    <tableColumn id="10" xr3:uid="{00000000-0010-0000-0200-00000A000000}" name="Rgp" totalsRowFunction="sum" totalsRowDxfId="90"/>
    <tableColumn id="11" xr3:uid="{00000000-0010-0000-0200-00000B000000}" name="Rgs" totalsRowFunction="sum" totalsRowDxfId="89"/>
    <tableColumn id="12" xr3:uid="{00000000-0010-0000-0200-00000C000000}" name="Spl" totalsRowFunction="sum" totalsRowDxfId="88"/>
    <tableColumn id="13" xr3:uid="{00000000-0010-0000-0200-00000D000000}" name="Lap" totalsRowFunction="sum" totalsRowDxfId="87"/>
    <tableColumn id="14" xr3:uid="{00000000-0010-0000-0200-00000E000000}" name="Grd" totalsRowFunction="sum" totalsRowDxfId="86"/>
    <tableColumn id="15" xr3:uid="{00000000-0010-0000-0200-00000F000000}" name="Kasmet" totalsRowFunction="sum" totalsRowDxfId="85">
      <calculatedColumnFormula>SUM(tblExpenses[[#This Row],[1stulpelis]:[Grd]])</calculatedColumnFormula>
    </tableColumn>
    <tableColumn id="16" xr3:uid="{00000000-0010-0000-0200-000010000000}" name="Indeksas %" totalsRowFunction="sum" dataDxfId="13" totalsRowDxfId="84"/>
    <tableColumn id="17" xr3:uid="{00000000-0010-0000-0200-000011000000}" name="Sau %" totalsRowFunction="sum" dataDxfId="12" totalsRowDxfId="83">
      <calculatedColumnFormula>tblExpenses[[#This Row],[1stulpelis]]/tblExpenses[[#Totals],[1stulpelis]]</calculatedColumnFormula>
    </tableColumn>
    <tableColumn id="18" xr3:uid="{00000000-0010-0000-0200-000012000000}" name="Vas %" totalsRowFunction="sum" dataDxfId="11" totalsRowDxfId="82">
      <calculatedColumnFormula>tblExpenses[[#This Row],[Vas]]/tblExpenses[[#Totals],[Vas]]</calculatedColumnFormula>
    </tableColumn>
    <tableColumn id="19" xr3:uid="{00000000-0010-0000-0200-000013000000}" name="Kov %" totalsRowFunction="sum" dataDxfId="10" totalsRowDxfId="81">
      <calculatedColumnFormula>tblExpenses[[#This Row],[Kov]]/tblExpenses[[#Totals],[Kov]]</calculatedColumnFormula>
    </tableColumn>
    <tableColumn id="20" xr3:uid="{00000000-0010-0000-0200-000014000000}" name="Bal %" totalsRowFunction="sum" dataDxfId="9" totalsRowDxfId="80">
      <calculatedColumnFormula>tblExpenses[[#This Row],[Bal]]/tblExpenses[[#Totals],[Bal]]</calculatedColumnFormula>
    </tableColumn>
    <tableColumn id="21" xr3:uid="{00000000-0010-0000-0200-000015000000}" name="Geg %" totalsRowFunction="sum" dataDxfId="8" totalsRowDxfId="79">
      <calculatedColumnFormula>tblExpenses[[#This Row],[Geg]]/tblExpenses[[#Totals],[Geg]]</calculatedColumnFormula>
    </tableColumn>
    <tableColumn id="22" xr3:uid="{00000000-0010-0000-0200-000016000000}" name="Bir %" totalsRowFunction="sum" dataDxfId="7" totalsRowDxfId="78">
      <calculatedColumnFormula>tblExpenses[[#This Row],[Bir]]/tblExpenses[[#Totals],[Bir]]</calculatedColumnFormula>
    </tableColumn>
    <tableColumn id="23" xr3:uid="{00000000-0010-0000-0200-000017000000}" name="Lie %" totalsRowFunction="sum" dataDxfId="6" totalsRowDxfId="77">
      <calculatedColumnFormula>tblExpenses[[#This Row],[Lie]]/tblExpenses[[#Totals],[Lie]]</calculatedColumnFormula>
    </tableColumn>
    <tableColumn id="24" xr3:uid="{00000000-0010-0000-0200-000018000000}" name="Rgp %" totalsRowFunction="sum" dataDxfId="5" totalsRowDxfId="76">
      <calculatedColumnFormula>tblExpenses[[#This Row],[Rgp]]/tblExpenses[[#Totals],[Rgp]]</calculatedColumnFormula>
    </tableColumn>
    <tableColumn id="25" xr3:uid="{00000000-0010-0000-0200-000019000000}" name="Rgs %" totalsRowFunction="sum" dataDxfId="4" totalsRowDxfId="75">
      <calculatedColumnFormula>tblExpenses[[#This Row],[Rgs]]/tblExpenses[[#Totals],[Rgs]]</calculatedColumnFormula>
    </tableColumn>
    <tableColumn id="26" xr3:uid="{00000000-0010-0000-0200-00001A000000}" name="Spl %" totalsRowFunction="sum" dataDxfId="3" totalsRowDxfId="74">
      <calculatedColumnFormula>tblExpenses[[#This Row],[Spl]]/tblExpenses[[#Totals],[Spl]]</calculatedColumnFormula>
    </tableColumn>
    <tableColumn id="27" xr3:uid="{00000000-0010-0000-0200-00001B000000}" name="Lap %" totalsRowFunction="sum" dataDxfId="2" totalsRowDxfId="73">
      <calculatedColumnFormula>tblExpenses[[#This Row],[Lap]]/tblExpenses[[#Totals],[Lap]]</calculatedColumnFormula>
    </tableColumn>
    <tableColumn id="28" xr3:uid="{00000000-0010-0000-0200-00001C000000}" name="Grd %" totalsRowFunction="sum" dataDxfId="1" totalsRowDxfId="72">
      <calculatedColumnFormula>tblExpenses[[#This Row],[Grd]]/tblExpenses[[#Totals],[Grd]]</calculatedColumnFormula>
    </tableColumn>
    <tableColumn id="29" xr3:uid="{00000000-0010-0000-0200-00001D000000}" name="Metai %" totalsRowFunction="sum" dataDxfId="0" totalsRowDxfId="71">
      <calculatedColumnFormula>tblExpenses[[#This Row],[Kasmet]]/tblExpenses[[#Totals],[Kasmet]]</calculatedColumnFormula>
    </tableColumn>
  </tableColumns>
  <tableStyleInfo name="Pelno ir nuostolių išlaidos" showFirstColumn="0" showLastColumn="0" showRowStripes="1" showColumnStripes="0"/>
  <extLst>
    <ext xmlns:x14="http://schemas.microsoft.com/office/spreadsheetml/2009/9/main" uri="{504A1905-F514-4f6f-8877-14C23A59335A}">
      <x14:table altTextSummary="Kiekvieno pajamų elemento išlaidų, bendrosios metinės sumos ir mėnesinės procentinės reikšmės suvestinė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activeCell="F27" sqref="F27"/>
      <selection pane="bottomLeft"/>
    </sheetView>
  </sheetViews>
  <sheetFormatPr defaultRowHeight="32.1" customHeight="1" x14ac:dyDescent="0.3"/>
  <cols>
    <col min="1" max="1" width="2.625" style="36" customWidth="1"/>
    <col min="2" max="2" width="26.75" style="36" customWidth="1"/>
    <col min="3" max="3" width="14.875" style="36" customWidth="1"/>
    <col min="4" max="15" width="10.5" style="36" customWidth="1"/>
    <col min="16" max="16" width="12.5" style="36" customWidth="1"/>
    <col min="17" max="29" width="7.75" style="36" customWidth="1"/>
    <col min="30" max="30" width="9.875" style="36" customWidth="1"/>
    <col min="31" max="31" width="2.625" style="36" customWidth="1"/>
    <col min="32" max="16384" width="9" style="36"/>
  </cols>
  <sheetData>
    <row r="1" spans="1:30" ht="35.1" customHeight="1" x14ac:dyDescent="0.3">
      <c r="A1" s="34"/>
      <c r="B1" s="35" t="s">
        <v>0</v>
      </c>
      <c r="J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 t="s">
        <v>28</v>
      </c>
    </row>
    <row r="2" spans="1:30" ht="60" customHeight="1" x14ac:dyDescent="0.3">
      <c r="B2" s="40" t="s">
        <v>1</v>
      </c>
      <c r="E2" s="41"/>
      <c r="G2" s="41"/>
      <c r="K2" s="41"/>
      <c r="L2" s="41"/>
      <c r="M2" s="41"/>
      <c r="N2" s="41"/>
      <c r="O2" s="41"/>
      <c r="X2" s="42"/>
      <c r="Y2" s="42"/>
      <c r="Z2" s="42"/>
      <c r="AA2" s="42"/>
      <c r="AB2" s="43" t="s">
        <v>25</v>
      </c>
      <c r="AC2" s="43" t="s">
        <v>75</v>
      </c>
      <c r="AD2" s="44">
        <f ca="1">YEAR(TODAY())</f>
        <v>2017</v>
      </c>
    </row>
    <row r="3" spans="1:30" ht="20.100000000000001" customHeight="1" x14ac:dyDescent="0.3">
      <c r="D3" s="45" t="str">
        <f ca="1">UPPER(TEXT(DATE(FYStartYear,FYMonthNo,1),"yy-mmm"))</f>
        <v>17-SAUS</v>
      </c>
      <c r="E3" s="46" t="str">
        <f ca="1">UPPER(TEXT(DATE(FYStartYear,FYMonthNo+1,1),"yy-mmm"))</f>
        <v>17-VAS</v>
      </c>
      <c r="F3" s="46" t="str">
        <f ca="1">UPPER(TEXT(DATE(FYStartYear,FYMonthNo+2,1),"yy-mmm"))</f>
        <v>17-KOV</v>
      </c>
      <c r="G3" s="46" t="str">
        <f ca="1">UPPER(TEXT(DATE(FYStartYear,FYMonthNo+3,1),"yy-mmm"))</f>
        <v>17-BAL</v>
      </c>
      <c r="H3" s="46" t="str">
        <f ca="1">UPPER(TEXT(DATE(FYStartYear,FYMonthNo+4,1),"yy-mmm"))</f>
        <v>17-GEG</v>
      </c>
      <c r="I3" s="46" t="str">
        <f ca="1">UPPER(TEXT(DATE(FYStartYear,FYMonthNo+5,1),"yy-mmm"))</f>
        <v>17-BIRŽ</v>
      </c>
      <c r="J3" s="46" t="str">
        <f ca="1">UPPER(TEXT(DATE(FYStartYear,FYMonthNo+6,1),"yy-mmm"))</f>
        <v>17-LIEP</v>
      </c>
      <c r="K3" s="46" t="str">
        <f ca="1">UPPER(TEXT(DATE(FYStartYear,FYMonthNo+7,1),"yy-mmm"))</f>
        <v>17-RUGP</v>
      </c>
      <c r="L3" s="46" t="str">
        <f ca="1">UPPER(TEXT(DATE(FYStartYear,FYMonthNo+8,1),"yy-mmm"))</f>
        <v>17-RUGS</v>
      </c>
      <c r="M3" s="46" t="str">
        <f ca="1">UPPER(TEXT(DATE(FYStartYear,FYMonthNo+9,1),"yy-mmm"))</f>
        <v>17-SPAL</v>
      </c>
      <c r="N3" s="46" t="str">
        <f ca="1">UPPER(TEXT(DATE(FYStartYear,FYMonthNo+10,1),"yy-mmm"))</f>
        <v>17-LAPKR</v>
      </c>
      <c r="O3" s="46" t="str">
        <f ca="1">UPPER(TEXT(DATE(FYStartYear,FYMonthNo+11,1),"yy-mmm"))</f>
        <v>17-GRUOD</v>
      </c>
      <c r="P3" s="46" t="s">
        <v>12</v>
      </c>
      <c r="Q3" s="46" t="s">
        <v>14</v>
      </c>
      <c r="R3" s="46" t="str">
        <f t="shared" ref="R3:AC3" ca="1" si="0">RIGHT(D3,3)&amp;" %"</f>
        <v>AUS %</v>
      </c>
      <c r="S3" s="46" t="str">
        <f t="shared" ca="1" si="0"/>
        <v>VAS %</v>
      </c>
      <c r="T3" s="46" t="str">
        <f t="shared" ca="1" si="0"/>
        <v>KOV %</v>
      </c>
      <c r="U3" s="46" t="str">
        <f t="shared" ca="1" si="0"/>
        <v>BAL %</v>
      </c>
      <c r="V3" s="46" t="str">
        <f t="shared" ca="1" si="0"/>
        <v>GEG %</v>
      </c>
      <c r="W3" s="46" t="str">
        <f t="shared" ca="1" si="0"/>
        <v>IRŽ %</v>
      </c>
      <c r="X3" s="46" t="str">
        <f t="shared" ca="1" si="0"/>
        <v>IEP %</v>
      </c>
      <c r="Y3" s="46" t="str">
        <f t="shared" ca="1" si="0"/>
        <v>UGP %</v>
      </c>
      <c r="Z3" s="46" t="str">
        <f t="shared" ca="1" si="0"/>
        <v>UGS %</v>
      </c>
      <c r="AA3" s="46" t="str">
        <f t="shared" ca="1" si="0"/>
        <v>PAL %</v>
      </c>
      <c r="AB3" s="46" t="str">
        <f t="shared" ca="1" si="0"/>
        <v>PKR %</v>
      </c>
      <c r="AC3" s="46" t="str">
        <f t="shared" ca="1" si="0"/>
        <v>UOD %</v>
      </c>
      <c r="AD3" s="46" t="s">
        <v>29</v>
      </c>
    </row>
    <row r="4" spans="1:30" ht="32.1" customHeight="1" x14ac:dyDescent="0.3">
      <c r="B4" s="47" t="s">
        <v>2</v>
      </c>
      <c r="C4" s="48" t="s">
        <v>11</v>
      </c>
      <c r="D4" s="49" t="s">
        <v>62</v>
      </c>
      <c r="E4" s="49" t="s">
        <v>63</v>
      </c>
      <c r="F4" s="49" t="s">
        <v>64</v>
      </c>
      <c r="G4" s="49" t="s">
        <v>65</v>
      </c>
      <c r="H4" s="49" t="s">
        <v>66</v>
      </c>
      <c r="I4" s="49" t="s">
        <v>67</v>
      </c>
      <c r="J4" s="49" t="s">
        <v>68</v>
      </c>
      <c r="K4" s="49" t="s">
        <v>69</v>
      </c>
      <c r="L4" s="49" t="s">
        <v>70</v>
      </c>
      <c r="M4" s="49" t="s">
        <v>71</v>
      </c>
      <c r="N4" s="49" t="s">
        <v>72</v>
      </c>
      <c r="O4" s="49" t="s">
        <v>73</v>
      </c>
      <c r="P4" s="49" t="s">
        <v>13</v>
      </c>
      <c r="Q4" s="50" t="s">
        <v>15</v>
      </c>
      <c r="R4" s="50" t="s">
        <v>16</v>
      </c>
      <c r="S4" s="50" t="s">
        <v>17</v>
      </c>
      <c r="T4" s="50" t="s">
        <v>18</v>
      </c>
      <c r="U4" s="50" t="s">
        <v>19</v>
      </c>
      <c r="V4" s="50" t="s">
        <v>20</v>
      </c>
      <c r="W4" s="50" t="s">
        <v>21</v>
      </c>
      <c r="X4" s="50" t="s">
        <v>22</v>
      </c>
      <c r="Y4" s="50" t="s">
        <v>74</v>
      </c>
      <c r="Z4" s="50" t="s">
        <v>23</v>
      </c>
      <c r="AA4" s="50" t="s">
        <v>24</v>
      </c>
      <c r="AB4" s="50" t="s">
        <v>26</v>
      </c>
      <c r="AC4" s="50" t="s">
        <v>27</v>
      </c>
      <c r="AD4" s="49" t="s">
        <v>30</v>
      </c>
    </row>
    <row r="5" spans="1:30" ht="32.1" customHeight="1" x14ac:dyDescent="0.3">
      <c r="B5" s="51" t="s">
        <v>3</v>
      </c>
      <c r="C5" s="52"/>
      <c r="D5" s="53">
        <v>186</v>
      </c>
      <c r="E5" s="53">
        <v>108</v>
      </c>
      <c r="F5" s="53">
        <v>92</v>
      </c>
      <c r="G5" s="53">
        <v>122</v>
      </c>
      <c r="H5" s="53">
        <v>190</v>
      </c>
      <c r="I5" s="53">
        <v>71</v>
      </c>
      <c r="J5" s="53">
        <v>21</v>
      </c>
      <c r="K5" s="53">
        <v>37</v>
      </c>
      <c r="L5" s="53">
        <v>24</v>
      </c>
      <c r="M5" s="53">
        <v>178</v>
      </c>
      <c r="N5" s="53">
        <v>92</v>
      </c>
      <c r="O5" s="53">
        <v>97</v>
      </c>
      <c r="P5" s="54">
        <f>SUM(Pajamos[[#This Row],[Sau]:[Grd]])</f>
        <v>1218</v>
      </c>
      <c r="Q5" s="58">
        <v>0.12</v>
      </c>
      <c r="R5" s="59">
        <f>IFERROR(Pajamos[[#This Row],[Sau]]/Pajamos[[#Totals],[Sau]],"-")</f>
        <v>0.29807692307692307</v>
      </c>
      <c r="S5" s="59">
        <f>IFERROR(Pajamos[[#This Row],[Vas]]/Pajamos[[#Totals],[Vas]],"-")</f>
        <v>0.14673913043478262</v>
      </c>
      <c r="T5" s="59">
        <f>IFERROR(Pajamos[[#This Row],[Kov]]/Pajamos[[#Totals],[Kov]],"-")</f>
        <v>0.11219512195121951</v>
      </c>
      <c r="U5" s="59">
        <f>IFERROR(Pajamos[[#This Row],[Bal]]/Pajamos[[#Totals],[Bal]],"-")</f>
        <v>0.19967266775777415</v>
      </c>
      <c r="V5" s="59">
        <f>IFERROR(Pajamos[[#This Row],[Geg]]/Pajamos[[#Totals],[Geg]],"-")</f>
        <v>0.23399014778325122</v>
      </c>
      <c r="W5" s="59">
        <f>IFERROR(Pajamos[[#This Row],[Bir]]/Pajamos[[#Totals],[Bir]],"-")</f>
        <v>0.12283737024221453</v>
      </c>
      <c r="X5" s="59">
        <f>IFERROR(Pajamos[[#This Row],[Lie]]/Pajamos[[#Totals],[Lie]],"-")</f>
        <v>3.5175879396984924E-2</v>
      </c>
      <c r="Y5" s="59">
        <f>IFERROR(Pajamos[[#This Row],[Rgp]]/Pajamos[[#Totals],[Rgp]],"-")</f>
        <v>5.4814814814814816E-2</v>
      </c>
      <c r="Z5" s="59">
        <f>IFERROR(Pajamos[[#This Row],[Rgs]]/Pajamos[[#Totals],[Rgs]],"-")</f>
        <v>3.2258064516129031E-2</v>
      </c>
      <c r="AA5" s="59">
        <f>IFERROR(Pajamos[[#This Row],[Spl]]/Pajamos[[#Totals],[Spl]],"-")</f>
        <v>0.26138032305433184</v>
      </c>
      <c r="AB5" s="59">
        <f>IFERROR(Pajamos[[#This Row],[Lap]]/Pajamos[[#Totals],[Lap]],"-")</f>
        <v>0.12449255751014884</v>
      </c>
      <c r="AC5" s="59">
        <f>IFERROR(Pajamos[[#This Row],[Grd]]/Pajamos[[#Totals],[Grd]],"-")</f>
        <v>9.3000958772770856E-2</v>
      </c>
      <c r="AD5" s="60">
        <f>IFERROR(Pajamos[[#This Row],[Kasmet]]/Pajamos[[#Totals],[Kasmet]],"-")</f>
        <v>0.14064665127020784</v>
      </c>
    </row>
    <row r="6" spans="1:30" ht="32.1" customHeight="1" x14ac:dyDescent="0.3">
      <c r="B6" s="51" t="s">
        <v>4</v>
      </c>
      <c r="C6" s="52"/>
      <c r="D6" s="53">
        <v>15</v>
      </c>
      <c r="E6" s="53">
        <v>16</v>
      </c>
      <c r="F6" s="53">
        <v>198</v>
      </c>
      <c r="G6" s="53">
        <v>44</v>
      </c>
      <c r="H6" s="53">
        <v>25</v>
      </c>
      <c r="I6" s="53">
        <v>68</v>
      </c>
      <c r="J6" s="53">
        <v>43</v>
      </c>
      <c r="K6" s="53">
        <v>119</v>
      </c>
      <c r="L6" s="53">
        <v>37</v>
      </c>
      <c r="M6" s="53">
        <v>118</v>
      </c>
      <c r="N6" s="53">
        <v>29</v>
      </c>
      <c r="O6" s="53">
        <v>171</v>
      </c>
      <c r="P6" s="54">
        <f>SUM(Pajamos[[#This Row],[Sau]:[Grd]])</f>
        <v>883</v>
      </c>
      <c r="Q6" s="58">
        <v>0.18</v>
      </c>
      <c r="R6" s="59">
        <f>IFERROR(Pajamos[[#This Row],[Sau]]/Pajamos[[#Totals],[Sau]],"-")</f>
        <v>2.403846153846154E-2</v>
      </c>
      <c r="S6" s="59">
        <f>IFERROR(Pajamos[[#This Row],[Vas]]/Pajamos[[#Totals],[Vas]],"-")</f>
        <v>2.1739130434782608E-2</v>
      </c>
      <c r="T6" s="59">
        <f>IFERROR(Pajamos[[#This Row],[Kov]]/Pajamos[[#Totals],[Kov]],"-")</f>
        <v>0.24146341463414633</v>
      </c>
      <c r="U6" s="59">
        <f>IFERROR(Pajamos[[#This Row],[Bal]]/Pajamos[[#Totals],[Bal]],"-")</f>
        <v>7.2013093289689037E-2</v>
      </c>
      <c r="V6" s="59">
        <f>IFERROR(Pajamos[[#This Row],[Geg]]/Pajamos[[#Totals],[Geg]],"-")</f>
        <v>3.0788177339901478E-2</v>
      </c>
      <c r="W6" s="59">
        <f>IFERROR(Pajamos[[#This Row],[Bir]]/Pajamos[[#Totals],[Bir]],"-")</f>
        <v>0.11764705882352941</v>
      </c>
      <c r="X6" s="59">
        <f>IFERROR(Pajamos[[#This Row],[Lie]]/Pajamos[[#Totals],[Lie]],"-")</f>
        <v>7.2026800670016752E-2</v>
      </c>
      <c r="Y6" s="59">
        <f>IFERROR(Pajamos[[#This Row],[Rgp]]/Pajamos[[#Totals],[Rgp]],"-")</f>
        <v>0.17629629629629628</v>
      </c>
      <c r="Z6" s="59">
        <f>IFERROR(Pajamos[[#This Row],[Rgs]]/Pajamos[[#Totals],[Rgs]],"-")</f>
        <v>4.9731182795698922E-2</v>
      </c>
      <c r="AA6" s="59">
        <f>IFERROR(Pajamos[[#This Row],[Spl]]/Pajamos[[#Totals],[Spl]],"-")</f>
        <v>0.17327459618208516</v>
      </c>
      <c r="AB6" s="59">
        <f>IFERROR(Pajamos[[#This Row],[Lap]]/Pajamos[[#Totals],[Lap]],"-")</f>
        <v>3.9242219215155617E-2</v>
      </c>
      <c r="AC6" s="59">
        <f>IFERROR(Pajamos[[#This Row],[Grd]]/Pajamos[[#Totals],[Grd]],"-")</f>
        <v>0.16395014381591563</v>
      </c>
      <c r="AD6" s="60">
        <f>IFERROR(Pajamos[[#This Row],[Kasmet]]/Pajamos[[#Totals],[Kasmet]],"-")</f>
        <v>0.10196304849884527</v>
      </c>
    </row>
    <row r="7" spans="1:30" ht="32.1" customHeight="1" x14ac:dyDescent="0.3">
      <c r="B7" s="51" t="s">
        <v>5</v>
      </c>
      <c r="C7" s="52"/>
      <c r="D7" s="53">
        <v>166</v>
      </c>
      <c r="E7" s="53">
        <v>185</v>
      </c>
      <c r="F7" s="53">
        <v>89</v>
      </c>
      <c r="G7" s="53">
        <v>170</v>
      </c>
      <c r="H7" s="53">
        <v>131</v>
      </c>
      <c r="I7" s="53">
        <v>70</v>
      </c>
      <c r="J7" s="53">
        <v>50</v>
      </c>
      <c r="K7" s="53">
        <v>149</v>
      </c>
      <c r="L7" s="53">
        <v>179</v>
      </c>
      <c r="M7" s="53">
        <v>104</v>
      </c>
      <c r="N7" s="53">
        <v>119</v>
      </c>
      <c r="O7" s="53">
        <v>187</v>
      </c>
      <c r="P7" s="54">
        <f>SUM(Pajamos[[#This Row],[Sau]:[Grd]])</f>
        <v>1599</v>
      </c>
      <c r="Q7" s="58">
        <v>0.19</v>
      </c>
      <c r="R7" s="59">
        <f>IFERROR(Pajamos[[#This Row],[Sau]]/Pajamos[[#Totals],[Sau]],"-")</f>
        <v>0.26602564102564102</v>
      </c>
      <c r="S7" s="59">
        <f>IFERROR(Pajamos[[#This Row],[Vas]]/Pajamos[[#Totals],[Vas]],"-")</f>
        <v>0.25135869565217389</v>
      </c>
      <c r="T7" s="59">
        <f>IFERROR(Pajamos[[#This Row],[Kov]]/Pajamos[[#Totals],[Kov]],"-")</f>
        <v>0.10853658536585366</v>
      </c>
      <c r="U7" s="59">
        <f>IFERROR(Pajamos[[#This Row],[Bal]]/Pajamos[[#Totals],[Bal]],"-")</f>
        <v>0.27823240589198034</v>
      </c>
      <c r="V7" s="59">
        <f>IFERROR(Pajamos[[#This Row],[Geg]]/Pajamos[[#Totals],[Geg]],"-")</f>
        <v>0.16133004926108374</v>
      </c>
      <c r="W7" s="59">
        <f>IFERROR(Pajamos[[#This Row],[Bir]]/Pajamos[[#Totals],[Bir]],"-")</f>
        <v>0.12110726643598616</v>
      </c>
      <c r="X7" s="59">
        <f>IFERROR(Pajamos[[#This Row],[Lie]]/Pajamos[[#Totals],[Lie]],"-")</f>
        <v>8.3752093802345065E-2</v>
      </c>
      <c r="Y7" s="59">
        <f>IFERROR(Pajamos[[#This Row],[Rgp]]/Pajamos[[#Totals],[Rgp]],"-")</f>
        <v>0.22074074074074074</v>
      </c>
      <c r="Z7" s="59">
        <f>IFERROR(Pajamos[[#This Row],[Rgs]]/Pajamos[[#Totals],[Rgs]],"-")</f>
        <v>0.24059139784946237</v>
      </c>
      <c r="AA7" s="59">
        <f>IFERROR(Pajamos[[#This Row],[Spl]]/Pajamos[[#Totals],[Spl]],"-")</f>
        <v>0.1527165932452276</v>
      </c>
      <c r="AB7" s="59">
        <f>IFERROR(Pajamos[[#This Row],[Lap]]/Pajamos[[#Totals],[Lap]],"-")</f>
        <v>0.16102841677943167</v>
      </c>
      <c r="AC7" s="59">
        <f>IFERROR(Pajamos[[#This Row],[Grd]]/Pajamos[[#Totals],[Grd]],"-")</f>
        <v>0.17929050814956854</v>
      </c>
      <c r="AD7" s="60">
        <f>IFERROR(Pajamos[[#This Row],[Kasmet]]/Pajamos[[#Totals],[Kasmet]],"-")</f>
        <v>0.18464203233256352</v>
      </c>
    </row>
    <row r="8" spans="1:30" ht="32.1" customHeight="1" x14ac:dyDescent="0.3">
      <c r="B8" s="51" t="s">
        <v>6</v>
      </c>
      <c r="C8" s="52"/>
      <c r="D8" s="53">
        <v>21</v>
      </c>
      <c r="E8" s="53">
        <v>113</v>
      </c>
      <c r="F8" s="53">
        <v>83</v>
      </c>
      <c r="G8" s="53">
        <v>17</v>
      </c>
      <c r="H8" s="53">
        <v>130</v>
      </c>
      <c r="I8" s="53">
        <v>26</v>
      </c>
      <c r="J8" s="53">
        <v>167</v>
      </c>
      <c r="K8" s="53">
        <v>102</v>
      </c>
      <c r="L8" s="53">
        <v>82</v>
      </c>
      <c r="M8" s="53">
        <v>33</v>
      </c>
      <c r="N8" s="53">
        <v>88</v>
      </c>
      <c r="O8" s="53">
        <v>193</v>
      </c>
      <c r="P8" s="54">
        <f>SUM(Pajamos[[#This Row],[Sau]:[Grd]])</f>
        <v>1055</v>
      </c>
      <c r="Q8" s="58">
        <v>0.11</v>
      </c>
      <c r="R8" s="59">
        <f>IFERROR(Pajamos[[#This Row],[Sau]]/Pajamos[[#Totals],[Sau]],"-")</f>
        <v>3.3653846153846152E-2</v>
      </c>
      <c r="S8" s="59">
        <f>IFERROR(Pajamos[[#This Row],[Vas]]/Pajamos[[#Totals],[Vas]],"-")</f>
        <v>0.15353260869565216</v>
      </c>
      <c r="T8" s="59">
        <f>IFERROR(Pajamos[[#This Row],[Kov]]/Pajamos[[#Totals],[Kov]],"-")</f>
        <v>0.10121951219512196</v>
      </c>
      <c r="U8" s="59">
        <f>IFERROR(Pajamos[[#This Row],[Bal]]/Pajamos[[#Totals],[Bal]],"-")</f>
        <v>2.7823240589198037E-2</v>
      </c>
      <c r="V8" s="59">
        <f>IFERROR(Pajamos[[#This Row],[Geg]]/Pajamos[[#Totals],[Geg]],"-")</f>
        <v>0.16009852216748768</v>
      </c>
      <c r="W8" s="59">
        <f>IFERROR(Pajamos[[#This Row],[Bir]]/Pajamos[[#Totals],[Bir]],"-")</f>
        <v>4.4982698961937718E-2</v>
      </c>
      <c r="X8" s="59">
        <f>IFERROR(Pajamos[[#This Row],[Lie]]/Pajamos[[#Totals],[Lie]],"-")</f>
        <v>0.2797319932998325</v>
      </c>
      <c r="Y8" s="59">
        <f>IFERROR(Pajamos[[#This Row],[Rgp]]/Pajamos[[#Totals],[Rgp]],"-")</f>
        <v>0.15111111111111111</v>
      </c>
      <c r="Z8" s="59">
        <f>IFERROR(Pajamos[[#This Row],[Rgs]]/Pajamos[[#Totals],[Rgs]],"-")</f>
        <v>0.11021505376344086</v>
      </c>
      <c r="AA8" s="59">
        <f>IFERROR(Pajamos[[#This Row],[Spl]]/Pajamos[[#Totals],[Spl]],"-")</f>
        <v>4.8458149779735685E-2</v>
      </c>
      <c r="AB8" s="59">
        <f>IFERROR(Pajamos[[#This Row],[Lap]]/Pajamos[[#Totals],[Lap]],"-")</f>
        <v>0.11907983761840325</v>
      </c>
      <c r="AC8" s="59">
        <f>IFERROR(Pajamos[[#This Row],[Grd]]/Pajamos[[#Totals],[Grd]],"-")</f>
        <v>0.18504314477468839</v>
      </c>
      <c r="AD8" s="60">
        <f>IFERROR(Pajamos[[#This Row],[Kasmet]]/Pajamos[[#Totals],[Kasmet]],"-")</f>
        <v>0.12182448036951501</v>
      </c>
    </row>
    <row r="9" spans="1:30" ht="32.1" customHeight="1" x14ac:dyDescent="0.3">
      <c r="B9" s="51" t="s">
        <v>7</v>
      </c>
      <c r="C9" s="52"/>
      <c r="D9" s="53">
        <v>70</v>
      </c>
      <c r="E9" s="53">
        <v>160</v>
      </c>
      <c r="F9" s="53">
        <v>125</v>
      </c>
      <c r="G9" s="53">
        <v>84</v>
      </c>
      <c r="H9" s="53">
        <v>191</v>
      </c>
      <c r="I9" s="53">
        <v>97</v>
      </c>
      <c r="J9" s="53">
        <v>52</v>
      </c>
      <c r="K9" s="53">
        <v>45</v>
      </c>
      <c r="L9" s="53">
        <v>173</v>
      </c>
      <c r="M9" s="53">
        <v>136</v>
      </c>
      <c r="N9" s="53">
        <v>144</v>
      </c>
      <c r="O9" s="53">
        <v>167</v>
      </c>
      <c r="P9" s="54">
        <f>SUM(Pajamos[[#This Row],[Sau]:[Grd]])</f>
        <v>1444</v>
      </c>
      <c r="Q9" s="58">
        <v>0.2</v>
      </c>
      <c r="R9" s="59">
        <f>IFERROR(Pajamos[[#This Row],[Sau]]/Pajamos[[#Totals],[Sau]],"-")</f>
        <v>0.11217948717948718</v>
      </c>
      <c r="S9" s="59">
        <f>IFERROR(Pajamos[[#This Row],[Vas]]/Pajamos[[#Totals],[Vas]],"-")</f>
        <v>0.21739130434782608</v>
      </c>
      <c r="T9" s="59">
        <f>IFERROR(Pajamos[[#This Row],[Kov]]/Pajamos[[#Totals],[Kov]],"-")</f>
        <v>0.1524390243902439</v>
      </c>
      <c r="U9" s="59">
        <f>IFERROR(Pajamos[[#This Row],[Bal]]/Pajamos[[#Totals],[Bal]],"-")</f>
        <v>0.13747954173486088</v>
      </c>
      <c r="V9" s="59">
        <f>IFERROR(Pajamos[[#This Row],[Geg]]/Pajamos[[#Totals],[Geg]],"-")</f>
        <v>0.23522167487684728</v>
      </c>
      <c r="W9" s="59">
        <f>IFERROR(Pajamos[[#This Row],[Bir]]/Pajamos[[#Totals],[Bir]],"-")</f>
        <v>0.16782006920415224</v>
      </c>
      <c r="X9" s="59">
        <f>IFERROR(Pajamos[[#This Row],[Lie]]/Pajamos[[#Totals],[Lie]],"-")</f>
        <v>8.7102177554438859E-2</v>
      </c>
      <c r="Y9" s="59">
        <f>IFERROR(Pajamos[[#This Row],[Rgp]]/Pajamos[[#Totals],[Rgp]],"-")</f>
        <v>6.6666666666666666E-2</v>
      </c>
      <c r="Z9" s="59">
        <f>IFERROR(Pajamos[[#This Row],[Rgs]]/Pajamos[[#Totals],[Rgs]],"-")</f>
        <v>0.2325268817204301</v>
      </c>
      <c r="AA9" s="59">
        <f>IFERROR(Pajamos[[#This Row],[Spl]]/Pajamos[[#Totals],[Spl]],"-")</f>
        <v>0.19970631424375918</v>
      </c>
      <c r="AB9" s="59">
        <f>IFERROR(Pajamos[[#This Row],[Lap]]/Pajamos[[#Totals],[Lap]],"-")</f>
        <v>0.19485791610284167</v>
      </c>
      <c r="AC9" s="59">
        <f>IFERROR(Pajamos[[#This Row],[Grd]]/Pajamos[[#Totals],[Grd]],"-")</f>
        <v>0.1601150527325024</v>
      </c>
      <c r="AD9" s="60">
        <f>IFERROR(Pajamos[[#This Row],[Kasmet]]/Pajamos[[#Totals],[Kasmet]],"-")</f>
        <v>0.16674364896073904</v>
      </c>
    </row>
    <row r="10" spans="1:30" ht="32.1" customHeight="1" x14ac:dyDescent="0.3">
      <c r="B10" s="51" t="s">
        <v>8</v>
      </c>
      <c r="C10" s="52"/>
      <c r="D10" s="53">
        <v>61</v>
      </c>
      <c r="E10" s="53">
        <v>99</v>
      </c>
      <c r="F10" s="53">
        <v>70</v>
      </c>
      <c r="G10" s="53">
        <v>162</v>
      </c>
      <c r="H10" s="53">
        <v>28</v>
      </c>
      <c r="I10" s="53">
        <v>163</v>
      </c>
      <c r="J10" s="53">
        <v>101</v>
      </c>
      <c r="K10" s="53">
        <v>103</v>
      </c>
      <c r="L10" s="53">
        <v>78</v>
      </c>
      <c r="M10" s="53">
        <v>33</v>
      </c>
      <c r="N10" s="53">
        <v>162</v>
      </c>
      <c r="O10" s="53">
        <v>159</v>
      </c>
      <c r="P10" s="54">
        <f>SUM(Pajamos[[#This Row],[Sau]:[Grd]])</f>
        <v>1219</v>
      </c>
      <c r="Q10" s="58">
        <v>0.1</v>
      </c>
      <c r="R10" s="59">
        <f>IFERROR(Pajamos[[#This Row],[Sau]]/Pajamos[[#Totals],[Sau]],"-")</f>
        <v>9.7756410256410256E-2</v>
      </c>
      <c r="S10" s="59">
        <f>IFERROR(Pajamos[[#This Row],[Vas]]/Pajamos[[#Totals],[Vas]],"-")</f>
        <v>0.13451086956521738</v>
      </c>
      <c r="T10" s="59">
        <f>IFERROR(Pajamos[[#This Row],[Kov]]/Pajamos[[#Totals],[Kov]],"-")</f>
        <v>8.5365853658536592E-2</v>
      </c>
      <c r="U10" s="59">
        <f>IFERROR(Pajamos[[#This Row],[Bal]]/Pajamos[[#Totals],[Bal]],"-")</f>
        <v>0.265139116202946</v>
      </c>
      <c r="V10" s="59">
        <f>IFERROR(Pajamos[[#This Row],[Geg]]/Pajamos[[#Totals],[Geg]],"-")</f>
        <v>3.4482758620689655E-2</v>
      </c>
      <c r="W10" s="59">
        <f>IFERROR(Pajamos[[#This Row],[Bir]]/Pajamos[[#Totals],[Bir]],"-")</f>
        <v>0.2820069204152249</v>
      </c>
      <c r="X10" s="59">
        <f>IFERROR(Pajamos[[#This Row],[Lie]]/Pajamos[[#Totals],[Lie]],"-")</f>
        <v>0.16917922948073702</v>
      </c>
      <c r="Y10" s="59">
        <f>IFERROR(Pajamos[[#This Row],[Rgp]]/Pajamos[[#Totals],[Rgp]],"-")</f>
        <v>0.15259259259259259</v>
      </c>
      <c r="Z10" s="59">
        <f>IFERROR(Pajamos[[#This Row],[Rgs]]/Pajamos[[#Totals],[Rgs]],"-")</f>
        <v>0.10483870967741936</v>
      </c>
      <c r="AA10" s="59">
        <f>IFERROR(Pajamos[[#This Row],[Spl]]/Pajamos[[#Totals],[Spl]],"-")</f>
        <v>4.8458149779735685E-2</v>
      </c>
      <c r="AB10" s="59">
        <f>IFERROR(Pajamos[[#This Row],[Lap]]/Pajamos[[#Totals],[Lap]],"-")</f>
        <v>0.21921515561569688</v>
      </c>
      <c r="AC10" s="59">
        <f>IFERROR(Pajamos[[#This Row],[Grd]]/Pajamos[[#Totals],[Grd]],"-")</f>
        <v>0.15244487056567593</v>
      </c>
      <c r="AD10" s="60">
        <f>IFERROR(Pajamos[[#This Row],[Kasmet]]/Pajamos[[#Totals],[Kasmet]],"-")</f>
        <v>0.14076212471131641</v>
      </c>
    </row>
    <row r="11" spans="1:30" ht="32.1" customHeight="1" x14ac:dyDescent="0.3">
      <c r="B11" s="51" t="s">
        <v>9</v>
      </c>
      <c r="C11" s="52"/>
      <c r="D11" s="53">
        <v>105</v>
      </c>
      <c r="E11" s="53">
        <v>55</v>
      </c>
      <c r="F11" s="53">
        <v>163</v>
      </c>
      <c r="G11" s="53">
        <v>12</v>
      </c>
      <c r="H11" s="53">
        <v>117</v>
      </c>
      <c r="I11" s="53">
        <v>83</v>
      </c>
      <c r="J11" s="53">
        <v>163</v>
      </c>
      <c r="K11" s="53">
        <v>120</v>
      </c>
      <c r="L11" s="53">
        <v>171</v>
      </c>
      <c r="M11" s="53">
        <v>79</v>
      </c>
      <c r="N11" s="53">
        <v>105</v>
      </c>
      <c r="O11" s="53">
        <v>69</v>
      </c>
      <c r="P11" s="54">
        <f>SUM(Pajamos[[#This Row],[Sau]:[Grd]])</f>
        <v>1242</v>
      </c>
      <c r="Q11" s="58">
        <v>0.1</v>
      </c>
      <c r="R11" s="59">
        <f>IFERROR(Pajamos[[#This Row],[Sau]]/Pajamos[[#Totals],[Sau]],"-")</f>
        <v>0.16826923076923078</v>
      </c>
      <c r="S11" s="59">
        <f>IFERROR(Pajamos[[#This Row],[Vas]]/Pajamos[[#Totals],[Vas]],"-")</f>
        <v>7.4728260869565216E-2</v>
      </c>
      <c r="T11" s="59">
        <f>IFERROR(Pajamos[[#This Row],[Kov]]/Pajamos[[#Totals],[Kov]],"-")</f>
        <v>0.19878048780487806</v>
      </c>
      <c r="U11" s="59">
        <f>IFERROR(Pajamos[[#This Row],[Bal]]/Pajamos[[#Totals],[Bal]],"-")</f>
        <v>1.9639934533551555E-2</v>
      </c>
      <c r="V11" s="59">
        <f>IFERROR(Pajamos[[#This Row],[Geg]]/Pajamos[[#Totals],[Geg]],"-")</f>
        <v>0.14408866995073891</v>
      </c>
      <c r="W11" s="59">
        <f>IFERROR(Pajamos[[#This Row],[Bir]]/Pajamos[[#Totals],[Bir]],"-")</f>
        <v>0.14359861591695502</v>
      </c>
      <c r="X11" s="59">
        <f>IFERROR(Pajamos[[#This Row],[Lie]]/Pajamos[[#Totals],[Lie]],"-")</f>
        <v>0.27303182579564489</v>
      </c>
      <c r="Y11" s="59">
        <f>IFERROR(Pajamos[[#This Row],[Rgp]]/Pajamos[[#Totals],[Rgp]],"-")</f>
        <v>0.17777777777777778</v>
      </c>
      <c r="Z11" s="59">
        <f>IFERROR(Pajamos[[#This Row],[Rgs]]/Pajamos[[#Totals],[Rgs]],"-")</f>
        <v>0.22983870967741934</v>
      </c>
      <c r="AA11" s="59">
        <f>IFERROR(Pajamos[[#This Row],[Spl]]/Pajamos[[#Totals],[Spl]],"-")</f>
        <v>0.11600587371512482</v>
      </c>
      <c r="AB11" s="59">
        <f>IFERROR(Pajamos[[#This Row],[Lap]]/Pajamos[[#Totals],[Lap]],"-")</f>
        <v>0.14208389715832206</v>
      </c>
      <c r="AC11" s="59">
        <f>IFERROR(Pajamos[[#This Row],[Grd]]/Pajamos[[#Totals],[Grd]],"-")</f>
        <v>6.6155321188878236E-2</v>
      </c>
      <c r="AD11" s="60">
        <f>IFERROR(Pajamos[[#This Row],[Kasmet]]/Pajamos[[#Totals],[Kasmet]],"-")</f>
        <v>0.14341801385681294</v>
      </c>
    </row>
    <row r="12" spans="1:30" ht="32.1" customHeight="1" x14ac:dyDescent="0.3">
      <c r="B12" s="55" t="s">
        <v>10</v>
      </c>
      <c r="C12" s="56"/>
      <c r="D12" s="57">
        <f>SUBTOTAL(109,Pajamos[Sau])</f>
        <v>624</v>
      </c>
      <c r="E12" s="57">
        <f>SUBTOTAL(109,Pajamos[Vas])</f>
        <v>736</v>
      </c>
      <c r="F12" s="57">
        <f>SUBTOTAL(109,Pajamos[Kov])</f>
        <v>820</v>
      </c>
      <c r="G12" s="57">
        <f>SUBTOTAL(109,Pajamos[Bal])</f>
        <v>611</v>
      </c>
      <c r="H12" s="57">
        <f>SUBTOTAL(109,Pajamos[Geg])</f>
        <v>812</v>
      </c>
      <c r="I12" s="57">
        <f>SUBTOTAL(109,Pajamos[Bir])</f>
        <v>578</v>
      </c>
      <c r="J12" s="57">
        <f>SUBTOTAL(109,Pajamos[Lie])</f>
        <v>597</v>
      </c>
      <c r="K12" s="57">
        <f>SUBTOTAL(109,Pajamos[Rgp])</f>
        <v>675</v>
      </c>
      <c r="L12" s="57">
        <f>SUBTOTAL(109,Pajamos[Rgs])</f>
        <v>744</v>
      </c>
      <c r="M12" s="57">
        <f>SUBTOTAL(109,Pajamos[Spl])</f>
        <v>681</v>
      </c>
      <c r="N12" s="57">
        <f>SUBTOTAL(109,Pajamos[Lap])</f>
        <v>739</v>
      </c>
      <c r="O12" s="57">
        <f>SUBTOTAL(109,Pajamos[Grd])</f>
        <v>1043</v>
      </c>
      <c r="P12" s="57">
        <f>SUBTOTAL(109,Pajamos[Kasmet])</f>
        <v>8660</v>
      </c>
      <c r="Q12" s="61">
        <f>SUBTOTAL(109,Pajamos[Indeksas %])</f>
        <v>1</v>
      </c>
      <c r="R12" s="61">
        <f>SUBTOTAL(109,Pajamos[Sau %])</f>
        <v>1</v>
      </c>
      <c r="S12" s="61">
        <f>SUBTOTAL(109,Pajamos[Vas %])</f>
        <v>1</v>
      </c>
      <c r="T12" s="61">
        <f>SUBTOTAL(109,Pajamos[Kov %])</f>
        <v>1</v>
      </c>
      <c r="U12" s="61">
        <f>SUBTOTAL(109,Pajamos[Bal %])</f>
        <v>0.99999999999999989</v>
      </c>
      <c r="V12" s="61">
        <f>SUBTOTAL(109,Pajamos[Geg %])</f>
        <v>0.99999999999999989</v>
      </c>
      <c r="W12" s="61">
        <f>SUBTOTAL(109,Pajamos[Bir %])</f>
        <v>1</v>
      </c>
      <c r="X12" s="61">
        <f>SUBTOTAL(109,Pajamos[Lie %])</f>
        <v>1</v>
      </c>
      <c r="Y12" s="61">
        <f>SUBTOTAL(109,Pajamos[Rgp %])</f>
        <v>1</v>
      </c>
      <c r="Z12" s="61">
        <f>SUBTOTAL(109,Pajamos[Rgs %])</f>
        <v>1</v>
      </c>
      <c r="AA12" s="61">
        <f>SUBTOTAL(109,Pajamos[Spl %])</f>
        <v>1</v>
      </c>
      <c r="AB12" s="61">
        <f>SUBTOTAL(109,Pajamos[Lap %])</f>
        <v>1</v>
      </c>
      <c r="AC12" s="61">
        <f>SUBTOTAL(109,Pajamos[Grd %])</f>
        <v>0.99999999999999989</v>
      </c>
      <c r="AD12" s="61">
        <f>SUBTOTAL(109,Pajamos[Metai %])</f>
        <v>1</v>
      </c>
    </row>
  </sheetData>
  <dataValidations count="18">
    <dataValidation type="list" errorStyle="warning" allowBlank="1" showInputMessage="1" showErrorMessage="1" error="Pasirinkite mėnesį iš išplečiamojo sąrašo. Pasirinkite ATŠAUKTI, paspauskite ALT + RODYKLĖ ŽEMYN. Spauskite ENTER, kad pasirinktumėte mėnesį" prompt="Šiame langelyje pasirinkite mėnesį. Paspauskite ALT + RODYKLĖ ŽEMYN, kad atidarytumėte išplečiamąjį sąrašą, tada ENTER, kad pasirinktumėte mėnesį" sqref="AC2" xr:uid="{00000000-0002-0000-0000-000000000000}">
      <formula1>"SAU, VAS, KOV, BAL, GEG, BIR, LIE, RGP, RGS, SPL, LAP, GRD"</formula1>
    </dataValidation>
    <dataValidation errorStyle="information" allowBlank="1" showInputMessage="1" errorTitle="Nežinomi metai" error="Pasirinkite metus iš išplečiamojo sąrašo. Norėdami įtraukti arba šalinti metus iš sąrašo, grupės Duomenų įrankiai skirtuke Duomenys spustelėkite Duomenų tikrinimas." prompt="Šiame langelyje įveskite metus" sqref="AD2" xr:uid="{00000000-0002-0000-0000-000001000000}"/>
    <dataValidation allowBlank="1" showInputMessage="1" showErrorMessage="1" prompt="Pasirinkite finansinių metų pradžios mėnesį AC2 langelyje, tada įveskite metus langelyje AD2, esančiame šios etiketės dešinėje" sqref="AB2" xr:uid="{00000000-0002-0000-0000-000002000000}"/>
    <dataValidation allowBlank="1" showInputMessage="1" showErrorMessage="1" prompt="Šiame stulpelyje automatiškai skaičiuojamos metinės pajamos" sqref="P3" xr:uid="{00000000-0002-0000-0000-000003000000}"/>
    <dataValidation allowBlank="1" showInputMessage="1" showErrorMessage="1" prompt="Įveskite prognozės laikotarpio, kuriam skaičiuojamas bendrasis pardavimas, pavadinimą" sqref="B1" xr:uid="{00000000-0002-0000-0000-000004000000}"/>
    <dataValidation allowBlank="1" showInputMessage="1" showErrorMessage="1" prompt="Šiame stulpelyje nurodomas prognozės pavadinimas. Tolesnėje Pajamų lentelėje įveskite reikšmes, kad būtų apskaičiuota bendra pardavimo suma" sqref="B2" xr:uid="{00000000-0002-0000-0000-000005000000}"/>
    <dataValidation allowBlank="1" showInputMessage="1" showErrorMessage="1" prompt="Šiame langelyje įveskite įmonės pavadinimą" sqref="AD1" xr:uid="{00000000-0002-0000-0000-000006000000}"/>
    <dataValidation allowBlank="1" showInputMessage="1" showErrorMessage="1" prompt="Datos šioje eilutėje automatiškai atnaujinamos pagal finansinių metų pradžios mėnesį. Norėdami keisti pradžios mėnesį, modifikuokite AC2 langelį" sqref="D3" xr:uid="{00000000-0002-0000-0000-000007000000}"/>
    <dataValidation allowBlank="1" showInputMessage="1" showErrorMessage="1" prompt="Šiame stulpelyje įveskite indekso procentą" sqref="Q4" xr:uid="{00000000-0002-0000-0000-000008000000}"/>
    <dataValidation allowBlank="1" showInputMessage="1" showErrorMessage="1" prompt="Šiame darbalapyje apskaičiuojama bendra pardavimo suma kiekvienam mėnesiui ir metams ir bendra metinio pardavimo suma pagal skirtingus šaltinius. Pasirinkite finansinių metų pradžios mėnesį langelyje AC2 ir metus langelyje AD2" sqref="A2 A4:A12" xr:uid="{00000000-0002-0000-0000-000009000000}"/>
    <dataValidation allowBlank="1" showInputMessage="1" showErrorMessage="1" prompt="Šiame darbalapyje apskaičiuojama bendra pardavimo suma kiekvienam mėnesiui ir metams ir bendra metinio pardavimo suma pagal skirtingus šaltinius. Įveskite finansinių metų pradžios mėnesį langelyje AC2 ir metus langelyje AD2" sqref="A1" xr:uid="{00000000-0002-0000-0000-00000A000000}"/>
    <dataValidation allowBlank="1" showInputMessage="1" showErrorMessage="1" prompt="Automatiškai atnaujintas mėnesis" sqref="E3:O3" xr:uid="{00000000-0002-0000-0000-00000B000000}"/>
    <dataValidation allowBlank="1" showInputMessage="1" showErrorMessage="1" prompt="Šiame stulpelyje automatiškai apskaičiuojama pardavimo dalis iš įvairių šaltinių pagal bendrąsias mėnesio pardavimo išlaidas" sqref="R3:AC3" xr:uid="{00000000-0002-0000-0000-00000C000000}"/>
    <dataValidation allowBlank="1" showInputMessage="1" showErrorMessage="1" prompt="Šiame stulpelyje automatiškai apskaičiuojama pardavimo dalis iš įvairių šaltinių pagal bendrąsias metų pardavimo išlaidas" sqref="AD3" xr:uid="{00000000-0002-0000-0000-00000D000000}"/>
    <dataValidation allowBlank="1" showInputMessage="1" showErrorMessage="1" prompt="Šiame stulpelyje įveskite pardavimo generuotas pajamas" sqref="B4" xr:uid="{00000000-0002-0000-0000-00000E000000}"/>
    <dataValidation allowBlank="1" showInputMessage="1" showErrorMessage="1" prompt="Šiame stulpelyje yra pajamų tendencijų laikui bėgant diagrama" sqref="C4" xr:uid="{00000000-0002-0000-0000-00000F000000}"/>
    <dataValidation allowBlank="1" showInputMessage="1" showErrorMessage="1" prompt="Šiame stulpelyje įveskite B stulpelyje nurodytų šaltinių pajamas" sqref="D4:O4" xr:uid="{00000000-0002-0000-0000-000010000000}"/>
    <dataValidation allowBlank="1" showInputMessage="1" showErrorMessage="1" prompt="Šiame stulpelyje yra indekso procentas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'Pajamos (pardavimas)'!D12:O12</xm:f>
              <xm:sqref>C12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'Pajamos (pardavimas)'!$D$5:$O$5</xm:f>
              <xm:sqref>C5</xm:sqref>
            </x14:sparkline>
            <x14:sparkline>
              <xm:f>'Pajamos (pardavimas)'!$D$6:$O$6</xm:f>
              <xm:sqref>C6</xm:sqref>
            </x14:sparkline>
            <x14:sparkline>
              <xm:f>'Pajamos (pardavimas)'!$D$7:$O$7</xm:f>
              <xm:sqref>C7</xm:sqref>
            </x14:sparkline>
            <x14:sparkline>
              <xm:f>'Pajamos (pardavimas)'!$D$8:$O$8</xm:f>
              <xm:sqref>C8</xm:sqref>
            </x14:sparkline>
            <x14:sparkline>
              <xm:f>'Pajamos (pardavimas)'!$D$9:$O$9</xm:f>
              <xm:sqref>C9</xm:sqref>
            </x14:sparkline>
            <x14:sparkline>
              <xm:f>'Pajamos (pardavimas)'!$D$10:$O$10</xm:f>
              <xm:sqref>C10</xm:sqref>
            </x14:sparkline>
            <x14:sparkline>
              <xm:f>'Pajamos (pardavimas)'!$D$11:$O$11</xm:f>
              <xm:sqref>C11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2.1" customHeight="1" x14ac:dyDescent="0.3"/>
  <cols>
    <col min="1" max="1" width="2.625" customWidth="1"/>
    <col min="2" max="2" width="26.75" customWidth="1"/>
    <col min="3" max="3" width="14.875" customWidth="1"/>
    <col min="4" max="15" width="10.5" customWidth="1"/>
    <col min="16" max="16" width="12.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19" t="str">
        <f>Projection_Period_Title</f>
        <v>Dvylika mėnesių</v>
      </c>
      <c r="C1" s="10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6" t="str">
        <f>Įmonės_pavadinimas</f>
        <v>Įmonės pavadinimas</v>
      </c>
    </row>
    <row r="2" spans="1:30" ht="60" customHeight="1" x14ac:dyDescent="0.3">
      <c r="B2" s="26" t="str">
        <f>Wksht_Title</f>
        <v>PELNO IR NUOSTOLIŲ PROGNOZĖ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7" t="s">
        <v>39</v>
      </c>
      <c r="AC2" s="17" t="str">
        <f>FYMonthStart</f>
        <v>SAU</v>
      </c>
      <c r="AD2" s="17">
        <f ca="1">FYStartYear</f>
        <v>2017</v>
      </c>
    </row>
    <row r="3" spans="1:30" ht="20.100000000000001" customHeight="1" x14ac:dyDescent="0.3">
      <c r="D3" s="18" t="str">
        <f ca="1">UPPER(TEXT(DATE(FYStartYear,FYMonthNo,1),"yy-mmm"))</f>
        <v>17-SAUS</v>
      </c>
      <c r="E3" s="18" t="str">
        <f ca="1">UPPER(TEXT(DATE(FYStartYear,FYMonthNo+1,1),"yy-mmm"))</f>
        <v>17-VAS</v>
      </c>
      <c r="F3" s="18" t="str">
        <f ca="1">UPPER(TEXT(DATE(FYStartYear,FYMonthNo+2,1),"yy-mmm"))</f>
        <v>17-KOV</v>
      </c>
      <c r="G3" s="18" t="str">
        <f ca="1">UPPER(TEXT(DATE(FYStartYear,FYMonthNo+3,1),"yy-mmm"))</f>
        <v>17-BAL</v>
      </c>
      <c r="H3" s="18" t="str">
        <f ca="1">UPPER(TEXT(DATE(FYStartYear,FYMonthNo+4,1),"yy-mmm"))</f>
        <v>17-GEG</v>
      </c>
      <c r="I3" s="18" t="str">
        <f ca="1">UPPER(TEXT(DATE(FYStartYear,FYMonthNo+5,1),"yy-mmm"))</f>
        <v>17-BIRŽ</v>
      </c>
      <c r="J3" s="18" t="str">
        <f ca="1">UPPER(TEXT(DATE(FYStartYear,FYMonthNo+6,1),"yy-mmm"))</f>
        <v>17-LIEP</v>
      </c>
      <c r="K3" s="18" t="str">
        <f ca="1">UPPER(TEXT(DATE(FYStartYear,FYMonthNo+7,1),"yy-mmm"))</f>
        <v>17-RUGP</v>
      </c>
      <c r="L3" s="18" t="str">
        <f ca="1">UPPER(TEXT(DATE(FYStartYear,FYMonthNo+8,1),"yy-mmm"))</f>
        <v>17-RUGS</v>
      </c>
      <c r="M3" s="18" t="str">
        <f ca="1">UPPER(TEXT(DATE(FYStartYear,FYMonthNo+9,1),"yy-mmm"))</f>
        <v>17-SPAL</v>
      </c>
      <c r="N3" s="18" t="str">
        <f ca="1">UPPER(TEXT(DATE(FYStartYear,FYMonthNo+10,1),"yy-mmm"))</f>
        <v>17-LAPKR</v>
      </c>
      <c r="O3" s="18" t="str">
        <f ca="1">UPPER(TEXT(DATE(FYStartYear,FYMonthNo+11,1),"yy-mmm"))</f>
        <v>17-GRUOD</v>
      </c>
      <c r="P3" s="18" t="s">
        <v>12</v>
      </c>
      <c r="Q3" s="18" t="s">
        <v>14</v>
      </c>
      <c r="R3" s="18" t="str">
        <f t="shared" ref="R3:AC3" ca="1" si="0">RIGHT(D3,3)&amp;" %"</f>
        <v>AUS %</v>
      </c>
      <c r="S3" s="18" t="str">
        <f t="shared" ca="1" si="0"/>
        <v>VAS %</v>
      </c>
      <c r="T3" s="18" t="str">
        <f t="shared" ca="1" si="0"/>
        <v>KOV %</v>
      </c>
      <c r="U3" s="18" t="str">
        <f t="shared" ca="1" si="0"/>
        <v>BAL %</v>
      </c>
      <c r="V3" s="18" t="str">
        <f t="shared" ca="1" si="0"/>
        <v>GEG %</v>
      </c>
      <c r="W3" s="18" t="str">
        <f t="shared" ca="1" si="0"/>
        <v>IRŽ %</v>
      </c>
      <c r="X3" s="18" t="str">
        <f t="shared" ca="1" si="0"/>
        <v>IEP %</v>
      </c>
      <c r="Y3" s="18" t="str">
        <f t="shared" ca="1" si="0"/>
        <v>UGP %</v>
      </c>
      <c r="Z3" s="18" t="str">
        <f t="shared" ca="1" si="0"/>
        <v>UGS %</v>
      </c>
      <c r="AA3" s="18" t="str">
        <f t="shared" ca="1" si="0"/>
        <v>PAL %</v>
      </c>
      <c r="AB3" s="18" t="str">
        <f t="shared" ca="1" si="0"/>
        <v>PKR %</v>
      </c>
      <c r="AC3" s="18" t="str">
        <f t="shared" ca="1" si="0"/>
        <v>UOD %</v>
      </c>
      <c r="AD3" s="18" t="s">
        <v>29</v>
      </c>
    </row>
    <row r="4" spans="1:30" ht="32.1" customHeight="1" x14ac:dyDescent="0.3">
      <c r="B4" s="33" t="s">
        <v>76</v>
      </c>
      <c r="C4" s="25" t="s">
        <v>11</v>
      </c>
      <c r="D4" s="20" t="s">
        <v>62</v>
      </c>
      <c r="E4" s="20" t="s">
        <v>63</v>
      </c>
      <c r="F4" s="20" t="s">
        <v>64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  <c r="N4" s="20" t="s">
        <v>72</v>
      </c>
      <c r="O4" s="20" t="s">
        <v>73</v>
      </c>
      <c r="P4" s="20" t="s">
        <v>13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74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30</v>
      </c>
    </row>
    <row r="5" spans="1:30" ht="32.1" customHeight="1" x14ac:dyDescent="0.3">
      <c r="B5" s="22" t="s">
        <v>31</v>
      </c>
      <c r="C5" s="27"/>
      <c r="D5" s="23">
        <v>61</v>
      </c>
      <c r="E5" s="23">
        <v>78</v>
      </c>
      <c r="F5" s="23">
        <v>65</v>
      </c>
      <c r="G5" s="23">
        <v>29</v>
      </c>
      <c r="H5" s="23">
        <v>125</v>
      </c>
      <c r="I5" s="23">
        <v>49</v>
      </c>
      <c r="J5" s="23">
        <v>14</v>
      </c>
      <c r="K5" s="23">
        <v>26</v>
      </c>
      <c r="L5" s="23">
        <v>14</v>
      </c>
      <c r="M5" s="23">
        <v>129</v>
      </c>
      <c r="N5" s="23">
        <v>60</v>
      </c>
      <c r="O5" s="23">
        <v>65</v>
      </c>
      <c r="P5" s="32">
        <f>SUM(Pardavimoišlaidos[[#This Row],[Sau]:[Grd]])</f>
        <v>715</v>
      </c>
      <c r="Q5" s="62">
        <v>0.12</v>
      </c>
      <c r="R5" s="63">
        <f>IFERROR(Pardavimoišlaidos[[#This Row],[Sau]]/Pardavimoišlaidos[[#Totals],[Sau]],"-")</f>
        <v>0.23018867924528302</v>
      </c>
      <c r="S5" s="63">
        <f>IFERROR(Pardavimoišlaidos[[#This Row],[Vas]]/Pardavimoišlaidos[[#Totals],[Vas]],"-")</f>
        <v>0.21910112359550563</v>
      </c>
      <c r="T5" s="63">
        <f>IFERROR(Pardavimoišlaidos[[#This Row],[Kov]]/Pardavimoišlaidos[[#Totals],[Kov]],"-")</f>
        <v>0.20634920634920634</v>
      </c>
      <c r="U5" s="63">
        <f>IFERROR(Pardavimoišlaidos[[#This Row],[Bal]]/Pardavimoišlaidos[[#Totals],[Bal]],"-")</f>
        <v>0.12033195020746888</v>
      </c>
      <c r="V5" s="63">
        <f>IFERROR(Pardavimoišlaidos[[#This Row],[Geg]]/Pardavimoišlaidos[[#Totals],[Geg]],"-")</f>
        <v>0.31328320802005011</v>
      </c>
      <c r="W5" s="63">
        <f>IFERROR(Pardavimoišlaidos[[#This Row],[Bir]]/Pardavimoišlaidos[[#Totals],[Bir]],"-")</f>
        <v>0.15705128205128205</v>
      </c>
      <c r="X5" s="63">
        <f>IFERROR(Pardavimoišlaidos[[#This Row],[Lie]]/Pardavimoišlaidos[[#Totals],[Lie]],"-")</f>
        <v>4.6822742474916385E-2</v>
      </c>
      <c r="Y5" s="63">
        <f>IFERROR(Pardavimoišlaidos[[#This Row],[Rgp]]/Pardavimoišlaidos[[#Totals],[Rgp]],"-")</f>
        <v>0.11504424778761062</v>
      </c>
      <c r="Z5" s="63">
        <f>IFERROR(Pardavimoišlaidos[[#This Row],[Rgs]]/Pardavimoišlaidos[[#Totals],[Rgs]],"-")</f>
        <v>3.3816425120772944E-2</v>
      </c>
      <c r="AA5" s="63">
        <f>IFERROR(Pardavimoišlaidos[[#This Row],[Spl]]/Pardavimoišlaidos[[#Totals],[Spl]],"-")</f>
        <v>0.47080291970802918</v>
      </c>
      <c r="AB5" s="63">
        <f>IFERROR(Pardavimoišlaidos[[#This Row],[Lap]]/Pardavimoišlaidos[[#Totals],[Lap]],"-")</f>
        <v>0.22727272727272727</v>
      </c>
      <c r="AC5" s="63">
        <f>IFERROR(Pardavimoišlaidos[[#This Row],[Grd]]/Pardavimoišlaidos[[#Totals],[Grd]],"-")</f>
        <v>0.14348785871964681</v>
      </c>
      <c r="AD5" s="63">
        <f>IFERROR(Pardavimoišlaidos[[#This Row],[Kasmet]]/Pardavimoišlaidos[[#Totals],[Kasmet]],"-")</f>
        <v>0.18727082242011525</v>
      </c>
    </row>
    <row r="6" spans="1:30" ht="32.1" customHeight="1" x14ac:dyDescent="0.3">
      <c r="B6" s="22" t="s">
        <v>32</v>
      </c>
      <c r="C6" s="27"/>
      <c r="D6" s="23">
        <v>7</v>
      </c>
      <c r="E6" s="23">
        <v>5</v>
      </c>
      <c r="F6" s="23">
        <v>69</v>
      </c>
      <c r="G6" s="23">
        <v>32</v>
      </c>
      <c r="H6" s="23">
        <v>11</v>
      </c>
      <c r="I6" s="23">
        <v>30</v>
      </c>
      <c r="J6" s="23">
        <v>27</v>
      </c>
      <c r="K6" s="23">
        <v>32</v>
      </c>
      <c r="L6" s="23">
        <v>10</v>
      </c>
      <c r="M6" s="23">
        <v>41</v>
      </c>
      <c r="N6" s="23">
        <v>13</v>
      </c>
      <c r="O6" s="23">
        <v>105</v>
      </c>
      <c r="P6" s="32">
        <f>SUM(Pardavimoišlaidos[[#This Row],[Sau]:[Grd]])</f>
        <v>382</v>
      </c>
      <c r="Q6" s="62">
        <v>0.18</v>
      </c>
      <c r="R6" s="63">
        <f>IFERROR(Pardavimoišlaidos[[#This Row],[Sau]]/Pardavimoišlaidos[[#Totals],[Sau]],"-")</f>
        <v>2.6415094339622643E-2</v>
      </c>
      <c r="S6" s="63">
        <f>IFERROR(Pardavimoišlaidos[[#This Row],[Vas]]/Pardavimoišlaidos[[#Totals],[Vas]],"-")</f>
        <v>1.4044943820224719E-2</v>
      </c>
      <c r="T6" s="63">
        <f>IFERROR(Pardavimoišlaidos[[#This Row],[Kov]]/Pardavimoišlaidos[[#Totals],[Kov]],"-")</f>
        <v>0.21904761904761905</v>
      </c>
      <c r="U6" s="63">
        <f>IFERROR(Pardavimoišlaidos[[#This Row],[Bal]]/Pardavimoišlaidos[[#Totals],[Bal]],"-")</f>
        <v>0.13278008298755187</v>
      </c>
      <c r="V6" s="63">
        <f>IFERROR(Pardavimoišlaidos[[#This Row],[Geg]]/Pardavimoišlaidos[[#Totals],[Geg]],"-")</f>
        <v>2.7568922305764409E-2</v>
      </c>
      <c r="W6" s="63">
        <f>IFERROR(Pardavimoišlaidos[[#This Row],[Bir]]/Pardavimoišlaidos[[#Totals],[Bir]],"-")</f>
        <v>9.6153846153846159E-2</v>
      </c>
      <c r="X6" s="63">
        <f>IFERROR(Pardavimoišlaidos[[#This Row],[Lie]]/Pardavimoišlaidos[[#Totals],[Lie]],"-")</f>
        <v>9.0301003344481601E-2</v>
      </c>
      <c r="Y6" s="63">
        <f>IFERROR(Pardavimoišlaidos[[#This Row],[Rgp]]/Pardavimoišlaidos[[#Totals],[Rgp]],"-")</f>
        <v>0.1415929203539823</v>
      </c>
      <c r="Z6" s="63">
        <f>IFERROR(Pardavimoišlaidos[[#This Row],[Rgs]]/Pardavimoišlaidos[[#Totals],[Rgs]],"-")</f>
        <v>2.4154589371980676E-2</v>
      </c>
      <c r="AA6" s="63">
        <f>IFERROR(Pardavimoišlaidos[[#This Row],[Spl]]/Pardavimoišlaidos[[#Totals],[Spl]],"-")</f>
        <v>0.14963503649635038</v>
      </c>
      <c r="AB6" s="63">
        <f>IFERROR(Pardavimoišlaidos[[#This Row],[Lap]]/Pardavimoišlaidos[[#Totals],[Lap]],"-")</f>
        <v>4.924242424242424E-2</v>
      </c>
      <c r="AC6" s="63">
        <f>IFERROR(Pardavimoišlaidos[[#This Row],[Grd]]/Pardavimoišlaidos[[#Totals],[Grd]],"-")</f>
        <v>0.23178807947019867</v>
      </c>
      <c r="AD6" s="63">
        <f>IFERROR(Pardavimoišlaidos[[#This Row],[Kasmet]]/Pardavimoišlaidos[[#Totals],[Kasmet]],"-")</f>
        <v>0.1000523834468308</v>
      </c>
    </row>
    <row r="7" spans="1:30" ht="32.1" customHeight="1" x14ac:dyDescent="0.3">
      <c r="B7" s="22" t="s">
        <v>33</v>
      </c>
      <c r="C7" s="27"/>
      <c r="D7" s="23">
        <v>99</v>
      </c>
      <c r="E7" s="23">
        <v>95</v>
      </c>
      <c r="F7" s="23">
        <v>51</v>
      </c>
      <c r="G7" s="23">
        <v>90</v>
      </c>
      <c r="H7" s="23">
        <v>21</v>
      </c>
      <c r="I7" s="23">
        <v>34</v>
      </c>
      <c r="J7" s="23">
        <v>30</v>
      </c>
      <c r="K7" s="23">
        <v>24</v>
      </c>
      <c r="L7" s="23">
        <v>109</v>
      </c>
      <c r="M7" s="23">
        <v>16</v>
      </c>
      <c r="N7" s="23">
        <v>21</v>
      </c>
      <c r="O7" s="23">
        <v>52</v>
      </c>
      <c r="P7" s="32">
        <f>SUM(Pardavimoišlaidos[[#This Row],[Sau]:[Grd]])</f>
        <v>642</v>
      </c>
      <c r="Q7" s="62">
        <v>0.19</v>
      </c>
      <c r="R7" s="63">
        <f>IFERROR(Pardavimoišlaidos[[#This Row],[Sau]]/Pardavimoišlaidos[[#Totals],[Sau]],"-")</f>
        <v>0.37358490566037733</v>
      </c>
      <c r="S7" s="63">
        <f>IFERROR(Pardavimoišlaidos[[#This Row],[Vas]]/Pardavimoišlaidos[[#Totals],[Vas]],"-")</f>
        <v>0.26685393258426965</v>
      </c>
      <c r="T7" s="63">
        <f>IFERROR(Pardavimoišlaidos[[#This Row],[Kov]]/Pardavimoišlaidos[[#Totals],[Kov]],"-")</f>
        <v>0.16190476190476191</v>
      </c>
      <c r="U7" s="63">
        <f>IFERROR(Pardavimoišlaidos[[#This Row],[Bal]]/Pardavimoišlaidos[[#Totals],[Bal]],"-")</f>
        <v>0.37344398340248963</v>
      </c>
      <c r="V7" s="63">
        <f>IFERROR(Pardavimoišlaidos[[#This Row],[Geg]]/Pardavimoišlaidos[[#Totals],[Geg]],"-")</f>
        <v>5.2631578947368418E-2</v>
      </c>
      <c r="W7" s="63">
        <f>IFERROR(Pardavimoišlaidos[[#This Row],[Bir]]/Pardavimoišlaidos[[#Totals],[Bir]],"-")</f>
        <v>0.10897435897435898</v>
      </c>
      <c r="X7" s="63">
        <f>IFERROR(Pardavimoišlaidos[[#This Row],[Lie]]/Pardavimoišlaidos[[#Totals],[Lie]],"-")</f>
        <v>0.10033444816053512</v>
      </c>
      <c r="Y7" s="63">
        <f>IFERROR(Pardavimoišlaidos[[#This Row],[Rgp]]/Pardavimoišlaidos[[#Totals],[Rgp]],"-")</f>
        <v>0.10619469026548672</v>
      </c>
      <c r="Z7" s="63">
        <f>IFERROR(Pardavimoišlaidos[[#This Row],[Rgs]]/Pardavimoišlaidos[[#Totals],[Rgs]],"-")</f>
        <v>0.26328502415458938</v>
      </c>
      <c r="AA7" s="63">
        <f>IFERROR(Pardavimoišlaidos[[#This Row],[Spl]]/Pardavimoišlaidos[[#Totals],[Spl]],"-")</f>
        <v>5.8394160583941604E-2</v>
      </c>
      <c r="AB7" s="63">
        <f>IFERROR(Pardavimoišlaidos[[#This Row],[Lap]]/Pardavimoišlaidos[[#Totals],[Lap]],"-")</f>
        <v>7.9545454545454544E-2</v>
      </c>
      <c r="AC7" s="63">
        <f>IFERROR(Pardavimoišlaidos[[#This Row],[Grd]]/Pardavimoišlaidos[[#Totals],[Grd]],"-")</f>
        <v>0.11479028697571744</v>
      </c>
      <c r="AD7" s="63">
        <f>IFERROR(Pardavimoišlaidos[[#This Row],[Kasmet]]/Pardavimoišlaidos[[#Totals],[Kasmet]],"-")</f>
        <v>0.16815086432687271</v>
      </c>
    </row>
    <row r="8" spans="1:30" ht="32.1" customHeight="1" x14ac:dyDescent="0.3">
      <c r="B8" s="22" t="s">
        <v>34</v>
      </c>
      <c r="C8" s="27"/>
      <c r="D8" s="23">
        <v>13</v>
      </c>
      <c r="E8" s="23">
        <v>28</v>
      </c>
      <c r="F8" s="23">
        <v>15</v>
      </c>
      <c r="G8" s="23">
        <v>8</v>
      </c>
      <c r="H8" s="23">
        <v>84</v>
      </c>
      <c r="I8" s="23">
        <v>12</v>
      </c>
      <c r="J8" s="23">
        <v>54</v>
      </c>
      <c r="K8" s="23">
        <v>72</v>
      </c>
      <c r="L8" s="23">
        <v>49</v>
      </c>
      <c r="M8" s="23">
        <v>24</v>
      </c>
      <c r="N8" s="23">
        <v>60</v>
      </c>
      <c r="O8" s="23">
        <v>39</v>
      </c>
      <c r="P8" s="32">
        <f>SUM(Pardavimoišlaidos[[#This Row],[Sau]:[Grd]])</f>
        <v>458</v>
      </c>
      <c r="Q8" s="62">
        <v>0.11</v>
      </c>
      <c r="R8" s="63">
        <f>IFERROR(Pardavimoišlaidos[[#This Row],[Sau]]/Pardavimoišlaidos[[#Totals],[Sau]],"-")</f>
        <v>4.9056603773584909E-2</v>
      </c>
      <c r="S8" s="63">
        <f>IFERROR(Pardavimoišlaidos[[#This Row],[Vas]]/Pardavimoišlaidos[[#Totals],[Vas]],"-")</f>
        <v>7.8651685393258425E-2</v>
      </c>
      <c r="T8" s="63">
        <f>IFERROR(Pardavimoišlaidos[[#This Row],[Kov]]/Pardavimoišlaidos[[#Totals],[Kov]],"-")</f>
        <v>4.7619047619047616E-2</v>
      </c>
      <c r="U8" s="63">
        <f>IFERROR(Pardavimoišlaidos[[#This Row],[Bal]]/Pardavimoišlaidos[[#Totals],[Bal]],"-")</f>
        <v>3.3195020746887967E-2</v>
      </c>
      <c r="V8" s="63">
        <f>IFERROR(Pardavimoišlaidos[[#This Row],[Geg]]/Pardavimoišlaidos[[#Totals],[Geg]],"-")</f>
        <v>0.21052631578947367</v>
      </c>
      <c r="W8" s="63">
        <f>IFERROR(Pardavimoišlaidos[[#This Row],[Bir]]/Pardavimoišlaidos[[#Totals],[Bir]],"-")</f>
        <v>3.8461538461538464E-2</v>
      </c>
      <c r="X8" s="63">
        <f>IFERROR(Pardavimoišlaidos[[#This Row],[Lie]]/Pardavimoišlaidos[[#Totals],[Lie]],"-")</f>
        <v>0.1806020066889632</v>
      </c>
      <c r="Y8" s="63">
        <f>IFERROR(Pardavimoišlaidos[[#This Row],[Rgp]]/Pardavimoišlaidos[[#Totals],[Rgp]],"-")</f>
        <v>0.31858407079646017</v>
      </c>
      <c r="Z8" s="63">
        <f>IFERROR(Pardavimoišlaidos[[#This Row],[Rgs]]/Pardavimoišlaidos[[#Totals],[Rgs]],"-")</f>
        <v>0.11835748792270531</v>
      </c>
      <c r="AA8" s="63">
        <f>IFERROR(Pardavimoišlaidos[[#This Row],[Spl]]/Pardavimoišlaidos[[#Totals],[Spl]],"-")</f>
        <v>8.7591240875912413E-2</v>
      </c>
      <c r="AB8" s="63">
        <f>IFERROR(Pardavimoišlaidos[[#This Row],[Lap]]/Pardavimoišlaidos[[#Totals],[Lap]],"-")</f>
        <v>0.22727272727272727</v>
      </c>
      <c r="AC8" s="63">
        <f>IFERROR(Pardavimoišlaidos[[#This Row],[Grd]]/Pardavimoišlaidos[[#Totals],[Grd]],"-")</f>
        <v>8.6092715231788075E-2</v>
      </c>
      <c r="AD8" s="63">
        <f>IFERROR(Pardavimoišlaidos[[#This Row],[Kasmet]]/Pardavimoišlaidos[[#Totals],[Kasmet]],"-")</f>
        <v>0.11995809324253535</v>
      </c>
    </row>
    <row r="9" spans="1:30" ht="32.1" customHeight="1" x14ac:dyDescent="0.3">
      <c r="B9" s="22" t="s">
        <v>35</v>
      </c>
      <c r="C9" s="27"/>
      <c r="D9" s="23">
        <v>34</v>
      </c>
      <c r="E9" s="23">
        <v>78</v>
      </c>
      <c r="F9" s="23">
        <v>43</v>
      </c>
      <c r="G9" s="23">
        <v>30</v>
      </c>
      <c r="H9" s="23">
        <v>77</v>
      </c>
      <c r="I9" s="23">
        <v>54</v>
      </c>
      <c r="J9" s="23">
        <v>26</v>
      </c>
      <c r="K9" s="23">
        <v>13</v>
      </c>
      <c r="L9" s="23">
        <v>56</v>
      </c>
      <c r="M9" s="23">
        <v>30</v>
      </c>
      <c r="N9" s="23">
        <v>40</v>
      </c>
      <c r="O9" s="23">
        <v>63</v>
      </c>
      <c r="P9" s="32">
        <f>SUM(Pardavimoišlaidos[[#This Row],[Sau]:[Grd]])</f>
        <v>544</v>
      </c>
      <c r="Q9" s="62">
        <v>0.2</v>
      </c>
      <c r="R9" s="63">
        <f>IFERROR(Pardavimoišlaidos[[#This Row],[Sau]]/Pardavimoišlaidos[[#Totals],[Sau]],"-")</f>
        <v>0.12830188679245283</v>
      </c>
      <c r="S9" s="63">
        <f>IFERROR(Pardavimoišlaidos[[#This Row],[Vas]]/Pardavimoišlaidos[[#Totals],[Vas]],"-")</f>
        <v>0.21910112359550563</v>
      </c>
      <c r="T9" s="63">
        <f>IFERROR(Pardavimoišlaidos[[#This Row],[Kov]]/Pardavimoišlaidos[[#Totals],[Kov]],"-")</f>
        <v>0.13650793650793649</v>
      </c>
      <c r="U9" s="63">
        <f>IFERROR(Pardavimoišlaidos[[#This Row],[Bal]]/Pardavimoišlaidos[[#Totals],[Bal]],"-")</f>
        <v>0.12448132780082988</v>
      </c>
      <c r="V9" s="63">
        <f>IFERROR(Pardavimoišlaidos[[#This Row],[Geg]]/Pardavimoišlaidos[[#Totals],[Geg]],"-")</f>
        <v>0.19298245614035087</v>
      </c>
      <c r="W9" s="63">
        <f>IFERROR(Pardavimoišlaidos[[#This Row],[Bir]]/Pardavimoišlaidos[[#Totals],[Bir]],"-")</f>
        <v>0.17307692307692307</v>
      </c>
      <c r="X9" s="63">
        <f>IFERROR(Pardavimoišlaidos[[#This Row],[Lie]]/Pardavimoišlaidos[[#Totals],[Lie]],"-")</f>
        <v>8.6956521739130432E-2</v>
      </c>
      <c r="Y9" s="63">
        <f>IFERROR(Pardavimoišlaidos[[#This Row],[Rgp]]/Pardavimoišlaidos[[#Totals],[Rgp]],"-")</f>
        <v>5.7522123893805309E-2</v>
      </c>
      <c r="Z9" s="63">
        <f>IFERROR(Pardavimoišlaidos[[#This Row],[Rgs]]/Pardavimoišlaidos[[#Totals],[Rgs]],"-")</f>
        <v>0.13526570048309178</v>
      </c>
      <c r="AA9" s="63">
        <f>IFERROR(Pardavimoišlaidos[[#This Row],[Spl]]/Pardavimoišlaidos[[#Totals],[Spl]],"-")</f>
        <v>0.10948905109489052</v>
      </c>
      <c r="AB9" s="63">
        <f>IFERROR(Pardavimoišlaidos[[#This Row],[Lap]]/Pardavimoišlaidos[[#Totals],[Lap]],"-")</f>
        <v>0.15151515151515152</v>
      </c>
      <c r="AC9" s="63">
        <f>IFERROR(Pardavimoišlaidos[[#This Row],[Grd]]/Pardavimoišlaidos[[#Totals],[Grd]],"-")</f>
        <v>0.13907284768211919</v>
      </c>
      <c r="AD9" s="63">
        <f>IFERROR(Pardavimoišlaidos[[#This Row],[Kasmet]]/Pardavimoišlaidos[[#Totals],[Kasmet]],"-")</f>
        <v>0.14248297537978</v>
      </c>
    </row>
    <row r="10" spans="1:30" ht="32.1" customHeight="1" x14ac:dyDescent="0.3">
      <c r="B10" s="22" t="s">
        <v>36</v>
      </c>
      <c r="C10" s="27"/>
      <c r="D10" s="23">
        <v>33</v>
      </c>
      <c r="E10" s="23">
        <v>61</v>
      </c>
      <c r="F10" s="23">
        <v>42</v>
      </c>
      <c r="G10" s="23">
        <v>43</v>
      </c>
      <c r="H10" s="23">
        <v>19</v>
      </c>
      <c r="I10" s="23">
        <v>94</v>
      </c>
      <c r="J10" s="23">
        <v>46</v>
      </c>
      <c r="K10" s="23">
        <v>15</v>
      </c>
      <c r="L10" s="23">
        <v>55</v>
      </c>
      <c r="M10" s="23">
        <v>15</v>
      </c>
      <c r="N10" s="23">
        <v>37</v>
      </c>
      <c r="O10" s="23">
        <v>89</v>
      </c>
      <c r="P10" s="32">
        <f>SUM(Pardavimoišlaidos[[#This Row],[Sau]:[Grd]])</f>
        <v>549</v>
      </c>
      <c r="Q10" s="62">
        <v>0.1</v>
      </c>
      <c r="R10" s="63">
        <f>IFERROR(Pardavimoišlaidos[[#This Row],[Sau]]/Pardavimoišlaidos[[#Totals],[Sau]],"-")</f>
        <v>0.12452830188679245</v>
      </c>
      <c r="S10" s="63">
        <f>IFERROR(Pardavimoišlaidos[[#This Row],[Vas]]/Pardavimoišlaidos[[#Totals],[Vas]],"-")</f>
        <v>0.17134831460674158</v>
      </c>
      <c r="T10" s="63">
        <f>IFERROR(Pardavimoišlaidos[[#This Row],[Kov]]/Pardavimoišlaidos[[#Totals],[Kov]],"-")</f>
        <v>0.13333333333333333</v>
      </c>
      <c r="U10" s="63">
        <f>IFERROR(Pardavimoišlaidos[[#This Row],[Bal]]/Pardavimoišlaidos[[#Totals],[Bal]],"-")</f>
        <v>0.17842323651452283</v>
      </c>
      <c r="V10" s="63">
        <f>IFERROR(Pardavimoišlaidos[[#This Row],[Geg]]/Pardavimoišlaidos[[#Totals],[Geg]],"-")</f>
        <v>4.7619047619047616E-2</v>
      </c>
      <c r="W10" s="63">
        <f>IFERROR(Pardavimoišlaidos[[#This Row],[Bir]]/Pardavimoišlaidos[[#Totals],[Bir]],"-")</f>
        <v>0.30128205128205127</v>
      </c>
      <c r="X10" s="63">
        <f>IFERROR(Pardavimoišlaidos[[#This Row],[Lie]]/Pardavimoišlaidos[[#Totals],[Lie]],"-")</f>
        <v>0.15384615384615385</v>
      </c>
      <c r="Y10" s="63">
        <f>IFERROR(Pardavimoišlaidos[[#This Row],[Rgp]]/Pardavimoišlaidos[[#Totals],[Rgp]],"-")</f>
        <v>6.637168141592921E-2</v>
      </c>
      <c r="Z10" s="63">
        <f>IFERROR(Pardavimoišlaidos[[#This Row],[Rgs]]/Pardavimoišlaidos[[#Totals],[Rgs]],"-")</f>
        <v>0.13285024154589373</v>
      </c>
      <c r="AA10" s="63">
        <f>IFERROR(Pardavimoišlaidos[[#This Row],[Spl]]/Pardavimoišlaidos[[#Totals],[Spl]],"-")</f>
        <v>5.4744525547445258E-2</v>
      </c>
      <c r="AB10" s="63">
        <f>IFERROR(Pardavimoišlaidos[[#This Row],[Lap]]/Pardavimoišlaidos[[#Totals],[Lap]],"-")</f>
        <v>0.14015151515151514</v>
      </c>
      <c r="AC10" s="63">
        <f>IFERROR(Pardavimoišlaidos[[#This Row],[Grd]]/Pardavimoišlaidos[[#Totals],[Grd]],"-")</f>
        <v>0.19646799116997793</v>
      </c>
      <c r="AD10" s="63">
        <f>IFERROR(Pardavimoišlaidos[[#This Row],[Kasmet]]/Pardavimoišlaidos[[#Totals],[Kasmet]],"-")</f>
        <v>0.14379256155055004</v>
      </c>
    </row>
    <row r="11" spans="1:30" ht="32.1" customHeight="1" x14ac:dyDescent="0.3">
      <c r="A11" s="2"/>
      <c r="B11" s="22" t="s">
        <v>37</v>
      </c>
      <c r="C11" s="27"/>
      <c r="D11" s="23">
        <v>18</v>
      </c>
      <c r="E11" s="23">
        <v>11</v>
      </c>
      <c r="F11" s="23">
        <v>30</v>
      </c>
      <c r="G11" s="23">
        <v>9</v>
      </c>
      <c r="H11" s="23">
        <v>62</v>
      </c>
      <c r="I11" s="23">
        <v>39</v>
      </c>
      <c r="J11" s="23">
        <v>102</v>
      </c>
      <c r="K11" s="23">
        <v>44</v>
      </c>
      <c r="L11" s="23">
        <v>121</v>
      </c>
      <c r="M11" s="23">
        <v>19</v>
      </c>
      <c r="N11" s="23">
        <v>33</v>
      </c>
      <c r="O11" s="23">
        <v>40</v>
      </c>
      <c r="P11" s="32">
        <f>SUM(Pardavimoišlaidos[[#This Row],[Sau]:[Grd]])</f>
        <v>528</v>
      </c>
      <c r="Q11" s="62">
        <v>0.1</v>
      </c>
      <c r="R11" s="63">
        <f>IFERROR(Pardavimoišlaidos[[#This Row],[Sau]]/Pardavimoišlaidos[[#Totals],[Sau]],"-")</f>
        <v>6.7924528301886791E-2</v>
      </c>
      <c r="S11" s="63">
        <f>IFERROR(Pardavimoišlaidos[[#This Row],[Vas]]/Pardavimoišlaidos[[#Totals],[Vas]],"-")</f>
        <v>3.0898876404494381E-2</v>
      </c>
      <c r="T11" s="63">
        <f>IFERROR(Pardavimoišlaidos[[#This Row],[Kov]]/Pardavimoišlaidos[[#Totals],[Kov]],"-")</f>
        <v>9.5238095238095233E-2</v>
      </c>
      <c r="U11" s="63">
        <f>IFERROR(Pardavimoišlaidos[[#This Row],[Bal]]/Pardavimoišlaidos[[#Totals],[Bal]],"-")</f>
        <v>3.7344398340248962E-2</v>
      </c>
      <c r="V11" s="63">
        <f>IFERROR(Pardavimoišlaidos[[#This Row],[Geg]]/Pardavimoišlaidos[[#Totals],[Geg]],"-")</f>
        <v>0.15538847117794485</v>
      </c>
      <c r="W11" s="63">
        <f>IFERROR(Pardavimoišlaidos[[#This Row],[Bir]]/Pardavimoišlaidos[[#Totals],[Bir]],"-")</f>
        <v>0.125</v>
      </c>
      <c r="X11" s="63">
        <f>IFERROR(Pardavimoišlaidos[[#This Row],[Lie]]/Pardavimoišlaidos[[#Totals],[Lie]],"-")</f>
        <v>0.34113712374581939</v>
      </c>
      <c r="Y11" s="63">
        <f>IFERROR(Pardavimoišlaidos[[#This Row],[Rgp]]/Pardavimoišlaidos[[#Totals],[Rgp]],"-")</f>
        <v>0.19469026548672566</v>
      </c>
      <c r="Z11" s="63">
        <f>IFERROR(Pardavimoišlaidos[[#This Row],[Rgs]]/Pardavimoišlaidos[[#Totals],[Rgs]],"-")</f>
        <v>0.2922705314009662</v>
      </c>
      <c r="AA11" s="63">
        <f>IFERROR(Pardavimoišlaidos[[#This Row],[Spl]]/Pardavimoišlaidos[[#Totals],[Spl]],"-")</f>
        <v>6.9343065693430656E-2</v>
      </c>
      <c r="AB11" s="63">
        <f>IFERROR(Pardavimoišlaidos[[#This Row],[Lap]]/Pardavimoišlaidos[[#Totals],[Lap]],"-")</f>
        <v>0.125</v>
      </c>
      <c r="AC11" s="63">
        <f>IFERROR(Pardavimoišlaidos[[#This Row],[Grd]]/Pardavimoišlaidos[[#Totals],[Grd]],"-")</f>
        <v>8.8300220750551883E-2</v>
      </c>
      <c r="AD11" s="63">
        <f>IFERROR(Pardavimoišlaidos[[#This Row],[Kasmet]]/Pardavimoišlaidos[[#Totals],[Kasmet]],"-")</f>
        <v>0.13829229963331588</v>
      </c>
    </row>
    <row r="12" spans="1:30" ht="32.1" customHeight="1" x14ac:dyDescent="0.3">
      <c r="A12" s="11"/>
      <c r="B12" s="30" t="s">
        <v>77</v>
      </c>
      <c r="C12" s="24"/>
      <c r="D12" s="31">
        <f>SUBTOTAL(109,Pardavimoišlaidos[Sau])</f>
        <v>265</v>
      </c>
      <c r="E12" s="31">
        <f>SUBTOTAL(109,Pardavimoišlaidos[Vas])</f>
        <v>356</v>
      </c>
      <c r="F12" s="31">
        <f>SUBTOTAL(109,Pardavimoišlaidos[Kov])</f>
        <v>315</v>
      </c>
      <c r="G12" s="31">
        <f>SUBTOTAL(109,Pardavimoišlaidos[Bal])</f>
        <v>241</v>
      </c>
      <c r="H12" s="31">
        <f>SUBTOTAL(109,Pardavimoišlaidos[Geg])</f>
        <v>399</v>
      </c>
      <c r="I12" s="31">
        <f>SUBTOTAL(109,Pardavimoišlaidos[Bir])</f>
        <v>312</v>
      </c>
      <c r="J12" s="31">
        <f>SUBTOTAL(109,Pardavimoišlaidos[Lie])</f>
        <v>299</v>
      </c>
      <c r="K12" s="31">
        <f>SUBTOTAL(109,Pardavimoišlaidos[Rgp])</f>
        <v>226</v>
      </c>
      <c r="L12" s="31">
        <f>SUBTOTAL(109,Pardavimoišlaidos[Rgs])</f>
        <v>414</v>
      </c>
      <c r="M12" s="31">
        <f>SUBTOTAL(109,Pardavimoišlaidos[Spl])</f>
        <v>274</v>
      </c>
      <c r="N12" s="31">
        <f>SUBTOTAL(109,Pardavimoišlaidos[Lap])</f>
        <v>264</v>
      </c>
      <c r="O12" s="31">
        <f>SUBTOTAL(109,Pardavimoišlaidos[Grd])</f>
        <v>453</v>
      </c>
      <c r="P12" s="31">
        <f>SUBTOTAL(109,Pardavimoišlaidos[Kasmet])</f>
        <v>3818</v>
      </c>
      <c r="Q12" s="64">
        <f>SUBTOTAL(109,Pardavimoišlaidos[Indeksas %])</f>
        <v>1</v>
      </c>
      <c r="R12" s="65">
        <f>SUBTOTAL(109,Pardavimoišlaidos[Sau %])</f>
        <v>0.99999999999999989</v>
      </c>
      <c r="S12" s="65">
        <f>SUBTOTAL(109,Pardavimoišlaidos[Vas %])</f>
        <v>1</v>
      </c>
      <c r="T12" s="65">
        <f>SUBTOTAL(109,Pardavimoišlaidos[Kov %])</f>
        <v>0.99999999999999989</v>
      </c>
      <c r="U12" s="65">
        <f>SUBTOTAL(109,Pardavimoišlaidos[Bal %])</f>
        <v>1</v>
      </c>
      <c r="V12" s="65">
        <f>SUBTOTAL(109,Pardavimoišlaidos[Geg %])</f>
        <v>0.99999999999999989</v>
      </c>
      <c r="W12" s="65">
        <f>SUBTOTAL(109,Pardavimoišlaidos[Bir %])</f>
        <v>1</v>
      </c>
      <c r="X12" s="65">
        <f>SUBTOTAL(109,Pardavimoišlaidos[Lie %])</f>
        <v>1</v>
      </c>
      <c r="Y12" s="65">
        <f>SUBTOTAL(109,Pardavimoišlaidos[Rgp %])</f>
        <v>0.99999999999999989</v>
      </c>
      <c r="Z12" s="65">
        <f>SUBTOTAL(109,Pardavimoišlaidos[Rgs %])</f>
        <v>1</v>
      </c>
      <c r="AA12" s="65">
        <f>SUBTOTAL(109,Pardavimoišlaidos[Spl %])</f>
        <v>1</v>
      </c>
      <c r="AB12" s="65">
        <f>SUBTOTAL(109,Pardavimoišlaidos[Lap %])</f>
        <v>0.99999999999999989</v>
      </c>
      <c r="AC12" s="65">
        <f>SUBTOTAL(109,Pardavimoišlaidos[Grd %])</f>
        <v>1</v>
      </c>
      <c r="AD12" s="65">
        <f>SUBTOTAL(109,Pardavimoišlaidos[Metai %])</f>
        <v>0.99999999999999989</v>
      </c>
    </row>
    <row r="13" spans="1:30" ht="32.1" customHeight="1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32.1" customHeight="1" x14ac:dyDescent="0.3">
      <c r="B14" s="12" t="s">
        <v>38</v>
      </c>
      <c r="C14" s="12"/>
      <c r="D14" s="13">
        <f>Pajamos[[#Totals],[Sau]]-Pardavimoišlaidos[[#Totals],[Sau]]</f>
        <v>359</v>
      </c>
      <c r="E14" s="13">
        <f>Pajamos[[#Totals],[Vas]]-Pardavimoišlaidos[[#Totals],[Vas]]</f>
        <v>380</v>
      </c>
      <c r="F14" s="13">
        <f>Pajamos[[#Totals],[Kov]]-Pardavimoišlaidos[[#Totals],[Kov]]</f>
        <v>505</v>
      </c>
      <c r="G14" s="13">
        <f>Pajamos[[#Totals],[Bal]]-Pardavimoišlaidos[[#Totals],[Bal]]</f>
        <v>370</v>
      </c>
      <c r="H14" s="13">
        <f>Pajamos[[#Totals],[Geg]]-Pardavimoišlaidos[[#Totals],[Geg]]</f>
        <v>413</v>
      </c>
      <c r="I14" s="13">
        <f>Pajamos[[#Totals],[Bir]]-Pardavimoišlaidos[[#Totals],[Bir]]</f>
        <v>266</v>
      </c>
      <c r="J14" s="13">
        <f>Pajamos[[#Totals],[Lie]]-Pardavimoišlaidos[[#Totals],[Lie]]</f>
        <v>298</v>
      </c>
      <c r="K14" s="13">
        <f>Pajamos[[#Totals],[Rgp]]-Pardavimoišlaidos[[#Totals],[Rgp]]</f>
        <v>449</v>
      </c>
      <c r="L14" s="13">
        <f>Pajamos[[#Totals],[Rgs]]-Pardavimoišlaidos[[#Totals],[Rgs]]</f>
        <v>330</v>
      </c>
      <c r="M14" s="13">
        <f>Pajamos[[#Totals],[Spl]]-Pardavimoišlaidos[[#Totals],[Spl]]</f>
        <v>407</v>
      </c>
      <c r="N14" s="13">
        <f>Pajamos[[#Totals],[Lap]]-Pardavimoišlaidos[[#Totals],[Lap]]</f>
        <v>475</v>
      </c>
      <c r="O14" s="13">
        <f>Pajamos[[#Totals],[Grd]]-Pardavimoišlaidos[[#Totals],[Grd]]</f>
        <v>590</v>
      </c>
      <c r="P14" s="13">
        <f>Pajamos[[#Totals],[Kasmet]]-Pardavimoišlaidos[[#Totals],[Kasmet]]</f>
        <v>4842</v>
      </c>
      <c r="Q14" s="12"/>
      <c r="R14" s="66">
        <f t="shared" ref="R14:AD14" si="1">D14/$P$14</f>
        <v>7.4142916150351096E-2</v>
      </c>
      <c r="S14" s="66">
        <f t="shared" si="1"/>
        <v>7.8479966955803393E-2</v>
      </c>
      <c r="T14" s="66">
        <f t="shared" si="1"/>
        <v>0.10429574555968608</v>
      </c>
      <c r="U14" s="66">
        <f t="shared" si="1"/>
        <v>7.6414704667492769E-2</v>
      </c>
      <c r="V14" s="66">
        <f t="shared" si="1"/>
        <v>8.5295332507228414E-2</v>
      </c>
      <c r="W14" s="66">
        <f t="shared" si="1"/>
        <v>5.4935976869062368E-2</v>
      </c>
      <c r="X14" s="66">
        <f t="shared" si="1"/>
        <v>6.1544816191656339E-2</v>
      </c>
      <c r="Y14" s="66">
        <f t="shared" si="1"/>
        <v>9.2730276745146639E-2</v>
      </c>
      <c r="Z14" s="66">
        <f t="shared" si="1"/>
        <v>6.8153655514250316E-2</v>
      </c>
      <c r="AA14" s="66">
        <f t="shared" si="1"/>
        <v>8.4056175134242045E-2</v>
      </c>
      <c r="AB14" s="66">
        <f t="shared" si="1"/>
        <v>9.8099958694754227E-2</v>
      </c>
      <c r="AC14" s="66">
        <f t="shared" si="1"/>
        <v>0.12185047501032631</v>
      </c>
      <c r="AD14" s="66">
        <f t="shared" si="1"/>
        <v>1</v>
      </c>
    </row>
  </sheetData>
  <dataValidations count="18">
    <dataValidation allowBlank="1" showInputMessage="1" showErrorMessage="1" prompt="Šioje lentelėje automatiškai apskaičiuojamas kiekvieno mėnesio ir metų bendrasis pelnas pagal bendrąjį pardavimą it bendrąsias pardavimo išlaidas" sqref="B14" xr:uid="{00000000-0002-0000-0100-000000000000}"/>
    <dataValidation allowBlank="1" showInputMessage="1" showErrorMessage="1" prompt="Šiame darbalapyje apskaičiuojamos bendrosios pardavimo išlaidos kiekvieną mėnesį ir metus, taip pat metinės elementų pardavimo išlaidos. Atsižvelgiant į įrašų automatiškai apskaičiuojamas bendrasis pelnas" sqref="A1" xr:uid="{00000000-0002-0000-0100-000001000000}"/>
    <dataValidation allowBlank="1" showInputMessage="1" showErrorMessage="1" prompt="Šis langelis automatiškai atnaujinamas iš prognozės laikotarpio pavadinimo Pajamų (pardavimo) darbalapyje" sqref="B1" xr:uid="{00000000-0002-0000-0100-000002000000}"/>
    <dataValidation allowBlank="1" showInputMessage="1" showErrorMessage="1" prompt="Įmonės pavadinimas automatiškai atnaujinamas naudojant įrašą iš pajamų (pardavimo) darbalapio" sqref="AD1" xr:uid="{00000000-0002-0000-0100-000003000000}"/>
    <dataValidation allowBlank="1" showInputMessage="1" showErrorMessage="1" prompt="Automatiškai atnaujinamas pavadinimas iš pajamų (pardavimo) darbalapio. Toliau įveskite pardavimo išlaidų lentelės reikšmes, kad būtų apskaičiuotos bendrosios pardavimo išlaidos" sqref="B2" xr:uid="{00000000-0002-0000-0100-000004000000}"/>
    <dataValidation allowBlank="1" showInputMessage="1" showErrorMessage="1" prompt="Langeliuose dešinėje automatiškai atnaujinamas mėnesis ir metai. Norėdami keisti mėnesį ar metus, modifikuokite AC2 ir AD2 langelius Pajamų (pardavimo) darbalapyje" sqref="AB2" xr:uid="{00000000-0002-0000-0100-000005000000}"/>
    <dataValidation allowBlank="1" showInputMessage="1" showErrorMessage="1" prompt="Šiame stulpelyje įveskite indekso procentą" sqref="Q4" xr:uid="{00000000-0002-0000-0100-000006000000}"/>
    <dataValidation allowBlank="1" showInputMessage="1" showErrorMessage="1" prompt="Šiame stulpelyje įveskite B stulpelyje nurodytų šaltinių išlaidas" sqref="D4:O4" xr:uid="{00000000-0002-0000-0100-000007000000}"/>
    <dataValidation allowBlank="1" showInputMessage="1" showErrorMessage="1" prompt="Šiame stulpelyje yra išlaidų tendencijų laikui bėgant diagrama" sqref="C4" xr:uid="{00000000-0002-0000-0100-000008000000}"/>
    <dataValidation allowBlank="1" showInputMessage="1" showErrorMessage="1" prompt="Šiame stulpelyje įveskite pardavimo išlaidas" sqref="B4" xr:uid="{00000000-0002-0000-0100-000009000000}"/>
    <dataValidation allowBlank="1" showInputMessage="1" showErrorMessage="1" prompt="Šiame stulpelyje automatiškai apskaičiuojama pardavimo išlaidų dalis iš įvairių šaltinių pagal bendrąsias metų pardavimo išlaidas" sqref="AD3" xr:uid="{00000000-0002-0000-0100-00000A000000}"/>
    <dataValidation allowBlank="1" showInputMessage="1" showErrorMessage="1" prompt="Šiame stulpelyje automatiškai apskaičiuojama pardavimo išlaidų dalis iš įvairių šaltinių pagal bendrąsias mėnesio pardavimo išlaidas" sqref="R3:AC3" xr:uid="{00000000-0002-0000-0100-00000B000000}"/>
    <dataValidation allowBlank="1" showInputMessage="1" showErrorMessage="1" prompt="Automatiškai atnaujintas mėnesis" sqref="E3:O3" xr:uid="{00000000-0002-0000-0100-00000C000000}"/>
    <dataValidation allowBlank="1" showInputMessage="1" showErrorMessage="1" prompt="Datos šioje eilutėje automatiškai atnaujinamos pagal finansinių metų pradžios mėnesį. Norėdami keisti pradžios mėnesį, modifikuokite AC2 langelį Pajamų (pardavimo) lape" sqref="D3" xr:uid="{00000000-0002-0000-0100-00000D000000}"/>
    <dataValidation allowBlank="1" showInputMessage="1" showErrorMessage="1" prompt="Šiame stulpelyje automatiškai skaičiuojamos metinės išlaidos" sqref="P3" xr:uid="{00000000-0002-0000-0100-00000E000000}"/>
    <dataValidation allowBlank="1" showInputMessage="1" showErrorMessage="1" prompt="Šiame stulpelyje yra indekso procentas" sqref="Q3" xr:uid="{00000000-0002-0000-0100-00000F000000}"/>
    <dataValidation allowBlank="1" showInputMessage="1" showErrorMessage="1" prompt="Automatiškai atnaujintas mėnesis. Norėdami keisti, modifikuokite AC2 langelį Pajamų (pardavimo) lape" sqref="AC2" xr:uid="{00000000-0002-0000-0100-000010000000}"/>
    <dataValidation allowBlank="1" showInputMessage="1" showErrorMessage="1" prompt="Automatiškai atnaujinti metai. Norėdami keisti, modifikuokite AD2 langelį Pajamų (pardavimo) lape" sqref="AD2" xr:uid="{00000000-0002-0000-01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'Pardavimo išlaidos'!D12:O12</xm:f>
              <xm:sqref>C12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'Pardavimo išlaidos'!D5:O5</xm:f>
              <xm:sqref>C5</xm:sqref>
            </x14:sparkline>
            <x14:sparkline>
              <xm:f>'Pardavimo išlaidos'!D6:O6</xm:f>
              <xm:sqref>C6</xm:sqref>
            </x14:sparkline>
            <x14:sparkline>
              <xm:f>'Pardavimo išlaidos'!D7:O7</xm:f>
              <xm:sqref>C7</xm:sqref>
            </x14:sparkline>
            <x14:sparkline>
              <xm:f>'Pardavimo išlaidos'!D8:O8</xm:f>
              <xm:sqref>C8</xm:sqref>
            </x14:sparkline>
            <x14:sparkline>
              <xm:f>'Pardavimo išlaidos'!D9:O9</xm:f>
              <xm:sqref>C9</xm:sqref>
            </x14:sparkline>
            <x14:sparkline>
              <xm:f>'Pardavimo išlaidos'!D10:O10</xm:f>
              <xm:sqref>C10</xm:sqref>
            </x14:sparkline>
            <x14:sparkline>
              <xm:f>'Pardavimo išlaidos'!D11:O11</xm:f>
              <xm:sqref>C11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2.1" customHeight="1" x14ac:dyDescent="0.3"/>
  <cols>
    <col min="1" max="1" width="2.625" customWidth="1"/>
    <col min="2" max="2" width="26.75" customWidth="1"/>
    <col min="3" max="3" width="14.875" customWidth="1"/>
    <col min="4" max="15" width="10.5" customWidth="1"/>
    <col min="16" max="16" width="12.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19" t="str">
        <f>Projection_Period_Title</f>
        <v>Dvylika mėnesių</v>
      </c>
      <c r="C1" s="10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6" t="str">
        <f>Įmonės_pavadinimas</f>
        <v>Įmonės pavadinimas</v>
      </c>
    </row>
    <row r="2" spans="1:30" ht="60" customHeight="1" x14ac:dyDescent="0.3">
      <c r="B2" s="4" t="str">
        <f>'Pajamos (pardavimas)'!$B$2</f>
        <v>PELNO IR NUOSTOLIŲ PROGNOZĖ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7" t="s">
        <v>39</v>
      </c>
      <c r="AC2" s="17" t="str">
        <f>FYMonthStart</f>
        <v>SAU</v>
      </c>
      <c r="AD2" s="17">
        <f ca="1">FYStartYear</f>
        <v>2017</v>
      </c>
    </row>
    <row r="3" spans="1:30" ht="20.100000000000001" customHeight="1" x14ac:dyDescent="0.3">
      <c r="D3" s="18" t="str">
        <f ca="1">UPPER(TEXT(DATE(FYStartYear,FYMonthNo,1),"yy-mmm"))</f>
        <v>17-SAUS</v>
      </c>
      <c r="E3" s="18" t="str">
        <f ca="1">UPPER(TEXT(DATE(FYStartYear,FYMonthNo+1,1),"yy-mmm"))</f>
        <v>17-VAS</v>
      </c>
      <c r="F3" s="18" t="str">
        <f ca="1">UPPER(TEXT(DATE(FYStartYear,FYMonthNo+2,1),"yy-mmm"))</f>
        <v>17-KOV</v>
      </c>
      <c r="G3" s="18" t="str">
        <f ca="1">UPPER(TEXT(DATE(FYStartYear,FYMonthNo+3,1),"yy-mmm"))</f>
        <v>17-BAL</v>
      </c>
      <c r="H3" s="18" t="str">
        <f ca="1">UPPER(TEXT(DATE(FYStartYear,FYMonthNo+4,1),"yy-mmm"))</f>
        <v>17-GEG</v>
      </c>
      <c r="I3" s="18" t="str">
        <f ca="1">UPPER(TEXT(DATE(FYStartYear,FYMonthNo+5,1),"yy-mmm"))</f>
        <v>17-BIRŽ</v>
      </c>
      <c r="J3" s="18" t="str">
        <f ca="1">UPPER(TEXT(DATE(FYStartYear,FYMonthNo+6,1),"yy-mmm"))</f>
        <v>17-LIEP</v>
      </c>
      <c r="K3" s="18" t="str">
        <f ca="1">UPPER(TEXT(DATE(FYStartYear,FYMonthNo+7,1),"yy-mmm"))</f>
        <v>17-RUGP</v>
      </c>
      <c r="L3" s="18" t="str">
        <f ca="1">UPPER(TEXT(DATE(FYStartYear,FYMonthNo+8,1),"yy-mmm"))</f>
        <v>17-RUGS</v>
      </c>
      <c r="M3" s="18" t="str">
        <f ca="1">UPPER(TEXT(DATE(FYStartYear,FYMonthNo+9,1),"yy-mmm"))</f>
        <v>17-SPAL</v>
      </c>
      <c r="N3" s="18" t="str">
        <f ca="1">UPPER(TEXT(DATE(FYStartYear,FYMonthNo+10,1),"yy-mmm"))</f>
        <v>17-LAPKR</v>
      </c>
      <c r="O3" s="18" t="str">
        <f ca="1">UPPER(TEXT(DATE(FYStartYear,FYMonthNo+11,1),"yy-mmm"))</f>
        <v>17-GRUOD</v>
      </c>
      <c r="P3" s="18" t="s">
        <v>12</v>
      </c>
      <c r="Q3" s="18" t="s">
        <v>14</v>
      </c>
      <c r="R3" s="18" t="str">
        <f t="shared" ref="R3:AC3" ca="1" si="0">RIGHT(D3,3)&amp;" %"</f>
        <v>AUS %</v>
      </c>
      <c r="S3" s="18" t="str">
        <f t="shared" ca="1" si="0"/>
        <v>VAS %</v>
      </c>
      <c r="T3" s="18" t="str">
        <f t="shared" ca="1" si="0"/>
        <v>KOV %</v>
      </c>
      <c r="U3" s="18" t="str">
        <f t="shared" ca="1" si="0"/>
        <v>BAL %</v>
      </c>
      <c r="V3" s="18" t="str">
        <f t="shared" ca="1" si="0"/>
        <v>GEG %</v>
      </c>
      <c r="W3" s="18" t="str">
        <f t="shared" ca="1" si="0"/>
        <v>IRŽ %</v>
      </c>
      <c r="X3" s="18" t="str">
        <f t="shared" ca="1" si="0"/>
        <v>IEP %</v>
      </c>
      <c r="Y3" s="18" t="str">
        <f t="shared" ca="1" si="0"/>
        <v>UGP %</v>
      </c>
      <c r="Z3" s="18" t="str">
        <f t="shared" ca="1" si="0"/>
        <v>UGS %</v>
      </c>
      <c r="AA3" s="18" t="str">
        <f t="shared" ca="1" si="0"/>
        <v>PAL %</v>
      </c>
      <c r="AB3" s="18" t="str">
        <f t="shared" ca="1" si="0"/>
        <v>PKR %</v>
      </c>
      <c r="AC3" s="18" t="str">
        <f t="shared" ca="1" si="0"/>
        <v>UOD %</v>
      </c>
      <c r="AD3" s="18" t="s">
        <v>29</v>
      </c>
    </row>
    <row r="4" spans="1:30" ht="32.1" customHeight="1" x14ac:dyDescent="0.3">
      <c r="B4" s="25" t="s">
        <v>40</v>
      </c>
      <c r="C4" s="25" t="s">
        <v>11</v>
      </c>
      <c r="D4" s="20" t="s">
        <v>61</v>
      </c>
      <c r="E4" s="20" t="s">
        <v>63</v>
      </c>
      <c r="F4" s="20" t="s">
        <v>64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  <c r="N4" s="20" t="s">
        <v>72</v>
      </c>
      <c r="O4" s="20" t="s">
        <v>73</v>
      </c>
      <c r="P4" s="20" t="s">
        <v>13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74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30</v>
      </c>
    </row>
    <row r="5" spans="1:30" ht="32.1" customHeight="1" x14ac:dyDescent="0.3">
      <c r="B5" s="14" t="s">
        <v>41</v>
      </c>
      <c r="C5" s="28" t="s">
        <v>60</v>
      </c>
      <c r="D5" s="23">
        <v>10</v>
      </c>
      <c r="E5" s="23">
        <v>18</v>
      </c>
      <c r="F5" s="23">
        <v>13</v>
      </c>
      <c r="G5" s="23">
        <v>8</v>
      </c>
      <c r="H5" s="23">
        <v>22</v>
      </c>
      <c r="I5" s="23">
        <v>18</v>
      </c>
      <c r="J5" s="23">
        <v>8</v>
      </c>
      <c r="K5" s="23">
        <v>17</v>
      </c>
      <c r="L5" s="23">
        <v>20</v>
      </c>
      <c r="M5" s="23">
        <v>8</v>
      </c>
      <c r="N5" s="23">
        <v>4</v>
      </c>
      <c r="O5" s="23">
        <v>12</v>
      </c>
      <c r="P5" s="29">
        <f>SUM(tblExpenses[[#This Row],[1stulpelis]:[Grd]])</f>
        <v>158</v>
      </c>
      <c r="Q5" s="62">
        <v>0.12</v>
      </c>
      <c r="R5" s="67">
        <f>tblExpenses[[#This Row],[1stulpelis]]/tblExpenses[[#Totals],[1stulpelis]]</f>
        <v>4.2372881355932202E-2</v>
      </c>
      <c r="S5" s="67">
        <f>tblExpenses[[#This Row],[Vas]]/tblExpenses[[#Totals],[Vas]]</f>
        <v>8.7804878048780483E-2</v>
      </c>
      <c r="T5" s="67">
        <f>tblExpenses[[#This Row],[Kov]]/tblExpenses[[#Totals],[Kov]]</f>
        <v>5.2208835341365459E-2</v>
      </c>
      <c r="U5" s="67">
        <f>tblExpenses[[#This Row],[Bal]]/tblExpenses[[#Totals],[Bal]]</f>
        <v>3.0651340996168581E-2</v>
      </c>
      <c r="V5" s="67">
        <f>tblExpenses[[#This Row],[Geg]]/tblExpenses[[#Totals],[Geg]]</f>
        <v>8.5603112840466927E-2</v>
      </c>
      <c r="W5" s="67">
        <f>tblExpenses[[#This Row],[Bir]]/tblExpenses[[#Totals],[Bir]]</f>
        <v>6.569343065693431E-2</v>
      </c>
      <c r="X5" s="67">
        <f>tblExpenses[[#This Row],[Lie]]/tblExpenses[[#Totals],[Lie]]</f>
        <v>3.007518796992481E-2</v>
      </c>
      <c r="Y5" s="67">
        <f>tblExpenses[[#This Row],[Rgp]]/tblExpenses[[#Totals],[Rgp]]</f>
        <v>7.2340425531914887E-2</v>
      </c>
      <c r="Z5" s="67">
        <f>tblExpenses[[#This Row],[Rgs]]/tblExpenses[[#Totals],[Rgs]]</f>
        <v>8.6956521739130432E-2</v>
      </c>
      <c r="AA5" s="67">
        <f>tblExpenses[[#This Row],[Spl]]/tblExpenses[[#Totals],[Spl]]</f>
        <v>3.0888030888030889E-2</v>
      </c>
      <c r="AB5" s="67">
        <f>tblExpenses[[#This Row],[Lap]]/tblExpenses[[#Totals],[Lap]]</f>
        <v>1.3513513513513514E-2</v>
      </c>
      <c r="AC5" s="67">
        <f>tblExpenses[[#This Row],[Grd]]/tblExpenses[[#Totals],[Grd]]</f>
        <v>5.1948051948051951E-2</v>
      </c>
      <c r="AD5" s="67">
        <f>tblExpenses[[#This Row],[Kasmet]]/tblExpenses[[#Totals],[Kasmet]]</f>
        <v>5.2684228076025338E-2</v>
      </c>
    </row>
    <row r="6" spans="1:30" ht="32.1" customHeight="1" x14ac:dyDescent="0.3">
      <c r="B6" s="14" t="s">
        <v>42</v>
      </c>
      <c r="C6" s="28" t="s">
        <v>60</v>
      </c>
      <c r="D6" s="23">
        <v>23</v>
      </c>
      <c r="E6" s="23">
        <v>11</v>
      </c>
      <c r="F6" s="23">
        <v>7</v>
      </c>
      <c r="G6" s="23">
        <v>14</v>
      </c>
      <c r="H6" s="23">
        <v>12</v>
      </c>
      <c r="I6" s="23">
        <v>19</v>
      </c>
      <c r="J6" s="23">
        <v>19</v>
      </c>
      <c r="K6" s="23">
        <v>4</v>
      </c>
      <c r="L6" s="23">
        <v>7</v>
      </c>
      <c r="M6" s="23">
        <v>13</v>
      </c>
      <c r="N6" s="23">
        <v>25</v>
      </c>
      <c r="O6" s="23">
        <v>5</v>
      </c>
      <c r="P6" s="29">
        <f>SUM(tblExpenses[[#This Row],[1stulpelis]:[Grd]])</f>
        <v>159</v>
      </c>
      <c r="Q6" s="62">
        <v>0.09</v>
      </c>
      <c r="R6" s="67">
        <f>tblExpenses[[#This Row],[1stulpelis]]/tblExpenses[[#Totals],[1stulpelis]]</f>
        <v>9.7457627118644072E-2</v>
      </c>
      <c r="S6" s="67">
        <f>tblExpenses[[#This Row],[Vas]]/tblExpenses[[#Totals],[Vas]]</f>
        <v>5.3658536585365853E-2</v>
      </c>
      <c r="T6" s="67">
        <f>tblExpenses[[#This Row],[Kov]]/tblExpenses[[#Totals],[Kov]]</f>
        <v>2.8112449799196786E-2</v>
      </c>
      <c r="U6" s="67">
        <f>tblExpenses[[#This Row],[Bal]]/tblExpenses[[#Totals],[Bal]]</f>
        <v>5.3639846743295021E-2</v>
      </c>
      <c r="V6" s="67">
        <f>tblExpenses[[#This Row],[Geg]]/tblExpenses[[#Totals],[Geg]]</f>
        <v>4.6692607003891051E-2</v>
      </c>
      <c r="W6" s="67">
        <f>tblExpenses[[#This Row],[Bir]]/tblExpenses[[#Totals],[Bir]]</f>
        <v>6.9343065693430656E-2</v>
      </c>
      <c r="X6" s="67">
        <f>tblExpenses[[#This Row],[Lie]]/tblExpenses[[#Totals],[Lie]]</f>
        <v>7.1428571428571425E-2</v>
      </c>
      <c r="Y6" s="67">
        <f>tblExpenses[[#This Row],[Rgp]]/tblExpenses[[#Totals],[Rgp]]</f>
        <v>1.7021276595744681E-2</v>
      </c>
      <c r="Z6" s="67">
        <f>tblExpenses[[#This Row],[Rgs]]/tblExpenses[[#Totals],[Rgs]]</f>
        <v>3.0434782608695653E-2</v>
      </c>
      <c r="AA6" s="67">
        <f>tblExpenses[[#This Row],[Spl]]/tblExpenses[[#Totals],[Spl]]</f>
        <v>5.019305019305019E-2</v>
      </c>
      <c r="AB6" s="67">
        <f>tblExpenses[[#This Row],[Lap]]/tblExpenses[[#Totals],[Lap]]</f>
        <v>8.4459459459459457E-2</v>
      </c>
      <c r="AC6" s="67">
        <f>tblExpenses[[#This Row],[Grd]]/tblExpenses[[#Totals],[Grd]]</f>
        <v>2.1645021645021644E-2</v>
      </c>
      <c r="AD6" s="67">
        <f>tblExpenses[[#This Row],[Kasmet]]/tblExpenses[[#Totals],[Kasmet]]</f>
        <v>5.3017672557519172E-2</v>
      </c>
    </row>
    <row r="7" spans="1:30" ht="32.1" customHeight="1" x14ac:dyDescent="0.3">
      <c r="B7" s="14" t="s">
        <v>43</v>
      </c>
      <c r="C7" s="28" t="s">
        <v>60</v>
      </c>
      <c r="D7" s="23">
        <v>23</v>
      </c>
      <c r="E7" s="23">
        <v>20</v>
      </c>
      <c r="F7" s="23">
        <v>3</v>
      </c>
      <c r="G7" s="23">
        <v>16</v>
      </c>
      <c r="H7" s="23">
        <v>10</v>
      </c>
      <c r="I7" s="23">
        <v>5</v>
      </c>
      <c r="J7" s="23">
        <v>20</v>
      </c>
      <c r="K7" s="23">
        <v>7</v>
      </c>
      <c r="L7" s="23">
        <v>4</v>
      </c>
      <c r="M7" s="23">
        <v>22</v>
      </c>
      <c r="N7" s="23">
        <v>13</v>
      </c>
      <c r="O7" s="23">
        <v>14</v>
      </c>
      <c r="P7" s="29">
        <f>SUM(tblExpenses[[#This Row],[1stulpelis]:[Grd]])</f>
        <v>157</v>
      </c>
      <c r="Q7" s="62">
        <v>0.02</v>
      </c>
      <c r="R7" s="67">
        <f>tblExpenses[[#This Row],[1stulpelis]]/tblExpenses[[#Totals],[1stulpelis]]</f>
        <v>9.7457627118644072E-2</v>
      </c>
      <c r="S7" s="67">
        <f>tblExpenses[[#This Row],[Vas]]/tblExpenses[[#Totals],[Vas]]</f>
        <v>9.7560975609756101E-2</v>
      </c>
      <c r="T7" s="67">
        <f>tblExpenses[[#This Row],[Kov]]/tblExpenses[[#Totals],[Kov]]</f>
        <v>1.2048192771084338E-2</v>
      </c>
      <c r="U7" s="67">
        <f>tblExpenses[[#This Row],[Bal]]/tblExpenses[[#Totals],[Bal]]</f>
        <v>6.1302681992337162E-2</v>
      </c>
      <c r="V7" s="67">
        <f>tblExpenses[[#This Row],[Geg]]/tblExpenses[[#Totals],[Geg]]</f>
        <v>3.8910505836575876E-2</v>
      </c>
      <c r="W7" s="67">
        <f>tblExpenses[[#This Row],[Bir]]/tblExpenses[[#Totals],[Bir]]</f>
        <v>1.824817518248175E-2</v>
      </c>
      <c r="X7" s="67">
        <f>tblExpenses[[#This Row],[Lie]]/tblExpenses[[#Totals],[Lie]]</f>
        <v>7.5187969924812026E-2</v>
      </c>
      <c r="Y7" s="67">
        <f>tblExpenses[[#This Row],[Rgp]]/tblExpenses[[#Totals],[Rgp]]</f>
        <v>2.9787234042553193E-2</v>
      </c>
      <c r="Z7" s="67">
        <f>tblExpenses[[#This Row],[Rgs]]/tblExpenses[[#Totals],[Rgs]]</f>
        <v>1.7391304347826087E-2</v>
      </c>
      <c r="AA7" s="67">
        <f>tblExpenses[[#This Row],[Spl]]/tblExpenses[[#Totals],[Spl]]</f>
        <v>8.4942084942084939E-2</v>
      </c>
      <c r="AB7" s="67">
        <f>tblExpenses[[#This Row],[Lap]]/tblExpenses[[#Totals],[Lap]]</f>
        <v>4.3918918918918921E-2</v>
      </c>
      <c r="AC7" s="67">
        <f>tblExpenses[[#This Row],[Grd]]/tblExpenses[[#Totals],[Grd]]</f>
        <v>6.0606060606060608E-2</v>
      </c>
      <c r="AD7" s="67">
        <f>tblExpenses[[#This Row],[Kasmet]]/tblExpenses[[#Totals],[Kasmet]]</f>
        <v>5.2350783594531512E-2</v>
      </c>
    </row>
    <row r="8" spans="1:30" ht="32.1" customHeight="1" x14ac:dyDescent="0.3">
      <c r="B8" s="14" t="s">
        <v>44</v>
      </c>
      <c r="C8" s="28" t="s">
        <v>60</v>
      </c>
      <c r="D8" s="23">
        <v>19</v>
      </c>
      <c r="E8" s="23">
        <v>4</v>
      </c>
      <c r="F8" s="23">
        <v>7</v>
      </c>
      <c r="G8" s="23">
        <v>14</v>
      </c>
      <c r="H8" s="23">
        <v>22</v>
      </c>
      <c r="I8" s="23">
        <v>10</v>
      </c>
      <c r="J8" s="23">
        <v>22</v>
      </c>
      <c r="K8" s="23">
        <v>5</v>
      </c>
      <c r="L8" s="23">
        <v>4</v>
      </c>
      <c r="M8" s="23">
        <v>12</v>
      </c>
      <c r="N8" s="23">
        <v>18</v>
      </c>
      <c r="O8" s="23">
        <v>24</v>
      </c>
      <c r="P8" s="29">
        <f>SUM(tblExpenses[[#This Row],[1stulpelis]:[Grd]])</f>
        <v>161</v>
      </c>
      <c r="Q8" s="62">
        <v>0.08</v>
      </c>
      <c r="R8" s="67">
        <f>tblExpenses[[#This Row],[1stulpelis]]/tblExpenses[[#Totals],[1stulpelis]]</f>
        <v>8.050847457627118E-2</v>
      </c>
      <c r="S8" s="67">
        <f>tblExpenses[[#This Row],[Vas]]/tblExpenses[[#Totals],[Vas]]</f>
        <v>1.9512195121951219E-2</v>
      </c>
      <c r="T8" s="67">
        <f>tblExpenses[[#This Row],[Kov]]/tblExpenses[[#Totals],[Kov]]</f>
        <v>2.8112449799196786E-2</v>
      </c>
      <c r="U8" s="67">
        <f>tblExpenses[[#This Row],[Bal]]/tblExpenses[[#Totals],[Bal]]</f>
        <v>5.3639846743295021E-2</v>
      </c>
      <c r="V8" s="67">
        <f>tblExpenses[[#This Row],[Geg]]/tblExpenses[[#Totals],[Geg]]</f>
        <v>8.5603112840466927E-2</v>
      </c>
      <c r="W8" s="67">
        <f>tblExpenses[[#This Row],[Bir]]/tblExpenses[[#Totals],[Bir]]</f>
        <v>3.6496350364963501E-2</v>
      </c>
      <c r="X8" s="67">
        <f>tblExpenses[[#This Row],[Lie]]/tblExpenses[[#Totals],[Lie]]</f>
        <v>8.2706766917293228E-2</v>
      </c>
      <c r="Y8" s="67">
        <f>tblExpenses[[#This Row],[Rgp]]/tblExpenses[[#Totals],[Rgp]]</f>
        <v>2.1276595744680851E-2</v>
      </c>
      <c r="Z8" s="67">
        <f>tblExpenses[[#This Row],[Rgs]]/tblExpenses[[#Totals],[Rgs]]</f>
        <v>1.7391304347826087E-2</v>
      </c>
      <c r="AA8" s="67">
        <f>tblExpenses[[#This Row],[Spl]]/tblExpenses[[#Totals],[Spl]]</f>
        <v>4.633204633204633E-2</v>
      </c>
      <c r="AB8" s="67">
        <f>tblExpenses[[#This Row],[Lap]]/tblExpenses[[#Totals],[Lap]]</f>
        <v>6.0810810810810814E-2</v>
      </c>
      <c r="AC8" s="67">
        <f>tblExpenses[[#This Row],[Grd]]/tblExpenses[[#Totals],[Grd]]</f>
        <v>0.1038961038961039</v>
      </c>
      <c r="AD8" s="67">
        <f>tblExpenses[[#This Row],[Kasmet]]/tblExpenses[[#Totals],[Kasmet]]</f>
        <v>5.3684561520506838E-2</v>
      </c>
    </row>
    <row r="9" spans="1:30" ht="32.1" customHeight="1" x14ac:dyDescent="0.3">
      <c r="B9" s="14" t="s">
        <v>45</v>
      </c>
      <c r="C9" s="28" t="s">
        <v>60</v>
      </c>
      <c r="D9" s="23">
        <v>11</v>
      </c>
      <c r="E9" s="23">
        <v>11</v>
      </c>
      <c r="F9" s="23">
        <v>17</v>
      </c>
      <c r="G9" s="23">
        <v>12</v>
      </c>
      <c r="H9" s="23">
        <v>2</v>
      </c>
      <c r="I9" s="23">
        <v>14</v>
      </c>
      <c r="J9" s="23">
        <v>12</v>
      </c>
      <c r="K9" s="23">
        <v>10</v>
      </c>
      <c r="L9" s="23">
        <v>18</v>
      </c>
      <c r="M9" s="23">
        <v>11</v>
      </c>
      <c r="N9" s="23">
        <v>23</v>
      </c>
      <c r="O9" s="23">
        <v>11</v>
      </c>
      <c r="P9" s="29">
        <f>SUM(tblExpenses[[#This Row],[1stulpelis]:[Grd]])</f>
        <v>152</v>
      </c>
      <c r="Q9" s="62">
        <v>0.03</v>
      </c>
      <c r="R9" s="67">
        <f>tblExpenses[[#This Row],[1stulpelis]]/tblExpenses[[#Totals],[1stulpelis]]</f>
        <v>4.6610169491525424E-2</v>
      </c>
      <c r="S9" s="67">
        <f>tblExpenses[[#This Row],[Vas]]/tblExpenses[[#Totals],[Vas]]</f>
        <v>5.3658536585365853E-2</v>
      </c>
      <c r="T9" s="67">
        <f>tblExpenses[[#This Row],[Kov]]/tblExpenses[[#Totals],[Kov]]</f>
        <v>6.8273092369477914E-2</v>
      </c>
      <c r="U9" s="67">
        <f>tblExpenses[[#This Row],[Bal]]/tblExpenses[[#Totals],[Bal]]</f>
        <v>4.5977011494252873E-2</v>
      </c>
      <c r="V9" s="67">
        <f>tblExpenses[[#This Row],[Geg]]/tblExpenses[[#Totals],[Geg]]</f>
        <v>7.7821011673151752E-3</v>
      </c>
      <c r="W9" s="67">
        <f>tblExpenses[[#This Row],[Bir]]/tblExpenses[[#Totals],[Bir]]</f>
        <v>5.1094890510948905E-2</v>
      </c>
      <c r="X9" s="67">
        <f>tblExpenses[[#This Row],[Lie]]/tblExpenses[[#Totals],[Lie]]</f>
        <v>4.5112781954887216E-2</v>
      </c>
      <c r="Y9" s="67">
        <f>tblExpenses[[#This Row],[Rgp]]/tblExpenses[[#Totals],[Rgp]]</f>
        <v>4.2553191489361701E-2</v>
      </c>
      <c r="Z9" s="67">
        <f>tblExpenses[[#This Row],[Rgs]]/tblExpenses[[#Totals],[Rgs]]</f>
        <v>7.8260869565217397E-2</v>
      </c>
      <c r="AA9" s="67">
        <f>tblExpenses[[#This Row],[Spl]]/tblExpenses[[#Totals],[Spl]]</f>
        <v>4.2471042471042469E-2</v>
      </c>
      <c r="AB9" s="67">
        <f>tblExpenses[[#This Row],[Lap]]/tblExpenses[[#Totals],[Lap]]</f>
        <v>7.77027027027027E-2</v>
      </c>
      <c r="AC9" s="67">
        <f>tblExpenses[[#This Row],[Grd]]/tblExpenses[[#Totals],[Grd]]</f>
        <v>4.7619047619047616E-2</v>
      </c>
      <c r="AD9" s="67">
        <f>tblExpenses[[#This Row],[Kasmet]]/tblExpenses[[#Totals],[Kasmet]]</f>
        <v>5.0683561187062354E-2</v>
      </c>
    </row>
    <row r="10" spans="1:30" ht="32.1" customHeight="1" x14ac:dyDescent="0.3">
      <c r="B10" s="14" t="s">
        <v>46</v>
      </c>
      <c r="C10" s="28" t="s">
        <v>60</v>
      </c>
      <c r="D10" s="23">
        <v>2</v>
      </c>
      <c r="E10" s="23">
        <v>16</v>
      </c>
      <c r="F10" s="23">
        <v>6</v>
      </c>
      <c r="G10" s="23">
        <v>13</v>
      </c>
      <c r="H10" s="23">
        <v>11</v>
      </c>
      <c r="I10" s="23">
        <v>22</v>
      </c>
      <c r="J10" s="23">
        <v>21</v>
      </c>
      <c r="K10" s="23">
        <v>3</v>
      </c>
      <c r="L10" s="23">
        <v>12</v>
      </c>
      <c r="M10" s="23">
        <v>7</v>
      </c>
      <c r="N10" s="23">
        <v>17</v>
      </c>
      <c r="O10" s="23">
        <v>20</v>
      </c>
      <c r="P10" s="29">
        <f>SUM(tblExpenses[[#This Row],[1stulpelis]:[Grd]])</f>
        <v>150</v>
      </c>
      <c r="Q10" s="62">
        <v>0.15</v>
      </c>
      <c r="R10" s="67">
        <f>tblExpenses[[#This Row],[1stulpelis]]/tblExpenses[[#Totals],[1stulpelis]]</f>
        <v>8.4745762711864406E-3</v>
      </c>
      <c r="S10" s="67">
        <f>tblExpenses[[#This Row],[Vas]]/tblExpenses[[#Totals],[Vas]]</f>
        <v>7.8048780487804878E-2</v>
      </c>
      <c r="T10" s="67">
        <f>tblExpenses[[#This Row],[Kov]]/tblExpenses[[#Totals],[Kov]]</f>
        <v>2.4096385542168676E-2</v>
      </c>
      <c r="U10" s="67">
        <f>tblExpenses[[#This Row],[Bal]]/tblExpenses[[#Totals],[Bal]]</f>
        <v>4.9808429118773943E-2</v>
      </c>
      <c r="V10" s="67">
        <f>tblExpenses[[#This Row],[Geg]]/tblExpenses[[#Totals],[Geg]]</f>
        <v>4.2801556420233464E-2</v>
      </c>
      <c r="W10" s="67">
        <f>tblExpenses[[#This Row],[Bir]]/tblExpenses[[#Totals],[Bir]]</f>
        <v>8.0291970802919707E-2</v>
      </c>
      <c r="X10" s="67">
        <f>tblExpenses[[#This Row],[Lie]]/tblExpenses[[#Totals],[Lie]]</f>
        <v>7.8947368421052627E-2</v>
      </c>
      <c r="Y10" s="67">
        <f>tblExpenses[[#This Row],[Rgp]]/tblExpenses[[#Totals],[Rgp]]</f>
        <v>1.276595744680851E-2</v>
      </c>
      <c r="Z10" s="67">
        <f>tblExpenses[[#This Row],[Rgs]]/tblExpenses[[#Totals],[Rgs]]</f>
        <v>5.2173913043478258E-2</v>
      </c>
      <c r="AA10" s="67">
        <f>tblExpenses[[#This Row],[Spl]]/tblExpenses[[#Totals],[Spl]]</f>
        <v>2.7027027027027029E-2</v>
      </c>
      <c r="AB10" s="67">
        <f>tblExpenses[[#This Row],[Lap]]/tblExpenses[[#Totals],[Lap]]</f>
        <v>5.7432432432432436E-2</v>
      </c>
      <c r="AC10" s="67">
        <f>tblExpenses[[#This Row],[Grd]]/tblExpenses[[#Totals],[Grd]]</f>
        <v>8.6580086580086577E-2</v>
      </c>
      <c r="AD10" s="67">
        <f>tblExpenses[[#This Row],[Kasmet]]/tblExpenses[[#Totals],[Kasmet]]</f>
        <v>5.0016672224074694E-2</v>
      </c>
    </row>
    <row r="11" spans="1:30" ht="32.1" customHeight="1" x14ac:dyDescent="0.3">
      <c r="B11" s="14" t="s">
        <v>47</v>
      </c>
      <c r="C11" s="28" t="s">
        <v>60</v>
      </c>
      <c r="D11" s="23">
        <v>8</v>
      </c>
      <c r="E11" s="23">
        <v>17</v>
      </c>
      <c r="F11" s="23">
        <v>11</v>
      </c>
      <c r="G11" s="23">
        <v>11</v>
      </c>
      <c r="H11" s="23">
        <v>21</v>
      </c>
      <c r="I11" s="23">
        <v>9</v>
      </c>
      <c r="J11" s="23">
        <v>20</v>
      </c>
      <c r="K11" s="23">
        <v>3</v>
      </c>
      <c r="L11" s="23">
        <v>14</v>
      </c>
      <c r="M11" s="23">
        <v>22</v>
      </c>
      <c r="N11" s="23">
        <v>16</v>
      </c>
      <c r="O11" s="23">
        <v>12</v>
      </c>
      <c r="P11" s="29">
        <f>SUM(tblExpenses[[#This Row],[1stulpelis]:[Grd]])</f>
        <v>164</v>
      </c>
      <c r="Q11" s="62">
        <v>0.12</v>
      </c>
      <c r="R11" s="67">
        <f>tblExpenses[[#This Row],[1stulpelis]]/tblExpenses[[#Totals],[1stulpelis]]</f>
        <v>3.3898305084745763E-2</v>
      </c>
      <c r="S11" s="67">
        <f>tblExpenses[[#This Row],[Vas]]/tblExpenses[[#Totals],[Vas]]</f>
        <v>8.2926829268292687E-2</v>
      </c>
      <c r="T11" s="67">
        <f>tblExpenses[[#This Row],[Kov]]/tblExpenses[[#Totals],[Kov]]</f>
        <v>4.4176706827309238E-2</v>
      </c>
      <c r="U11" s="67">
        <f>tblExpenses[[#This Row],[Bal]]/tblExpenses[[#Totals],[Bal]]</f>
        <v>4.2145593869731802E-2</v>
      </c>
      <c r="V11" s="67">
        <f>tblExpenses[[#This Row],[Geg]]/tblExpenses[[#Totals],[Geg]]</f>
        <v>8.171206225680934E-2</v>
      </c>
      <c r="W11" s="67">
        <f>tblExpenses[[#This Row],[Bir]]/tblExpenses[[#Totals],[Bir]]</f>
        <v>3.2846715328467155E-2</v>
      </c>
      <c r="X11" s="67">
        <f>tblExpenses[[#This Row],[Lie]]/tblExpenses[[#Totals],[Lie]]</f>
        <v>7.5187969924812026E-2</v>
      </c>
      <c r="Y11" s="67">
        <f>tblExpenses[[#This Row],[Rgp]]/tblExpenses[[#Totals],[Rgp]]</f>
        <v>1.276595744680851E-2</v>
      </c>
      <c r="Z11" s="67">
        <f>tblExpenses[[#This Row],[Rgs]]/tblExpenses[[#Totals],[Rgs]]</f>
        <v>6.0869565217391307E-2</v>
      </c>
      <c r="AA11" s="67">
        <f>tblExpenses[[#This Row],[Spl]]/tblExpenses[[#Totals],[Spl]]</f>
        <v>8.4942084942084939E-2</v>
      </c>
      <c r="AB11" s="67">
        <f>tblExpenses[[#This Row],[Lap]]/tblExpenses[[#Totals],[Lap]]</f>
        <v>5.4054054054054057E-2</v>
      </c>
      <c r="AC11" s="67">
        <f>tblExpenses[[#This Row],[Grd]]/tblExpenses[[#Totals],[Grd]]</f>
        <v>5.1948051948051951E-2</v>
      </c>
      <c r="AD11" s="67">
        <f>tblExpenses[[#This Row],[Kasmet]]/tblExpenses[[#Totals],[Kasmet]]</f>
        <v>5.468489496498833E-2</v>
      </c>
    </row>
    <row r="12" spans="1:30" ht="32.1" customHeight="1" x14ac:dyDescent="0.3">
      <c r="B12" s="14" t="s">
        <v>48</v>
      </c>
      <c r="C12" s="28" t="s">
        <v>60</v>
      </c>
      <c r="D12" s="23">
        <v>5</v>
      </c>
      <c r="E12" s="23">
        <v>13</v>
      </c>
      <c r="F12" s="23">
        <v>6</v>
      </c>
      <c r="G12" s="23">
        <v>15</v>
      </c>
      <c r="H12" s="23">
        <v>19</v>
      </c>
      <c r="I12" s="23">
        <v>10</v>
      </c>
      <c r="J12" s="23">
        <v>12</v>
      </c>
      <c r="K12" s="23">
        <v>9</v>
      </c>
      <c r="L12" s="23">
        <v>15</v>
      </c>
      <c r="M12" s="23">
        <v>16</v>
      </c>
      <c r="N12" s="23">
        <v>4</v>
      </c>
      <c r="O12" s="23">
        <v>9</v>
      </c>
      <c r="P12" s="29">
        <f>SUM(tblExpenses[[#This Row],[1stulpelis]:[Grd]])</f>
        <v>133</v>
      </c>
      <c r="Q12" s="62">
        <v>0.09</v>
      </c>
      <c r="R12" s="67">
        <f>tblExpenses[[#This Row],[1stulpelis]]/tblExpenses[[#Totals],[1stulpelis]]</f>
        <v>2.1186440677966101E-2</v>
      </c>
      <c r="S12" s="67">
        <f>tblExpenses[[#This Row],[Vas]]/tblExpenses[[#Totals],[Vas]]</f>
        <v>6.3414634146341464E-2</v>
      </c>
      <c r="T12" s="67">
        <f>tblExpenses[[#This Row],[Kov]]/tblExpenses[[#Totals],[Kov]]</f>
        <v>2.4096385542168676E-2</v>
      </c>
      <c r="U12" s="67">
        <f>tblExpenses[[#This Row],[Bal]]/tblExpenses[[#Totals],[Bal]]</f>
        <v>5.7471264367816091E-2</v>
      </c>
      <c r="V12" s="67">
        <f>tblExpenses[[#This Row],[Geg]]/tblExpenses[[#Totals],[Geg]]</f>
        <v>7.3929961089494164E-2</v>
      </c>
      <c r="W12" s="67">
        <f>tblExpenses[[#This Row],[Bir]]/tblExpenses[[#Totals],[Bir]]</f>
        <v>3.6496350364963501E-2</v>
      </c>
      <c r="X12" s="67">
        <f>tblExpenses[[#This Row],[Lie]]/tblExpenses[[#Totals],[Lie]]</f>
        <v>4.5112781954887216E-2</v>
      </c>
      <c r="Y12" s="67">
        <f>tblExpenses[[#This Row],[Rgp]]/tblExpenses[[#Totals],[Rgp]]</f>
        <v>3.8297872340425532E-2</v>
      </c>
      <c r="Z12" s="67">
        <f>tblExpenses[[#This Row],[Rgs]]/tblExpenses[[#Totals],[Rgs]]</f>
        <v>6.5217391304347824E-2</v>
      </c>
      <c r="AA12" s="67">
        <f>tblExpenses[[#This Row],[Spl]]/tblExpenses[[#Totals],[Spl]]</f>
        <v>6.1776061776061778E-2</v>
      </c>
      <c r="AB12" s="67">
        <f>tblExpenses[[#This Row],[Lap]]/tblExpenses[[#Totals],[Lap]]</f>
        <v>1.3513513513513514E-2</v>
      </c>
      <c r="AC12" s="67">
        <f>tblExpenses[[#This Row],[Grd]]/tblExpenses[[#Totals],[Grd]]</f>
        <v>3.896103896103896E-2</v>
      </c>
      <c r="AD12" s="67">
        <f>tblExpenses[[#This Row],[Kasmet]]/tblExpenses[[#Totals],[Kasmet]]</f>
        <v>4.4348116038679559E-2</v>
      </c>
    </row>
    <row r="13" spans="1:30" ht="32.1" customHeight="1" x14ac:dyDescent="0.3">
      <c r="B13" s="14" t="s">
        <v>49</v>
      </c>
      <c r="C13" s="28" t="s">
        <v>60</v>
      </c>
      <c r="D13" s="23">
        <v>8</v>
      </c>
      <c r="E13" s="23">
        <v>4</v>
      </c>
      <c r="F13" s="23">
        <v>23</v>
      </c>
      <c r="G13" s="23">
        <v>25</v>
      </c>
      <c r="H13" s="23">
        <v>10</v>
      </c>
      <c r="I13" s="23">
        <v>24</v>
      </c>
      <c r="J13" s="23">
        <v>22</v>
      </c>
      <c r="K13" s="23">
        <v>5</v>
      </c>
      <c r="L13" s="23">
        <v>12</v>
      </c>
      <c r="M13" s="23">
        <v>24</v>
      </c>
      <c r="N13" s="23">
        <v>24</v>
      </c>
      <c r="O13" s="23">
        <v>12</v>
      </c>
      <c r="P13" s="29">
        <f>SUM(tblExpenses[[#This Row],[1stulpelis]:[Grd]])</f>
        <v>193</v>
      </c>
      <c r="Q13" s="62">
        <v>0.01</v>
      </c>
      <c r="R13" s="67">
        <f>tblExpenses[[#This Row],[1stulpelis]]/tblExpenses[[#Totals],[1stulpelis]]</f>
        <v>3.3898305084745763E-2</v>
      </c>
      <c r="S13" s="67">
        <f>tblExpenses[[#This Row],[Vas]]/tblExpenses[[#Totals],[Vas]]</f>
        <v>1.9512195121951219E-2</v>
      </c>
      <c r="T13" s="67">
        <f>tblExpenses[[#This Row],[Kov]]/tblExpenses[[#Totals],[Kov]]</f>
        <v>9.2369477911646583E-2</v>
      </c>
      <c r="U13" s="67">
        <f>tblExpenses[[#This Row],[Bal]]/tblExpenses[[#Totals],[Bal]]</f>
        <v>9.5785440613026823E-2</v>
      </c>
      <c r="V13" s="67">
        <f>tblExpenses[[#This Row],[Geg]]/tblExpenses[[#Totals],[Geg]]</f>
        <v>3.8910505836575876E-2</v>
      </c>
      <c r="W13" s="67">
        <f>tblExpenses[[#This Row],[Bir]]/tblExpenses[[#Totals],[Bir]]</f>
        <v>8.7591240875912413E-2</v>
      </c>
      <c r="X13" s="67">
        <f>tblExpenses[[#This Row],[Lie]]/tblExpenses[[#Totals],[Lie]]</f>
        <v>8.2706766917293228E-2</v>
      </c>
      <c r="Y13" s="67">
        <f>tblExpenses[[#This Row],[Rgp]]/tblExpenses[[#Totals],[Rgp]]</f>
        <v>2.1276595744680851E-2</v>
      </c>
      <c r="Z13" s="67">
        <f>tblExpenses[[#This Row],[Rgs]]/tblExpenses[[#Totals],[Rgs]]</f>
        <v>5.2173913043478258E-2</v>
      </c>
      <c r="AA13" s="67">
        <f>tblExpenses[[#This Row],[Spl]]/tblExpenses[[#Totals],[Spl]]</f>
        <v>9.2664092664092659E-2</v>
      </c>
      <c r="AB13" s="67">
        <f>tblExpenses[[#This Row],[Lap]]/tblExpenses[[#Totals],[Lap]]</f>
        <v>8.1081081081081086E-2</v>
      </c>
      <c r="AC13" s="67">
        <f>tblExpenses[[#This Row],[Grd]]/tblExpenses[[#Totals],[Grd]]</f>
        <v>5.1948051948051951E-2</v>
      </c>
      <c r="AD13" s="67">
        <f>tblExpenses[[#This Row],[Kasmet]]/tblExpenses[[#Totals],[Kasmet]]</f>
        <v>6.4354784928309441E-2</v>
      </c>
    </row>
    <row r="14" spans="1:30" ht="32.1" customHeight="1" x14ac:dyDescent="0.3">
      <c r="B14" s="14" t="s">
        <v>50</v>
      </c>
      <c r="C14" s="28" t="s">
        <v>60</v>
      </c>
      <c r="D14" s="23">
        <v>25</v>
      </c>
      <c r="E14" s="23">
        <v>2</v>
      </c>
      <c r="F14" s="23">
        <v>12</v>
      </c>
      <c r="G14" s="23">
        <v>25</v>
      </c>
      <c r="H14" s="23">
        <v>10</v>
      </c>
      <c r="I14" s="23">
        <v>24</v>
      </c>
      <c r="J14" s="23">
        <v>3</v>
      </c>
      <c r="K14" s="23">
        <v>20</v>
      </c>
      <c r="L14" s="23">
        <v>3</v>
      </c>
      <c r="M14" s="23">
        <v>9</v>
      </c>
      <c r="N14" s="23">
        <v>20</v>
      </c>
      <c r="O14" s="23">
        <v>18</v>
      </c>
      <c r="P14" s="29">
        <f>SUM(tblExpenses[[#This Row],[1stulpelis]:[Grd]])</f>
        <v>171</v>
      </c>
      <c r="Q14" s="62">
        <v>0.01</v>
      </c>
      <c r="R14" s="67">
        <f>tblExpenses[[#This Row],[1stulpelis]]/tblExpenses[[#Totals],[1stulpelis]]</f>
        <v>0.1059322033898305</v>
      </c>
      <c r="S14" s="67">
        <f>tblExpenses[[#This Row],[Vas]]/tblExpenses[[#Totals],[Vas]]</f>
        <v>9.7560975609756097E-3</v>
      </c>
      <c r="T14" s="67">
        <f>tblExpenses[[#This Row],[Kov]]/tblExpenses[[#Totals],[Kov]]</f>
        <v>4.8192771084337352E-2</v>
      </c>
      <c r="U14" s="67">
        <f>tblExpenses[[#This Row],[Bal]]/tblExpenses[[#Totals],[Bal]]</f>
        <v>9.5785440613026823E-2</v>
      </c>
      <c r="V14" s="67">
        <f>tblExpenses[[#This Row],[Geg]]/tblExpenses[[#Totals],[Geg]]</f>
        <v>3.8910505836575876E-2</v>
      </c>
      <c r="W14" s="67">
        <f>tblExpenses[[#This Row],[Bir]]/tblExpenses[[#Totals],[Bir]]</f>
        <v>8.7591240875912413E-2</v>
      </c>
      <c r="X14" s="67">
        <f>tblExpenses[[#This Row],[Lie]]/tblExpenses[[#Totals],[Lie]]</f>
        <v>1.1278195488721804E-2</v>
      </c>
      <c r="Y14" s="67">
        <f>tblExpenses[[#This Row],[Rgp]]/tblExpenses[[#Totals],[Rgp]]</f>
        <v>8.5106382978723402E-2</v>
      </c>
      <c r="Z14" s="67">
        <f>tblExpenses[[#This Row],[Rgs]]/tblExpenses[[#Totals],[Rgs]]</f>
        <v>1.3043478260869565E-2</v>
      </c>
      <c r="AA14" s="67">
        <f>tblExpenses[[#This Row],[Spl]]/tblExpenses[[#Totals],[Spl]]</f>
        <v>3.4749034749034749E-2</v>
      </c>
      <c r="AB14" s="67">
        <f>tblExpenses[[#This Row],[Lap]]/tblExpenses[[#Totals],[Lap]]</f>
        <v>6.7567567567567571E-2</v>
      </c>
      <c r="AC14" s="67">
        <f>tblExpenses[[#This Row],[Grd]]/tblExpenses[[#Totals],[Grd]]</f>
        <v>7.792207792207792E-2</v>
      </c>
      <c r="AD14" s="67">
        <f>tblExpenses[[#This Row],[Kasmet]]/tblExpenses[[#Totals],[Kasmet]]</f>
        <v>5.7019006335445148E-2</v>
      </c>
    </row>
    <row r="15" spans="1:30" ht="32.1" customHeight="1" x14ac:dyDescent="0.3">
      <c r="B15" s="14" t="s">
        <v>51</v>
      </c>
      <c r="C15" s="28" t="s">
        <v>60</v>
      </c>
      <c r="D15" s="23">
        <v>16</v>
      </c>
      <c r="E15" s="23">
        <v>19</v>
      </c>
      <c r="F15" s="23">
        <v>9</v>
      </c>
      <c r="G15" s="23">
        <v>16</v>
      </c>
      <c r="H15" s="23">
        <v>13</v>
      </c>
      <c r="I15" s="23">
        <v>2</v>
      </c>
      <c r="J15" s="23">
        <v>4</v>
      </c>
      <c r="K15" s="23">
        <v>24</v>
      </c>
      <c r="L15" s="23">
        <v>16</v>
      </c>
      <c r="M15" s="23">
        <v>22</v>
      </c>
      <c r="N15" s="23">
        <v>7</v>
      </c>
      <c r="O15" s="23">
        <v>18</v>
      </c>
      <c r="P15" s="29">
        <f>SUM(tblExpenses[[#This Row],[1stulpelis]:[Grd]])</f>
        <v>166</v>
      </c>
      <c r="Q15" s="62">
        <v>0.01</v>
      </c>
      <c r="R15" s="67">
        <f>tblExpenses[[#This Row],[1stulpelis]]/tblExpenses[[#Totals],[1stulpelis]]</f>
        <v>6.7796610169491525E-2</v>
      </c>
      <c r="S15" s="67">
        <f>tblExpenses[[#This Row],[Vas]]/tblExpenses[[#Totals],[Vas]]</f>
        <v>9.2682926829268292E-2</v>
      </c>
      <c r="T15" s="67">
        <f>tblExpenses[[#This Row],[Kov]]/tblExpenses[[#Totals],[Kov]]</f>
        <v>3.614457831325301E-2</v>
      </c>
      <c r="U15" s="67">
        <f>tblExpenses[[#This Row],[Bal]]/tblExpenses[[#Totals],[Bal]]</f>
        <v>6.1302681992337162E-2</v>
      </c>
      <c r="V15" s="67">
        <f>tblExpenses[[#This Row],[Geg]]/tblExpenses[[#Totals],[Geg]]</f>
        <v>5.0583657587548639E-2</v>
      </c>
      <c r="W15" s="67">
        <f>tblExpenses[[#This Row],[Bir]]/tblExpenses[[#Totals],[Bir]]</f>
        <v>7.2992700729927005E-3</v>
      </c>
      <c r="X15" s="67">
        <f>tblExpenses[[#This Row],[Lie]]/tblExpenses[[#Totals],[Lie]]</f>
        <v>1.5037593984962405E-2</v>
      </c>
      <c r="Y15" s="67">
        <f>tblExpenses[[#This Row],[Rgp]]/tblExpenses[[#Totals],[Rgp]]</f>
        <v>0.10212765957446808</v>
      </c>
      <c r="Z15" s="67">
        <f>tblExpenses[[#This Row],[Rgs]]/tblExpenses[[#Totals],[Rgs]]</f>
        <v>6.9565217391304349E-2</v>
      </c>
      <c r="AA15" s="67">
        <f>tblExpenses[[#This Row],[Spl]]/tblExpenses[[#Totals],[Spl]]</f>
        <v>8.4942084942084939E-2</v>
      </c>
      <c r="AB15" s="67">
        <f>tblExpenses[[#This Row],[Lap]]/tblExpenses[[#Totals],[Lap]]</f>
        <v>2.364864864864865E-2</v>
      </c>
      <c r="AC15" s="67">
        <f>tblExpenses[[#This Row],[Grd]]/tblExpenses[[#Totals],[Grd]]</f>
        <v>7.792207792207792E-2</v>
      </c>
      <c r="AD15" s="67">
        <f>tblExpenses[[#This Row],[Kasmet]]/tblExpenses[[#Totals],[Kasmet]]</f>
        <v>5.5351783927975989E-2</v>
      </c>
    </row>
    <row r="16" spans="1:30" ht="32.1" customHeight="1" x14ac:dyDescent="0.3">
      <c r="B16" s="14" t="s">
        <v>52</v>
      </c>
      <c r="C16" s="28" t="s">
        <v>60</v>
      </c>
      <c r="D16" s="23">
        <v>12</v>
      </c>
      <c r="E16" s="23">
        <v>9</v>
      </c>
      <c r="F16" s="23">
        <v>16</v>
      </c>
      <c r="G16" s="23">
        <v>19</v>
      </c>
      <c r="H16" s="23">
        <v>25</v>
      </c>
      <c r="I16" s="23">
        <v>17</v>
      </c>
      <c r="J16" s="23">
        <v>20</v>
      </c>
      <c r="K16" s="23">
        <v>14</v>
      </c>
      <c r="L16" s="23">
        <v>5</v>
      </c>
      <c r="M16" s="23">
        <v>14</v>
      </c>
      <c r="N16" s="23">
        <v>5</v>
      </c>
      <c r="O16" s="23">
        <v>2</v>
      </c>
      <c r="P16" s="29">
        <f>SUM(tblExpenses[[#This Row],[1stulpelis]:[Grd]])</f>
        <v>158</v>
      </c>
      <c r="Q16" s="62">
        <v>0.01</v>
      </c>
      <c r="R16" s="67">
        <f>tblExpenses[[#This Row],[1stulpelis]]/tblExpenses[[#Totals],[1stulpelis]]</f>
        <v>5.0847457627118647E-2</v>
      </c>
      <c r="S16" s="67">
        <f>tblExpenses[[#This Row],[Vas]]/tblExpenses[[#Totals],[Vas]]</f>
        <v>4.3902439024390241E-2</v>
      </c>
      <c r="T16" s="67">
        <f>tblExpenses[[#This Row],[Kov]]/tblExpenses[[#Totals],[Kov]]</f>
        <v>6.4257028112449793E-2</v>
      </c>
      <c r="U16" s="67">
        <f>tblExpenses[[#This Row],[Bal]]/tblExpenses[[#Totals],[Bal]]</f>
        <v>7.2796934865900387E-2</v>
      </c>
      <c r="V16" s="67">
        <f>tblExpenses[[#This Row],[Geg]]/tblExpenses[[#Totals],[Geg]]</f>
        <v>9.727626459143969E-2</v>
      </c>
      <c r="W16" s="67">
        <f>tblExpenses[[#This Row],[Bir]]/tblExpenses[[#Totals],[Bir]]</f>
        <v>6.2043795620437957E-2</v>
      </c>
      <c r="X16" s="67">
        <f>tblExpenses[[#This Row],[Lie]]/tblExpenses[[#Totals],[Lie]]</f>
        <v>7.5187969924812026E-2</v>
      </c>
      <c r="Y16" s="67">
        <f>tblExpenses[[#This Row],[Rgp]]/tblExpenses[[#Totals],[Rgp]]</f>
        <v>5.9574468085106386E-2</v>
      </c>
      <c r="Z16" s="67">
        <f>tblExpenses[[#This Row],[Rgs]]/tblExpenses[[#Totals],[Rgs]]</f>
        <v>2.1739130434782608E-2</v>
      </c>
      <c r="AA16" s="67">
        <f>tblExpenses[[#This Row],[Spl]]/tblExpenses[[#Totals],[Spl]]</f>
        <v>5.4054054054054057E-2</v>
      </c>
      <c r="AB16" s="67">
        <f>tblExpenses[[#This Row],[Lap]]/tblExpenses[[#Totals],[Lap]]</f>
        <v>1.6891891891891893E-2</v>
      </c>
      <c r="AC16" s="67">
        <f>tblExpenses[[#This Row],[Grd]]/tblExpenses[[#Totals],[Grd]]</f>
        <v>8.658008658008658E-3</v>
      </c>
      <c r="AD16" s="67">
        <f>tblExpenses[[#This Row],[Kasmet]]/tblExpenses[[#Totals],[Kasmet]]</f>
        <v>5.2684228076025338E-2</v>
      </c>
    </row>
    <row r="17" spans="1:30" ht="32.1" customHeight="1" x14ac:dyDescent="0.3">
      <c r="B17" s="14" t="s">
        <v>53</v>
      </c>
      <c r="C17" s="28" t="s">
        <v>60</v>
      </c>
      <c r="D17" s="23">
        <v>16</v>
      </c>
      <c r="E17" s="23">
        <v>13</v>
      </c>
      <c r="F17" s="23">
        <v>10</v>
      </c>
      <c r="G17" s="23">
        <v>7</v>
      </c>
      <c r="H17" s="23">
        <v>13</v>
      </c>
      <c r="I17" s="23">
        <v>3</v>
      </c>
      <c r="J17" s="23">
        <v>13</v>
      </c>
      <c r="K17" s="23">
        <v>17</v>
      </c>
      <c r="L17" s="23">
        <v>9</v>
      </c>
      <c r="M17" s="23">
        <v>4</v>
      </c>
      <c r="N17" s="23">
        <v>22</v>
      </c>
      <c r="O17" s="23">
        <v>18</v>
      </c>
      <c r="P17" s="29">
        <f>SUM(tblExpenses[[#This Row],[1stulpelis]:[Grd]])</f>
        <v>145</v>
      </c>
      <c r="Q17" s="62">
        <v>0.14000000000000001</v>
      </c>
      <c r="R17" s="67">
        <f>tblExpenses[[#This Row],[1stulpelis]]/tblExpenses[[#Totals],[1stulpelis]]</f>
        <v>6.7796610169491525E-2</v>
      </c>
      <c r="S17" s="67">
        <f>tblExpenses[[#This Row],[Vas]]/tblExpenses[[#Totals],[Vas]]</f>
        <v>6.3414634146341464E-2</v>
      </c>
      <c r="T17" s="67">
        <f>tblExpenses[[#This Row],[Kov]]/tblExpenses[[#Totals],[Kov]]</f>
        <v>4.0160642570281124E-2</v>
      </c>
      <c r="U17" s="67">
        <f>tblExpenses[[#This Row],[Bal]]/tblExpenses[[#Totals],[Bal]]</f>
        <v>2.681992337164751E-2</v>
      </c>
      <c r="V17" s="67">
        <f>tblExpenses[[#This Row],[Geg]]/tblExpenses[[#Totals],[Geg]]</f>
        <v>5.0583657587548639E-2</v>
      </c>
      <c r="W17" s="67">
        <f>tblExpenses[[#This Row],[Bir]]/tblExpenses[[#Totals],[Bir]]</f>
        <v>1.0948905109489052E-2</v>
      </c>
      <c r="X17" s="67">
        <f>tblExpenses[[#This Row],[Lie]]/tblExpenses[[#Totals],[Lie]]</f>
        <v>4.8872180451127817E-2</v>
      </c>
      <c r="Y17" s="67">
        <f>tblExpenses[[#This Row],[Rgp]]/tblExpenses[[#Totals],[Rgp]]</f>
        <v>7.2340425531914887E-2</v>
      </c>
      <c r="Z17" s="67">
        <f>tblExpenses[[#This Row],[Rgs]]/tblExpenses[[#Totals],[Rgs]]</f>
        <v>3.9130434782608699E-2</v>
      </c>
      <c r="AA17" s="67">
        <f>tblExpenses[[#This Row],[Spl]]/tblExpenses[[#Totals],[Spl]]</f>
        <v>1.5444015444015444E-2</v>
      </c>
      <c r="AB17" s="67">
        <f>tblExpenses[[#This Row],[Lap]]/tblExpenses[[#Totals],[Lap]]</f>
        <v>7.4324324324324328E-2</v>
      </c>
      <c r="AC17" s="67">
        <f>tblExpenses[[#This Row],[Grd]]/tblExpenses[[#Totals],[Grd]]</f>
        <v>7.792207792207792E-2</v>
      </c>
      <c r="AD17" s="67">
        <f>tblExpenses[[#This Row],[Kasmet]]/tblExpenses[[#Totals],[Kasmet]]</f>
        <v>4.8349449816605536E-2</v>
      </c>
    </row>
    <row r="18" spans="1:30" ht="32.1" customHeight="1" x14ac:dyDescent="0.3">
      <c r="B18" s="14" t="s">
        <v>54</v>
      </c>
      <c r="C18" s="28" t="s">
        <v>60</v>
      </c>
      <c r="D18" s="23">
        <v>3</v>
      </c>
      <c r="E18" s="23">
        <v>2</v>
      </c>
      <c r="F18" s="23">
        <v>19</v>
      </c>
      <c r="G18" s="23">
        <v>21</v>
      </c>
      <c r="H18" s="23">
        <v>13</v>
      </c>
      <c r="I18" s="23">
        <v>9</v>
      </c>
      <c r="J18" s="23">
        <v>7</v>
      </c>
      <c r="K18" s="23">
        <v>13</v>
      </c>
      <c r="L18" s="23">
        <v>3</v>
      </c>
      <c r="M18" s="23">
        <v>6</v>
      </c>
      <c r="N18" s="23">
        <v>10</v>
      </c>
      <c r="O18" s="23">
        <v>13</v>
      </c>
      <c r="P18" s="29">
        <f>SUM(tblExpenses[[#This Row],[1stulpelis]:[Grd]])</f>
        <v>119</v>
      </c>
      <c r="Q18" s="62">
        <v>0.06</v>
      </c>
      <c r="R18" s="67">
        <f>tblExpenses[[#This Row],[1stulpelis]]/tblExpenses[[#Totals],[1stulpelis]]</f>
        <v>1.2711864406779662E-2</v>
      </c>
      <c r="S18" s="67">
        <f>tblExpenses[[#This Row],[Vas]]/tblExpenses[[#Totals],[Vas]]</f>
        <v>9.7560975609756097E-3</v>
      </c>
      <c r="T18" s="67">
        <f>tblExpenses[[#This Row],[Kov]]/tblExpenses[[#Totals],[Kov]]</f>
        <v>7.6305220883534142E-2</v>
      </c>
      <c r="U18" s="67">
        <f>tblExpenses[[#This Row],[Bal]]/tblExpenses[[#Totals],[Bal]]</f>
        <v>8.0459770114942528E-2</v>
      </c>
      <c r="V18" s="67">
        <f>tblExpenses[[#This Row],[Geg]]/tblExpenses[[#Totals],[Geg]]</f>
        <v>5.0583657587548639E-2</v>
      </c>
      <c r="W18" s="67">
        <f>tblExpenses[[#This Row],[Bir]]/tblExpenses[[#Totals],[Bir]]</f>
        <v>3.2846715328467155E-2</v>
      </c>
      <c r="X18" s="67">
        <f>tblExpenses[[#This Row],[Lie]]/tblExpenses[[#Totals],[Lie]]</f>
        <v>2.6315789473684209E-2</v>
      </c>
      <c r="Y18" s="67">
        <f>tblExpenses[[#This Row],[Rgp]]/tblExpenses[[#Totals],[Rgp]]</f>
        <v>5.5319148936170209E-2</v>
      </c>
      <c r="Z18" s="67">
        <f>tblExpenses[[#This Row],[Rgs]]/tblExpenses[[#Totals],[Rgs]]</f>
        <v>1.3043478260869565E-2</v>
      </c>
      <c r="AA18" s="67">
        <f>tblExpenses[[#This Row],[Spl]]/tblExpenses[[#Totals],[Spl]]</f>
        <v>2.3166023166023165E-2</v>
      </c>
      <c r="AB18" s="67">
        <f>tblExpenses[[#This Row],[Lap]]/tblExpenses[[#Totals],[Lap]]</f>
        <v>3.3783783783783786E-2</v>
      </c>
      <c r="AC18" s="67">
        <f>tblExpenses[[#This Row],[Grd]]/tblExpenses[[#Totals],[Grd]]</f>
        <v>5.627705627705628E-2</v>
      </c>
      <c r="AD18" s="67">
        <f>tblExpenses[[#This Row],[Kasmet]]/tblExpenses[[#Totals],[Kasmet]]</f>
        <v>3.9679893297765924E-2</v>
      </c>
    </row>
    <row r="19" spans="1:30" ht="32.1" customHeight="1" x14ac:dyDescent="0.3">
      <c r="B19" s="14" t="s">
        <v>55</v>
      </c>
      <c r="C19" s="28" t="s">
        <v>60</v>
      </c>
      <c r="D19" s="23">
        <v>8</v>
      </c>
      <c r="E19" s="23">
        <v>7</v>
      </c>
      <c r="F19" s="23">
        <v>6</v>
      </c>
      <c r="G19" s="23">
        <v>7</v>
      </c>
      <c r="H19" s="23">
        <v>7</v>
      </c>
      <c r="I19" s="23">
        <v>6</v>
      </c>
      <c r="J19" s="23">
        <v>15</v>
      </c>
      <c r="K19" s="23">
        <v>23</v>
      </c>
      <c r="L19" s="23">
        <v>21</v>
      </c>
      <c r="M19" s="23">
        <v>16</v>
      </c>
      <c r="N19" s="23">
        <v>19</v>
      </c>
      <c r="O19" s="23">
        <v>7</v>
      </c>
      <c r="P19" s="29">
        <f>SUM(tblExpenses[[#This Row],[1stulpelis]:[Grd]])</f>
        <v>142</v>
      </c>
      <c r="Q19" s="62">
        <v>0.01</v>
      </c>
      <c r="R19" s="67">
        <f>tblExpenses[[#This Row],[1stulpelis]]/tblExpenses[[#Totals],[1stulpelis]]</f>
        <v>3.3898305084745763E-2</v>
      </c>
      <c r="S19" s="67">
        <f>tblExpenses[[#This Row],[Vas]]/tblExpenses[[#Totals],[Vas]]</f>
        <v>3.4146341463414637E-2</v>
      </c>
      <c r="T19" s="67">
        <f>tblExpenses[[#This Row],[Kov]]/tblExpenses[[#Totals],[Kov]]</f>
        <v>2.4096385542168676E-2</v>
      </c>
      <c r="U19" s="67">
        <f>tblExpenses[[#This Row],[Bal]]/tblExpenses[[#Totals],[Bal]]</f>
        <v>2.681992337164751E-2</v>
      </c>
      <c r="V19" s="67">
        <f>tblExpenses[[#This Row],[Geg]]/tblExpenses[[#Totals],[Geg]]</f>
        <v>2.7237354085603113E-2</v>
      </c>
      <c r="W19" s="67">
        <f>tblExpenses[[#This Row],[Bir]]/tblExpenses[[#Totals],[Bir]]</f>
        <v>2.1897810218978103E-2</v>
      </c>
      <c r="X19" s="67">
        <f>tblExpenses[[#This Row],[Lie]]/tblExpenses[[#Totals],[Lie]]</f>
        <v>5.6390977443609019E-2</v>
      </c>
      <c r="Y19" s="67">
        <f>tblExpenses[[#This Row],[Rgp]]/tblExpenses[[#Totals],[Rgp]]</f>
        <v>9.7872340425531917E-2</v>
      </c>
      <c r="Z19" s="67">
        <f>tblExpenses[[#This Row],[Rgs]]/tblExpenses[[#Totals],[Rgs]]</f>
        <v>9.1304347826086957E-2</v>
      </c>
      <c r="AA19" s="67">
        <f>tblExpenses[[#This Row],[Spl]]/tblExpenses[[#Totals],[Spl]]</f>
        <v>6.1776061776061778E-2</v>
      </c>
      <c r="AB19" s="67">
        <f>tblExpenses[[#This Row],[Lap]]/tblExpenses[[#Totals],[Lap]]</f>
        <v>6.4189189189189186E-2</v>
      </c>
      <c r="AC19" s="67">
        <f>tblExpenses[[#This Row],[Grd]]/tblExpenses[[#Totals],[Grd]]</f>
        <v>3.0303030303030304E-2</v>
      </c>
      <c r="AD19" s="67">
        <f>tblExpenses[[#This Row],[Kasmet]]/tblExpenses[[#Totals],[Kasmet]]</f>
        <v>4.7349116372124044E-2</v>
      </c>
    </row>
    <row r="20" spans="1:30" ht="32.1" customHeight="1" x14ac:dyDescent="0.3">
      <c r="B20" s="14" t="s">
        <v>56</v>
      </c>
      <c r="C20" s="28" t="s">
        <v>60</v>
      </c>
      <c r="D20" s="23">
        <v>14</v>
      </c>
      <c r="E20" s="23">
        <v>4</v>
      </c>
      <c r="F20" s="23">
        <v>24</v>
      </c>
      <c r="G20" s="23">
        <v>6</v>
      </c>
      <c r="H20" s="23">
        <v>20</v>
      </c>
      <c r="I20" s="23">
        <v>14</v>
      </c>
      <c r="J20" s="23">
        <v>21</v>
      </c>
      <c r="K20" s="23">
        <v>20</v>
      </c>
      <c r="L20" s="23">
        <v>22</v>
      </c>
      <c r="M20" s="23">
        <v>3</v>
      </c>
      <c r="N20" s="23">
        <v>14</v>
      </c>
      <c r="O20" s="23">
        <v>6</v>
      </c>
      <c r="P20" s="29">
        <f>SUM(tblExpenses[[#This Row],[1stulpelis]:[Grd]])</f>
        <v>168</v>
      </c>
      <c r="Q20" s="62">
        <v>0.01</v>
      </c>
      <c r="R20" s="67">
        <f>tblExpenses[[#This Row],[1stulpelis]]/tblExpenses[[#Totals],[1stulpelis]]</f>
        <v>5.9322033898305086E-2</v>
      </c>
      <c r="S20" s="67">
        <f>tblExpenses[[#This Row],[Vas]]/tblExpenses[[#Totals],[Vas]]</f>
        <v>1.9512195121951219E-2</v>
      </c>
      <c r="T20" s="67">
        <f>tblExpenses[[#This Row],[Kov]]/tblExpenses[[#Totals],[Kov]]</f>
        <v>9.6385542168674704E-2</v>
      </c>
      <c r="U20" s="67">
        <f>tblExpenses[[#This Row],[Bal]]/tblExpenses[[#Totals],[Bal]]</f>
        <v>2.2988505747126436E-2</v>
      </c>
      <c r="V20" s="67">
        <f>tblExpenses[[#This Row],[Geg]]/tblExpenses[[#Totals],[Geg]]</f>
        <v>7.7821011673151752E-2</v>
      </c>
      <c r="W20" s="67">
        <f>tblExpenses[[#This Row],[Bir]]/tblExpenses[[#Totals],[Bir]]</f>
        <v>5.1094890510948905E-2</v>
      </c>
      <c r="X20" s="67">
        <f>tblExpenses[[#This Row],[Lie]]/tblExpenses[[#Totals],[Lie]]</f>
        <v>7.8947368421052627E-2</v>
      </c>
      <c r="Y20" s="67">
        <f>tblExpenses[[#This Row],[Rgp]]/tblExpenses[[#Totals],[Rgp]]</f>
        <v>8.5106382978723402E-2</v>
      </c>
      <c r="Z20" s="67">
        <f>tblExpenses[[#This Row],[Rgs]]/tblExpenses[[#Totals],[Rgs]]</f>
        <v>9.5652173913043481E-2</v>
      </c>
      <c r="AA20" s="67">
        <f>tblExpenses[[#This Row],[Spl]]/tblExpenses[[#Totals],[Spl]]</f>
        <v>1.1583011583011582E-2</v>
      </c>
      <c r="AB20" s="67">
        <f>tblExpenses[[#This Row],[Lap]]/tblExpenses[[#Totals],[Lap]]</f>
        <v>4.72972972972973E-2</v>
      </c>
      <c r="AC20" s="67">
        <f>tblExpenses[[#This Row],[Grd]]/tblExpenses[[#Totals],[Grd]]</f>
        <v>2.5974025974025976E-2</v>
      </c>
      <c r="AD20" s="67">
        <f>tblExpenses[[#This Row],[Kasmet]]/tblExpenses[[#Totals],[Kasmet]]</f>
        <v>5.6018672890963656E-2</v>
      </c>
    </row>
    <row r="21" spans="1:30" ht="32.1" customHeight="1" x14ac:dyDescent="0.3">
      <c r="B21" s="14" t="s">
        <v>56</v>
      </c>
      <c r="C21" s="28" t="s">
        <v>60</v>
      </c>
      <c r="D21" s="23">
        <v>14</v>
      </c>
      <c r="E21" s="23">
        <v>7</v>
      </c>
      <c r="F21" s="23">
        <v>24</v>
      </c>
      <c r="G21" s="23">
        <v>10</v>
      </c>
      <c r="H21" s="23">
        <v>7</v>
      </c>
      <c r="I21" s="23">
        <v>24</v>
      </c>
      <c r="J21" s="23">
        <v>2</v>
      </c>
      <c r="K21" s="23">
        <v>11</v>
      </c>
      <c r="L21" s="23">
        <v>21</v>
      </c>
      <c r="M21" s="23">
        <v>19</v>
      </c>
      <c r="N21" s="23">
        <v>19</v>
      </c>
      <c r="O21" s="23">
        <v>20</v>
      </c>
      <c r="P21" s="29">
        <f>SUM(tblExpenses[[#This Row],[1stulpelis]:[Grd]])</f>
        <v>178</v>
      </c>
      <c r="Q21" s="62">
        <v>0.01</v>
      </c>
      <c r="R21" s="67">
        <f>tblExpenses[[#This Row],[1stulpelis]]/tblExpenses[[#Totals],[1stulpelis]]</f>
        <v>5.9322033898305086E-2</v>
      </c>
      <c r="S21" s="67">
        <f>tblExpenses[[#This Row],[Vas]]/tblExpenses[[#Totals],[Vas]]</f>
        <v>3.4146341463414637E-2</v>
      </c>
      <c r="T21" s="67">
        <f>tblExpenses[[#This Row],[Kov]]/tblExpenses[[#Totals],[Kov]]</f>
        <v>9.6385542168674704E-2</v>
      </c>
      <c r="U21" s="67">
        <f>tblExpenses[[#This Row],[Bal]]/tblExpenses[[#Totals],[Bal]]</f>
        <v>3.8314176245210725E-2</v>
      </c>
      <c r="V21" s="67">
        <f>tblExpenses[[#This Row],[Geg]]/tblExpenses[[#Totals],[Geg]]</f>
        <v>2.7237354085603113E-2</v>
      </c>
      <c r="W21" s="67">
        <f>tblExpenses[[#This Row],[Bir]]/tblExpenses[[#Totals],[Bir]]</f>
        <v>8.7591240875912413E-2</v>
      </c>
      <c r="X21" s="67">
        <f>tblExpenses[[#This Row],[Lie]]/tblExpenses[[#Totals],[Lie]]</f>
        <v>7.5187969924812026E-3</v>
      </c>
      <c r="Y21" s="67">
        <f>tblExpenses[[#This Row],[Rgp]]/tblExpenses[[#Totals],[Rgp]]</f>
        <v>4.6808510638297871E-2</v>
      </c>
      <c r="Z21" s="67">
        <f>tblExpenses[[#This Row],[Rgs]]/tblExpenses[[#Totals],[Rgs]]</f>
        <v>9.1304347826086957E-2</v>
      </c>
      <c r="AA21" s="67">
        <f>tblExpenses[[#This Row],[Spl]]/tblExpenses[[#Totals],[Spl]]</f>
        <v>7.3359073359073365E-2</v>
      </c>
      <c r="AB21" s="67">
        <f>tblExpenses[[#This Row],[Lap]]/tblExpenses[[#Totals],[Lap]]</f>
        <v>6.4189189189189186E-2</v>
      </c>
      <c r="AC21" s="67">
        <f>tblExpenses[[#This Row],[Grd]]/tblExpenses[[#Totals],[Grd]]</f>
        <v>8.6580086580086577E-2</v>
      </c>
      <c r="AD21" s="67">
        <f>tblExpenses[[#This Row],[Kasmet]]/tblExpenses[[#Totals],[Kasmet]]</f>
        <v>5.9353117705901966E-2</v>
      </c>
    </row>
    <row r="22" spans="1:30" ht="32.1" customHeight="1" x14ac:dyDescent="0.3">
      <c r="A22" s="1"/>
      <c r="B22" s="14" t="s">
        <v>56</v>
      </c>
      <c r="C22" s="28" t="s">
        <v>60</v>
      </c>
      <c r="D22" s="23">
        <v>11</v>
      </c>
      <c r="E22" s="23">
        <v>8</v>
      </c>
      <c r="F22" s="23">
        <v>25</v>
      </c>
      <c r="G22" s="23">
        <v>11</v>
      </c>
      <c r="H22" s="23">
        <v>9</v>
      </c>
      <c r="I22" s="23">
        <v>24</v>
      </c>
      <c r="J22" s="23">
        <v>13</v>
      </c>
      <c r="K22" s="23">
        <v>14</v>
      </c>
      <c r="L22" s="23">
        <v>19</v>
      </c>
      <c r="M22" s="23">
        <v>24</v>
      </c>
      <c r="N22" s="23">
        <v>15</v>
      </c>
      <c r="O22" s="23">
        <v>7</v>
      </c>
      <c r="P22" s="29">
        <f>SUM(tblExpenses[[#This Row],[1stulpelis]:[Grd]])</f>
        <v>180</v>
      </c>
      <c r="Q22" s="62">
        <v>0.01</v>
      </c>
      <c r="R22" s="67">
        <f>tblExpenses[[#This Row],[1stulpelis]]/tblExpenses[[#Totals],[1stulpelis]]</f>
        <v>4.6610169491525424E-2</v>
      </c>
      <c r="S22" s="67">
        <f>tblExpenses[[#This Row],[Vas]]/tblExpenses[[#Totals],[Vas]]</f>
        <v>3.9024390243902439E-2</v>
      </c>
      <c r="T22" s="67">
        <f>tblExpenses[[#This Row],[Kov]]/tblExpenses[[#Totals],[Kov]]</f>
        <v>0.10040160642570281</v>
      </c>
      <c r="U22" s="67">
        <f>tblExpenses[[#This Row],[Bal]]/tblExpenses[[#Totals],[Bal]]</f>
        <v>4.2145593869731802E-2</v>
      </c>
      <c r="V22" s="67">
        <f>tblExpenses[[#This Row],[Geg]]/tblExpenses[[#Totals],[Geg]]</f>
        <v>3.5019455252918288E-2</v>
      </c>
      <c r="W22" s="67">
        <f>tblExpenses[[#This Row],[Bir]]/tblExpenses[[#Totals],[Bir]]</f>
        <v>8.7591240875912413E-2</v>
      </c>
      <c r="X22" s="67">
        <f>tblExpenses[[#This Row],[Lie]]/tblExpenses[[#Totals],[Lie]]</f>
        <v>4.8872180451127817E-2</v>
      </c>
      <c r="Y22" s="67">
        <f>tblExpenses[[#This Row],[Rgp]]/tblExpenses[[#Totals],[Rgp]]</f>
        <v>5.9574468085106386E-2</v>
      </c>
      <c r="Z22" s="67">
        <f>tblExpenses[[#This Row],[Rgs]]/tblExpenses[[#Totals],[Rgs]]</f>
        <v>8.2608695652173908E-2</v>
      </c>
      <c r="AA22" s="67">
        <f>tblExpenses[[#This Row],[Spl]]/tblExpenses[[#Totals],[Spl]]</f>
        <v>9.2664092664092659E-2</v>
      </c>
      <c r="AB22" s="67">
        <f>tblExpenses[[#This Row],[Lap]]/tblExpenses[[#Totals],[Lap]]</f>
        <v>5.0675675675675678E-2</v>
      </c>
      <c r="AC22" s="67">
        <f>tblExpenses[[#This Row],[Grd]]/tblExpenses[[#Totals],[Grd]]</f>
        <v>3.0303030303030304E-2</v>
      </c>
      <c r="AD22" s="67">
        <f>tblExpenses[[#This Row],[Kasmet]]/tblExpenses[[#Totals],[Kasmet]]</f>
        <v>6.0020006668889632E-2</v>
      </c>
    </row>
    <row r="23" spans="1:30" ht="32.1" customHeight="1" x14ac:dyDescent="0.3">
      <c r="A23" s="2"/>
      <c r="B23" s="14" t="s">
        <v>57</v>
      </c>
      <c r="C23" s="28" t="s">
        <v>60</v>
      </c>
      <c r="D23" s="23">
        <v>8</v>
      </c>
      <c r="E23" s="23">
        <v>20</v>
      </c>
      <c r="F23" s="23">
        <v>11</v>
      </c>
      <c r="G23" s="23">
        <v>11</v>
      </c>
      <c r="H23" s="23">
        <v>11</v>
      </c>
      <c r="I23" s="23">
        <v>20</v>
      </c>
      <c r="J23" s="23">
        <v>12</v>
      </c>
      <c r="K23" s="23">
        <v>16</v>
      </c>
      <c r="L23" s="23">
        <v>5</v>
      </c>
      <c r="M23" s="23">
        <v>7</v>
      </c>
      <c r="N23" s="23">
        <v>21</v>
      </c>
      <c r="O23" s="23">
        <v>3</v>
      </c>
      <c r="P23" s="29">
        <f>SUM(tblExpenses[[#This Row],[1stulpelis]:[Grd]])</f>
        <v>145</v>
      </c>
      <c r="Q23" s="62">
        <v>0.02</v>
      </c>
      <c r="R23" s="67">
        <f>tblExpenses[[#This Row],[1stulpelis]]/tblExpenses[[#Totals],[1stulpelis]]</f>
        <v>3.3898305084745763E-2</v>
      </c>
      <c r="S23" s="67">
        <f>tblExpenses[[#This Row],[Vas]]/tblExpenses[[#Totals],[Vas]]</f>
        <v>9.7560975609756101E-2</v>
      </c>
      <c r="T23" s="67">
        <f>tblExpenses[[#This Row],[Kov]]/tblExpenses[[#Totals],[Kov]]</f>
        <v>4.4176706827309238E-2</v>
      </c>
      <c r="U23" s="67">
        <f>tblExpenses[[#This Row],[Bal]]/tblExpenses[[#Totals],[Bal]]</f>
        <v>4.2145593869731802E-2</v>
      </c>
      <c r="V23" s="67">
        <f>tblExpenses[[#This Row],[Geg]]/tblExpenses[[#Totals],[Geg]]</f>
        <v>4.2801556420233464E-2</v>
      </c>
      <c r="W23" s="67">
        <f>tblExpenses[[#This Row],[Bir]]/tblExpenses[[#Totals],[Bir]]</f>
        <v>7.2992700729927001E-2</v>
      </c>
      <c r="X23" s="67">
        <f>tblExpenses[[#This Row],[Lie]]/tblExpenses[[#Totals],[Lie]]</f>
        <v>4.5112781954887216E-2</v>
      </c>
      <c r="Y23" s="67">
        <f>tblExpenses[[#This Row],[Rgp]]/tblExpenses[[#Totals],[Rgp]]</f>
        <v>6.8085106382978725E-2</v>
      </c>
      <c r="Z23" s="67">
        <f>tblExpenses[[#This Row],[Rgs]]/tblExpenses[[#Totals],[Rgs]]</f>
        <v>2.1739130434782608E-2</v>
      </c>
      <c r="AA23" s="67">
        <f>tblExpenses[[#This Row],[Spl]]/tblExpenses[[#Totals],[Spl]]</f>
        <v>2.7027027027027029E-2</v>
      </c>
      <c r="AB23" s="67">
        <f>tblExpenses[[#This Row],[Lap]]/tblExpenses[[#Totals],[Lap]]</f>
        <v>7.0945945945945943E-2</v>
      </c>
      <c r="AC23" s="67">
        <f>tblExpenses[[#This Row],[Grd]]/tblExpenses[[#Totals],[Grd]]</f>
        <v>1.2987012987012988E-2</v>
      </c>
      <c r="AD23" s="67">
        <f>tblExpenses[[#This Row],[Kasmet]]/tblExpenses[[#Totals],[Kasmet]]</f>
        <v>4.8349449816605536E-2</v>
      </c>
    </row>
    <row r="24" spans="1:30" s="11" customFormat="1" ht="32.1" customHeight="1" x14ac:dyDescent="0.3">
      <c r="B24" s="30" t="s">
        <v>58</v>
      </c>
      <c r="C24" s="9"/>
      <c r="D24" s="31">
        <f>SUBTOTAL(109,tblExpenses[1stulpelis])</f>
        <v>236</v>
      </c>
      <c r="E24" s="31">
        <f>SUBTOTAL(109,tblExpenses[Vas])</f>
        <v>205</v>
      </c>
      <c r="F24" s="31">
        <f>SUBTOTAL(109,tblExpenses[Kov])</f>
        <v>249</v>
      </c>
      <c r="G24" s="31">
        <f>SUBTOTAL(109,tblExpenses[Bal])</f>
        <v>261</v>
      </c>
      <c r="H24" s="31">
        <f>SUBTOTAL(109,tblExpenses[Geg])</f>
        <v>257</v>
      </c>
      <c r="I24" s="31">
        <f>SUBTOTAL(109,tblExpenses[Bir])</f>
        <v>274</v>
      </c>
      <c r="J24" s="31">
        <f>SUBTOTAL(109,tblExpenses[Lie])</f>
        <v>266</v>
      </c>
      <c r="K24" s="31">
        <f>SUBTOTAL(109,tblExpenses[Rgp])</f>
        <v>235</v>
      </c>
      <c r="L24" s="31">
        <f>SUBTOTAL(109,tblExpenses[Rgs])</f>
        <v>230</v>
      </c>
      <c r="M24" s="31">
        <f>SUBTOTAL(109,tblExpenses[Spl])</f>
        <v>259</v>
      </c>
      <c r="N24" s="31">
        <f>SUBTOTAL(109,tblExpenses[Lap])</f>
        <v>296</v>
      </c>
      <c r="O24" s="31">
        <f>SUBTOTAL(109,tblExpenses[Grd])</f>
        <v>231</v>
      </c>
      <c r="P24" s="31">
        <f>SUBTOTAL(109,tblExpenses[Kasmet])</f>
        <v>2999</v>
      </c>
      <c r="Q24" s="64">
        <f>SUBTOTAL(109,tblExpenses[Indeksas %])</f>
        <v>1</v>
      </c>
      <c r="R24" s="64">
        <f>SUBTOTAL(109,tblExpenses[Sau %])</f>
        <v>1</v>
      </c>
      <c r="S24" s="64">
        <f>SUBTOTAL(109,tblExpenses[Vas %])</f>
        <v>1.0000000000000002</v>
      </c>
      <c r="T24" s="64">
        <f>SUBTOTAL(109,tblExpenses[Kov %])</f>
        <v>1.0000000000000002</v>
      </c>
      <c r="U24" s="64">
        <f>SUBTOTAL(109,tblExpenses[Bal %])</f>
        <v>1</v>
      </c>
      <c r="V24" s="64">
        <f>SUBTOTAL(109,tblExpenses[Geg %])</f>
        <v>1.0000000000000002</v>
      </c>
      <c r="W24" s="64">
        <f>SUBTOTAL(109,tblExpenses[Bir %])</f>
        <v>1</v>
      </c>
      <c r="X24" s="64">
        <f>SUBTOTAL(109,tblExpenses[Lie %])</f>
        <v>1</v>
      </c>
      <c r="Y24" s="64">
        <f>SUBTOTAL(109,tblExpenses[Rgp %])</f>
        <v>0.99999999999999989</v>
      </c>
      <c r="Z24" s="64">
        <f>SUBTOTAL(109,tblExpenses[Rgs %])</f>
        <v>1</v>
      </c>
      <c r="AA24" s="64">
        <f>SUBTOTAL(109,tblExpenses[Spl %])</f>
        <v>1</v>
      </c>
      <c r="AB24" s="64">
        <f>SUBTOTAL(109,tblExpenses[Lap %])</f>
        <v>0.99999999999999989</v>
      </c>
      <c r="AC24" s="64">
        <f>SUBTOTAL(109,tblExpenses[Grd %])</f>
        <v>1</v>
      </c>
      <c r="AD24" s="64">
        <f>SUBTOTAL(109,tblExpenses[Metai %])</f>
        <v>0.99999999999999989</v>
      </c>
    </row>
    <row r="25" spans="1:30" ht="32.1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32.1" customHeight="1" x14ac:dyDescent="0.3">
      <c r="B26" s="12" t="s">
        <v>59</v>
      </c>
      <c r="C26" s="12"/>
      <c r="D26" s="13">
        <f>'Pardavimo išlaidos'!$D$14-tblExpenses[[#Totals],[1stulpelis]]</f>
        <v>123</v>
      </c>
      <c r="E26" s="13">
        <f>'Pardavimo išlaidos'!E14-tblExpenses[[#Totals],[Vas]]</f>
        <v>175</v>
      </c>
      <c r="F26" s="13">
        <f>'Pardavimo išlaidos'!F14-tblExpenses[[#Totals],[Kov]]</f>
        <v>256</v>
      </c>
      <c r="G26" s="13">
        <f>'Pardavimo išlaidos'!G14-tblExpenses[[#Totals],[Bal]]</f>
        <v>109</v>
      </c>
      <c r="H26" s="13">
        <f>'Pardavimo išlaidos'!H14-tblExpenses[[#Totals],[Geg]]</f>
        <v>156</v>
      </c>
      <c r="I26" s="13">
        <f>'Pardavimo išlaidos'!I14-tblExpenses[[#Totals],[Bir]]</f>
        <v>-8</v>
      </c>
      <c r="J26" s="13">
        <f>'Pardavimo išlaidos'!J14-tblExpenses[[#Totals],[Lie]]</f>
        <v>32</v>
      </c>
      <c r="K26" s="13">
        <f>'Pardavimo išlaidos'!K14-tblExpenses[[#Totals],[Rgp]]</f>
        <v>214</v>
      </c>
      <c r="L26" s="13">
        <f>'Pardavimo išlaidos'!L14-tblExpenses[[#Totals],[Rgs]]</f>
        <v>100</v>
      </c>
      <c r="M26" s="13">
        <f>'Pardavimo išlaidos'!M14-tblExpenses[[#Totals],[Spl]]</f>
        <v>148</v>
      </c>
      <c r="N26" s="13">
        <f>'Pardavimo išlaidos'!N14-tblExpenses[[#Totals],[Lap]]</f>
        <v>179</v>
      </c>
      <c r="O26" s="13">
        <f>'Pardavimo išlaidos'!O14-tblExpenses[[#Totals],[Grd]]</f>
        <v>359</v>
      </c>
      <c r="P26" s="13">
        <f>SUM(D26:O26)</f>
        <v>1843</v>
      </c>
      <c r="Q26" s="12"/>
      <c r="R26" s="66">
        <f>D26/$P$26</f>
        <v>6.6739012479652735E-2</v>
      </c>
      <c r="S26" s="66">
        <f t="shared" ref="S26:AD26" si="1">E26/$P$26</f>
        <v>9.4953879544221381E-2</v>
      </c>
      <c r="T26" s="66">
        <f t="shared" si="1"/>
        <v>0.13890396093326099</v>
      </c>
      <c r="U26" s="66">
        <f t="shared" si="1"/>
        <v>5.9142702116115033E-2</v>
      </c>
      <c r="V26" s="66">
        <f t="shared" si="1"/>
        <v>8.4644601193705912E-2</v>
      </c>
      <c r="W26" s="66">
        <f t="shared" si="1"/>
        <v>-4.3407487791644059E-3</v>
      </c>
      <c r="X26" s="66">
        <f t="shared" si="1"/>
        <v>1.7362995116657624E-2</v>
      </c>
      <c r="Y26" s="66">
        <f t="shared" si="1"/>
        <v>0.11611502984264786</v>
      </c>
      <c r="Z26" s="66">
        <f t="shared" si="1"/>
        <v>5.425935973955507E-2</v>
      </c>
      <c r="AA26" s="66">
        <f t="shared" si="1"/>
        <v>8.0303852414541507E-2</v>
      </c>
      <c r="AB26" s="66">
        <f t="shared" si="1"/>
        <v>9.7124253933803584E-2</v>
      </c>
      <c r="AC26" s="66">
        <f t="shared" si="1"/>
        <v>0.19479110146500273</v>
      </c>
      <c r="AD26" s="66">
        <f t="shared" si="1"/>
        <v>1</v>
      </c>
    </row>
  </sheetData>
  <dataValidations count="18">
    <dataValidation allowBlank="1" showInputMessage="1" showErrorMessage="1" prompt="Įmonės pavadinimas automatiškai atnaujinamas naudojant įrašą iš pajamų (pardavimo) lapo" sqref="AD1" xr:uid="{00000000-0002-0000-0200-000000000000}"/>
    <dataValidation allowBlank="1" showInputMessage="1" showErrorMessage="1" prompt="Automatiškai atnaujinamas pavadinimas iš pajamų (pardavimo) darbalapio. Toliau įveskite išlaidų lentelės reikšmes, kad būtų apskaičiuotos bendrosios išlaidos" sqref="B2" xr:uid="{00000000-0002-0000-0200-000001000000}"/>
    <dataValidation allowBlank="1" showInputMessage="1" showErrorMessage="1" prompt="Šiame stulpelyje įveskite indekso procentą" sqref="Q4" xr:uid="{00000000-0002-0000-0200-000002000000}"/>
    <dataValidation allowBlank="1" showInputMessage="1" showErrorMessage="1" prompt="Kiekvieno mėnesio ir metų grynasis pelnas automatiškai skaičiuojamas pagal bendrąjį pelną ir bendrąsias išlaidas" sqref="B26" xr:uid="{00000000-0002-0000-0200-000003000000}"/>
    <dataValidation allowBlank="1" showInputMessage="1" showErrorMessage="1" prompt="Šiame stulpelyje įveskite B stulpelyje nurodytų šaltinių išlaidas" sqref="D4:O4" xr:uid="{00000000-0002-0000-0200-000004000000}"/>
    <dataValidation allowBlank="1" showInputMessage="1" showErrorMessage="1" prompt="Šiame stulpelyje yra išlaidų tendencijų laikui bėgant diagrama" sqref="C4" xr:uid="{00000000-0002-0000-0200-000005000000}"/>
    <dataValidation allowBlank="1" showInputMessage="1" showErrorMessage="1" prompt="Šiame stulpelyje įveskite išlaidas" sqref="B4" xr:uid="{00000000-0002-0000-0200-000006000000}"/>
    <dataValidation allowBlank="1" showInputMessage="1" showErrorMessage="1" prompt="Šiame stulpelyje automatiškai apskaičiuojama išlaidų dalis iš įvairių šaltinių pagal bendrąsias metų išlaidas" sqref="AD3" xr:uid="{00000000-0002-0000-0200-000007000000}"/>
    <dataValidation allowBlank="1" showInputMessage="1" showErrorMessage="1" prompt="Šiame langelyje automatiškai apskaičiuojama išlaidų dalis iš įvairių šaltinių pagal bendrąsias mėnesio išlaidas" sqref="R3:AC3" xr:uid="{00000000-0002-0000-0200-000008000000}"/>
    <dataValidation allowBlank="1" showInputMessage="1" showErrorMessage="1" prompt="Automatiškai atnaujintas mėnesis" sqref="E3:O3" xr:uid="{00000000-0002-0000-0200-000009000000}"/>
    <dataValidation allowBlank="1" showInputMessage="1" showErrorMessage="1" prompt="Datos šioje eilutėje automatiškai atnaujinamos pagal finansinių metų pradžios mėnesį. Norėdami keisti pradžios mėnesį, modifikuokite AC2 langelį" sqref="D3" xr:uid="{00000000-0002-0000-0200-00000A000000}"/>
    <dataValidation allowBlank="1" showInputMessage="1" showErrorMessage="1" prompt="Šiame stulpelyje automatiškai skaičiuojamos metinės išlaidos" sqref="P3" xr:uid="{00000000-0002-0000-0200-00000B000000}"/>
    <dataValidation allowBlank="1" showInputMessage="1" showErrorMessage="1" prompt="Šiame stulpelyje yra indekso procentas" sqref="Q3" xr:uid="{00000000-0002-0000-0200-00000C000000}"/>
    <dataValidation allowBlank="1" showInputMessage="1" showErrorMessage="1" prompt="Šis langelis automatiškai atnaujinamas iš prognozės laikotarpio pavadinimo Pajamų (pardavimo) darbalapyje" sqref="B1" xr:uid="{00000000-0002-0000-0200-00000D000000}"/>
    <dataValidation allowBlank="1" showInputMessage="1" showErrorMessage="1" prompt="Langeliuose dešinėje automatiškai atnaujinamas mėnesis ir metai. Norėdami keisti mėnesį ar metus, modifikuokite AC2 ir AD2 langelius Pajamų (pardavimo) darbalapyje" sqref="AB2" xr:uid="{00000000-0002-0000-0200-00000E000000}"/>
    <dataValidation allowBlank="1" showInputMessage="1" showErrorMessage="1" prompt="Automatiškai atnaujintas mėnesis. Norėdami keisti, modifikuokite AC2 langelį Pajamų (pardavimo) lape" sqref="AC2" xr:uid="{00000000-0002-0000-0200-00000F000000}"/>
    <dataValidation allowBlank="1" showInputMessage="1" showErrorMessage="1" prompt="Automatiškai atnaujintas mėnesis. Norėdami keisti, modifikuokite AD2 langelį Pajamų (pardavimo) lape" sqref="AD2" xr:uid="{00000000-0002-0000-0200-000010000000}"/>
    <dataValidation allowBlank="1" showInputMessage="1" showErrorMessage="1" prompt="Šiame darbalapyje apskaičiuojamos bendrosios kiekvieno mėnesio ir metų išlaidos ir bendrosios kiekvieno elemento išlaidos. Grynasis pelnas automatiškai skaičiuojamas pagal bendrąjį pelną ir bendrąsias išlaidas " sqref="A1:A1048576" xr:uid="{00000000-0002-0000-02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Išlaidos!D24:O24</xm:f>
              <xm:sqref>C24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Išlaidos!D5:O5</xm:f>
              <xm:sqref>C5</xm:sqref>
            </x14:sparkline>
            <x14:sparkline>
              <xm:f>Išlaidos!D6:O6</xm:f>
              <xm:sqref>C6</xm:sqref>
            </x14:sparkline>
            <x14:sparkline>
              <xm:f>Išlaidos!D7:O7</xm:f>
              <xm:sqref>C7</xm:sqref>
            </x14:sparkline>
            <x14:sparkline>
              <xm:f>Išlaidos!D8:O8</xm:f>
              <xm:sqref>C8</xm:sqref>
            </x14:sparkline>
            <x14:sparkline>
              <xm:f>Išlaidos!D9:O9</xm:f>
              <xm:sqref>C9</xm:sqref>
            </x14:sparkline>
            <x14:sparkline>
              <xm:f>Išlaidos!D10:O10</xm:f>
              <xm:sqref>C10</xm:sqref>
            </x14:sparkline>
            <x14:sparkline>
              <xm:f>Išlaidos!D11:O11</xm:f>
              <xm:sqref>C11</xm:sqref>
            </x14:sparkline>
            <x14:sparkline>
              <xm:f>Išlaidos!D12:O12</xm:f>
              <xm:sqref>C12</xm:sqref>
            </x14:sparkline>
            <x14:sparkline>
              <xm:f>Išlaidos!D13:O13</xm:f>
              <xm:sqref>C13</xm:sqref>
            </x14:sparkline>
            <x14:sparkline>
              <xm:f>Išlaidos!D14:O14</xm:f>
              <xm:sqref>C14</xm:sqref>
            </x14:sparkline>
            <x14:sparkline>
              <xm:f>Išlaidos!D15:O15</xm:f>
              <xm:sqref>C15</xm:sqref>
            </x14:sparkline>
            <x14:sparkline>
              <xm:f>Išlaidos!D16:O16</xm:f>
              <xm:sqref>C16</xm:sqref>
            </x14:sparkline>
            <x14:sparkline>
              <xm:f>Išlaidos!D17:O17</xm:f>
              <xm:sqref>C17</xm:sqref>
            </x14:sparkline>
            <x14:sparkline>
              <xm:f>Išlaidos!D18:O18</xm:f>
              <xm:sqref>C18</xm:sqref>
            </x14:sparkline>
            <x14:sparkline>
              <xm:f>Išlaidos!D19:O19</xm:f>
              <xm:sqref>C19</xm:sqref>
            </x14:sparkline>
            <x14:sparkline>
              <xm:f>Išlaidos!D20:O20</xm:f>
              <xm:sqref>C20</xm:sqref>
            </x14:sparkline>
            <x14:sparkline>
              <xm:f>Išlaidos!D21:O21</xm:f>
              <xm:sqref>C21</xm:sqref>
            </x14:sparkline>
            <x14:sparkline>
              <xm:f>Išlaidos!D22:O22</xm:f>
              <xm:sqref>C22</xm:sqref>
            </x14:sparkline>
            <x14:sparkline>
              <xm:f>Išlaidos!D23:O23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Darbalapiai</vt:lpstr>
      </vt:variant>
      <vt:variant>
        <vt:i4>3</vt:i4>
      </vt:variant>
      <vt:variant>
        <vt:lpstr>Įvardytieji diapazonai</vt:lpstr>
      </vt:variant>
      <vt:variant>
        <vt:i4>11</vt:i4>
      </vt:variant>
    </vt:vector>
  </ap:HeadingPairs>
  <ap:TitlesOfParts>
    <vt:vector baseType="lpstr" size="14">
      <vt:lpstr>Pajamos (pardavimas)</vt:lpstr>
      <vt:lpstr>Pardavimo išlaidos</vt:lpstr>
      <vt:lpstr>Išlaidos</vt:lpstr>
      <vt:lpstr>FYMonthStart</vt:lpstr>
      <vt:lpstr>FYStartYear</vt:lpstr>
      <vt:lpstr>Įmonės_pavadinimas</vt:lpstr>
      <vt:lpstr>Pavadinimas1</vt:lpstr>
      <vt:lpstr>Pavadinimas2</vt:lpstr>
      <vt:lpstr>Pavadinimas3</vt:lpstr>
      <vt:lpstr>Išlaidos!Print_Titles</vt:lpstr>
      <vt:lpstr>'Pajamos (pardavimas)'!Print_Titles</vt:lpstr>
      <vt:lpstr>'Pardavimo išlaidos'!Print_Titles</vt:lpstr>
      <vt:lpstr>Projection_Period_Title</vt:lpstr>
      <vt:lpstr>Wksht_Title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2017-08-29T09:18:02Z</dcterms:modified>
</cp:coreProperties>
</file>