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902\Bug 3596307\ko-KR\target\"/>
    </mc:Choice>
  </mc:AlternateContent>
  <xr:revisionPtr revIDLastSave="0" documentId="13_ncr:1_{6D7436B0-F3B8-48DC-9DCD-E5156DD40CC6}" xr6:coauthVersionLast="44" xr6:coauthVersionMax="44" xr10:uidLastSave="{00000000-0000-0000-0000-000000000000}"/>
  <bookViews>
    <workbookView xWindow="-120" yWindow="-120" windowWidth="29040" windowHeight="17640" tabRatio="686" xr2:uid="{00000000-000D-0000-FFFF-FFFF00000000}"/>
  </bookViews>
  <sheets>
    <sheet name="1월" sheetId="4" r:id="rId1"/>
    <sheet name="2월" sheetId="5" r:id="rId2"/>
    <sheet name="3월" sheetId="17" r:id="rId3"/>
    <sheet name="4월" sheetId="18" r:id="rId4"/>
    <sheet name="5월" sheetId="19" r:id="rId5"/>
    <sheet name="6월" sheetId="20" r:id="rId6"/>
    <sheet name="7월" sheetId="21" r:id="rId7"/>
    <sheet name="8월" sheetId="22" r:id="rId8"/>
    <sheet name="9월" sheetId="23" r:id="rId9"/>
    <sheet name="10월" sheetId="24" r:id="rId10"/>
    <sheet name="11월" sheetId="25" r:id="rId11"/>
    <sheet name="12월" sheetId="15" r:id="rId12"/>
    <sheet name="직원 이름" sheetId="16" r:id="rId13"/>
  </sheets>
  <definedNames>
    <definedName name="Employee_Absence_Title">'1월'!$B$1</definedName>
    <definedName name="Key_name">'1월'!$B$2</definedName>
    <definedName name="_xlnm.Print_Titles" localSheetId="9">'10월'!$4:$6</definedName>
    <definedName name="_xlnm.Print_Titles" localSheetId="10">'11월'!$4:$6</definedName>
    <definedName name="_xlnm.Print_Titles" localSheetId="11">'12월'!$4:$6</definedName>
    <definedName name="_xlnm.Print_Titles" localSheetId="0">'1월'!$4:$6</definedName>
    <definedName name="_xlnm.Print_Titles" localSheetId="1">'2월'!$4:$6</definedName>
    <definedName name="_xlnm.Print_Titles" localSheetId="2">'3월'!$4:$6</definedName>
    <definedName name="_xlnm.Print_Titles" localSheetId="3">'4월'!$4:$6</definedName>
    <definedName name="_xlnm.Print_Titles" localSheetId="4">'5월'!$4:$6</definedName>
    <definedName name="_xlnm.Print_Titles" localSheetId="5">'6월'!$4:$6</definedName>
    <definedName name="_xlnm.Print_Titles" localSheetId="6">'7월'!$4:$6</definedName>
    <definedName name="_xlnm.Print_Titles" localSheetId="7">'8월'!$4:$6</definedName>
    <definedName name="_xlnm.Print_Titles" localSheetId="8">'9월'!$4:$6</definedName>
    <definedName name="개인사유키">'1월'!$F$2</definedName>
    <definedName name="개인사유키레이블">'1월'!$G$2</definedName>
    <definedName name="달력연도">'1월'!$AH$4</definedName>
    <definedName name="병가키">'1월'!$I$2</definedName>
    <definedName name="병가키레이블">'1월'!$J$2</definedName>
    <definedName name="사용자지정키1">'1월'!$L$2</definedName>
    <definedName name="사용자지정키1레이블">'1월'!$M$2</definedName>
    <definedName name="사용자지정키2">'1월'!$Q$2</definedName>
    <definedName name="사용자지정키2레이블">'1월'!$R$2</definedName>
    <definedName name="열제목13">직원이름[[#Headers],[직원 이름]]</definedName>
    <definedName name="월이름" localSheetId="9">'10월'!$B$4</definedName>
    <definedName name="월이름" localSheetId="10">'11월'!$B$4</definedName>
    <definedName name="월이름" localSheetId="11">'12월'!$B$4</definedName>
    <definedName name="월이름" localSheetId="0">'1월'!$B$4</definedName>
    <definedName name="월이름" localSheetId="1">'2월'!$B$4</definedName>
    <definedName name="월이름" localSheetId="2">'3월'!$B$4</definedName>
    <definedName name="월이름" localSheetId="3">'4월'!$B$4</definedName>
    <definedName name="월이름" localSheetId="4">'5월'!$B$4</definedName>
    <definedName name="월이름" localSheetId="5">'6월'!$B$4</definedName>
    <definedName name="월이름" localSheetId="6">'7월'!$B$4</definedName>
    <definedName name="월이름" localSheetId="7">'8월'!$B$4</definedName>
    <definedName name="월이름" localSheetId="8">'9월'!$B$4</definedName>
    <definedName name="제목1">_1월[[#Headers],[직원 이름]]</definedName>
    <definedName name="제목10">_10월[[#Headers],[직원 이름]]</definedName>
    <definedName name="제목11">_11월[[#Headers],[직원 이름]]</definedName>
    <definedName name="제목12">_12월[[#Headers],[직원 이름]]</definedName>
    <definedName name="제목2">_2월[[#Headers],[직원 이름]]</definedName>
    <definedName name="제목3">_3월[[#Headers],[직원 이름]]</definedName>
    <definedName name="제목4">_4월[[#Headers],[직원 이름]]</definedName>
    <definedName name="제목5">_5월[[#Headers],[직원 이름]]</definedName>
    <definedName name="제목6">_6월[[#Headers],[직원 이름]]</definedName>
    <definedName name="제목7">_7월[[#Headers],[직원 이름]]</definedName>
    <definedName name="제목8">_8월[[#Headers],[직원 이름]]</definedName>
    <definedName name="제목9">_9월[[#Headers],[직원 이름]]</definedName>
    <definedName name="휴가키">'1월'!$C$2</definedName>
    <definedName name="휴가키레이블">'1월'!$D$2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9" l="1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C12" i="19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C12" i="18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8" i="20" l="1"/>
  <c r="AH9" i="20"/>
  <c r="AH10" i="20"/>
  <c r="AH11" i="20"/>
  <c r="AH7" i="20"/>
  <c r="B12" i="18"/>
  <c r="B12" i="19"/>
  <c r="AH8" i="15" l="1"/>
  <c r="AH9" i="15"/>
  <c r="AH12" i="15" s="1"/>
  <c r="AH10" i="15"/>
  <c r="AH11" i="15"/>
  <c r="AH7" i="15"/>
  <c r="AH8" i="25"/>
  <c r="AH9" i="25"/>
  <c r="AH12" i="25" s="1"/>
  <c r="AH10" i="25"/>
  <c r="AH11" i="25"/>
  <c r="AH7" i="25"/>
  <c r="AH8" i="24"/>
  <c r="AH9" i="24"/>
  <c r="AH12" i="24" s="1"/>
  <c r="AH10" i="24"/>
  <c r="AH11" i="24"/>
  <c r="AH7" i="24"/>
  <c r="AH8" i="23"/>
  <c r="AH9" i="23"/>
  <c r="AH12" i="23" s="1"/>
  <c r="AH10" i="23"/>
  <c r="AH11" i="23"/>
  <c r="AH7" i="23"/>
  <c r="AH8" i="22"/>
  <c r="AH9" i="22"/>
  <c r="AH12" i="22" s="1"/>
  <c r="AH10" i="22"/>
  <c r="AH11" i="22"/>
  <c r="AH7" i="22"/>
  <c r="AH8" i="21"/>
  <c r="AH9" i="21"/>
  <c r="AH12" i="21" s="1"/>
  <c r="AH10" i="21"/>
  <c r="AH11" i="21"/>
  <c r="AH7" i="21"/>
  <c r="AH12" i="20"/>
  <c r="AH8" i="19"/>
  <c r="AH9" i="19"/>
  <c r="AH10" i="19"/>
  <c r="AH11" i="19"/>
  <c r="AH7" i="19"/>
  <c r="AH12" i="19" s="1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B12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B12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B12" i="17"/>
  <c r="AH8" i="18"/>
  <c r="AH9" i="18"/>
  <c r="AH10" i="18"/>
  <c r="AH11" i="18"/>
  <c r="AH7" i="18"/>
  <c r="AH8" i="17"/>
  <c r="AH9" i="17"/>
  <c r="AH10" i="17"/>
  <c r="AH11" i="17"/>
  <c r="AH7" i="17"/>
  <c r="AH12" i="17" s="1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H8" i="5"/>
  <c r="AH9" i="5"/>
  <c r="AH10" i="5"/>
  <c r="AH11" i="5"/>
  <c r="AH7" i="5"/>
  <c r="AH12" i="5" s="1"/>
  <c r="AH12" i="18" l="1"/>
  <c r="B12" i="4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H4" i="17"/>
  <c r="B1" i="17"/>
  <c r="B1" i="15"/>
  <c r="B1" i="5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4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7" i="4"/>
  <c r="AH12" i="4" s="1"/>
  <c r="AH8" i="4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<sst xmlns="http://schemas.openxmlformats.org/spreadsheetml/2006/main" count="643" uniqueCount="64">
  <si>
    <t>직원 휴가 일정</t>
  </si>
  <si>
    <t>휴가 유형 키</t>
  </si>
  <si>
    <t>1월</t>
  </si>
  <si>
    <t>직원 이름</t>
  </si>
  <si>
    <t>직원 1</t>
  </si>
  <si>
    <t>직원 2</t>
  </si>
  <si>
    <t>직원 3</t>
  </si>
  <si>
    <t>직원 4</t>
  </si>
  <si>
    <t>직원 5</t>
  </si>
  <si>
    <t>V</t>
  </si>
  <si>
    <t>휴가 날짜</t>
  </si>
  <si>
    <t>1</t>
  </si>
  <si>
    <t>휴가</t>
  </si>
  <si>
    <t>2</t>
  </si>
  <si>
    <t>3</t>
  </si>
  <si>
    <t>P</t>
  </si>
  <si>
    <t>4</t>
  </si>
  <si>
    <t>S</t>
  </si>
  <si>
    <t>5</t>
  </si>
  <si>
    <t>개인</t>
  </si>
  <si>
    <t>6</t>
  </si>
  <si>
    <t>7</t>
  </si>
  <si>
    <t>8</t>
  </si>
  <si>
    <t>9</t>
  </si>
  <si>
    <t>병가</t>
  </si>
  <si>
    <t>10</t>
  </si>
  <si>
    <t>11</t>
  </si>
  <si>
    <t>12</t>
  </si>
  <si>
    <t>사용자 지정 1</t>
  </si>
  <si>
    <t>13</t>
  </si>
  <si>
    <t>14</t>
  </si>
  <si>
    <t>15</t>
  </si>
  <si>
    <t>16</t>
  </si>
  <si>
    <t>사용자 지정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</si>
  <si>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</si>
  <si>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</si>
  <si>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</si>
  <si>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</si>
  <si>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</si>
  <si>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</si>
  <si>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</si>
  <si>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</si>
  <si>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</si>
  <si>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</si>
  <si>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</si>
  <si>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</si>
  <si>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</si>
  <si>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</si>
  <si>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</si>
  <si>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연도 입력:</t>
  </si>
  <si>
    <t>총 일수</t>
  </si>
  <si>
    <t>2월</t>
  </si>
  <si>
    <t xml:space="preserve"> </t>
  </si>
  <si>
    <t xml:space="preserve">  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</si>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</sst>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0;0;"/>
    <numFmt numFmtId="167" formatCode="0_ "/>
  </numFmts>
  <fonts count="25">
    <font>
      <sz val="11"/>
      <color theme="1"/>
      <name val="Malgun Gothic"/>
      <family val="2"/>
    </font>
    <font>
      <sz val="8"/>
      <name val="Calibri"/>
      <family val="3"/>
      <charset val="129"/>
      <scheme val="minor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26"/>
      <color theme="3" tint="-0.24994659260841701"/>
      <name val="Malgun Gothic"/>
      <family val="2"/>
    </font>
    <font>
      <b/>
      <sz val="18"/>
      <color theme="4" tint="-0.2499465926084170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26"/>
      <color theme="3"/>
      <name val="Malgun Gothic"/>
      <family val="2"/>
    </font>
    <font>
      <sz val="11"/>
      <color rgb="FFFF0000"/>
      <name val="Malgun Gothic"/>
      <family val="2"/>
    </font>
    <font>
      <sz val="11"/>
      <color theme="4" tint="-0.499984740745262"/>
      <name val="Malgun Gothic"/>
      <family val="2"/>
    </font>
    <font>
      <sz val="11"/>
      <color theme="1"/>
      <name val="Malgun Gothic"/>
      <family val="3"/>
      <charset val="129"/>
    </font>
    <font>
      <b/>
      <sz val="26"/>
      <color theme="3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sz val="11"/>
      <color theme="4" tint="-0.499984740745262"/>
      <name val="Malgun Gothic"/>
      <family val="3"/>
      <charset val="129"/>
    </font>
    <font>
      <b/>
      <sz val="18"/>
      <color theme="4" tint="-0.24994659260841701"/>
      <name val="Malgun Gothic"/>
      <family val="3"/>
      <charset val="129"/>
    </font>
    <font>
      <sz val="11"/>
      <color theme="3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16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" borderId="0" applyNumberFormat="0" applyBorder="0" applyProtection="0">
      <alignment horizontal="center" vertical="center"/>
    </xf>
    <xf numFmtId="0" fontId="3" fillId="20" borderId="0" applyNumberFormat="0" applyProtection="0">
      <alignment horizontal="right" vertical="center" indent="1"/>
    </xf>
    <xf numFmtId="0" fontId="2" fillId="0" borderId="0" applyNumberFormat="0" applyFill="0" applyBorder="0" applyProtection="0">
      <alignment horizontal="left" vertical="center" indent="2"/>
    </xf>
    <xf numFmtId="0" fontId="4" fillId="3" borderId="0" applyNumberFormat="0" applyBorder="0" applyAlignment="0" applyProtection="0"/>
    <xf numFmtId="0" fontId="2" fillId="4" borderId="0" applyNumberFormat="0" applyBorder="0" applyProtection="0">
      <alignment horizontal="center" vertical="center"/>
    </xf>
    <xf numFmtId="0" fontId="3" fillId="9" borderId="0" applyNumberFormat="0" applyBorder="0" applyAlignment="0" applyProtection="0"/>
    <xf numFmtId="0" fontId="2" fillId="5" borderId="0" applyNumberFormat="0" applyBorder="0" applyAlignment="0" applyProtection="0"/>
    <xf numFmtId="0" fontId="4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15" borderId="0" applyNumberFormat="0" applyBorder="0" applyAlignment="0" applyProtection="0"/>
    <xf numFmtId="0" fontId="2" fillId="8" borderId="0" applyNumberFormat="0" applyBorder="0" applyAlignment="0" applyProtection="0"/>
    <xf numFmtId="0" fontId="4" fillId="15" borderId="0" applyNumberFormat="0" applyBorder="0" applyAlignment="0" applyProtection="0"/>
    <xf numFmtId="0" fontId="2" fillId="18" borderId="0" applyNumberFormat="0" applyBorder="0" applyAlignment="0" applyProtection="0"/>
    <xf numFmtId="0" fontId="3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12" borderId="0" applyNumberFormat="0" applyBorder="0" applyProtection="0">
      <alignment horizontal="left" vertical="center" indent="1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167" fontId="2" fillId="0" borderId="0" applyFill="0" applyBorder="0" applyProtection="0">
      <alignment horizontal="center" vertical="center"/>
    </xf>
    <xf numFmtId="0" fontId="2" fillId="0" borderId="0" applyNumberFormat="0" applyFill="0" applyBorder="0">
      <alignment horizontal="left" vertical="center" wrapText="1" indent="2"/>
    </xf>
    <xf numFmtId="0" fontId="18" fillId="0" borderId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1" applyNumberFormat="0" applyAlignment="0" applyProtection="0"/>
    <xf numFmtId="0" fontId="15" fillId="25" borderId="2" applyNumberFormat="0" applyAlignment="0" applyProtection="0"/>
    <xf numFmtId="0" fontId="6" fillId="25" borderId="1" applyNumberFormat="0" applyAlignment="0" applyProtection="0"/>
    <xf numFmtId="0" fontId="13" fillId="0" borderId="3" applyNumberFormat="0" applyFill="0" applyAlignment="0" applyProtection="0"/>
    <xf numFmtId="0" fontId="7" fillId="26" borderId="4" applyNumberFormat="0" applyAlignment="0" applyProtection="0"/>
    <xf numFmtId="0" fontId="17" fillId="0" borderId="0" applyNumberFormat="0" applyFill="0" applyBorder="0" applyAlignment="0" applyProtection="0"/>
    <xf numFmtId="0" fontId="2" fillId="27" borderId="5" applyNumberFormat="0" applyFont="0" applyAlignment="0" applyProtection="0"/>
    <xf numFmtId="0" fontId="8" fillId="0" borderId="0" applyNumberFormat="0" applyFill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167" fontId="2" fillId="0" borderId="0" xfId="25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1" applyFont="1">
      <alignment vertical="top"/>
    </xf>
    <xf numFmtId="0" fontId="19" fillId="0" borderId="0" xfId="0" applyFont="1">
      <alignment horizontal="left" vertical="center"/>
    </xf>
    <xf numFmtId="0" fontId="21" fillId="20" borderId="0" xfId="4" applyFont="1">
      <alignment horizontal="right" vertical="center" indent="1"/>
    </xf>
    <xf numFmtId="0" fontId="21" fillId="15" borderId="0" xfId="12" applyFont="1" applyAlignment="1">
      <alignment horizontal="center" vertical="center"/>
    </xf>
    <xf numFmtId="0" fontId="19" fillId="2" borderId="0" xfId="21" applyFont="1" applyAlignment="1">
      <alignment horizontal="left" vertical="center"/>
    </xf>
    <xf numFmtId="0" fontId="21" fillId="10" borderId="0" xfId="19" applyFont="1" applyAlignment="1">
      <alignment horizontal="center" vertical="center"/>
    </xf>
    <xf numFmtId="0" fontId="21" fillId="13" borderId="0" xfId="23" applyFont="1" applyAlignment="1">
      <alignment horizontal="center" vertical="center"/>
    </xf>
    <xf numFmtId="166" fontId="21" fillId="9" borderId="0" xfId="8" applyNumberFormat="1" applyFont="1" applyAlignment="1">
      <alignment horizontal="center" vertical="center"/>
    </xf>
    <xf numFmtId="166" fontId="21" fillId="14" borderId="0" xfId="24" applyNumberFormat="1" applyFont="1" applyAlignment="1">
      <alignment horizontal="center" vertical="center"/>
    </xf>
    <xf numFmtId="0" fontId="22" fillId="0" borderId="0" xfId="27" applyFont="1">
      <alignment horizontal="center"/>
    </xf>
    <xf numFmtId="0" fontId="23" fillId="2" borderId="0" xfId="3" applyFo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21" applyFont="1" applyAlignment="1">
      <alignment horizontal="left" vertical="center" indent="1"/>
    </xf>
    <xf numFmtId="0" fontId="19" fillId="0" borderId="0" xfId="21" applyFont="1" applyFill="1" applyAlignment="1">
      <alignment horizontal="center" vertical="center"/>
    </xf>
    <xf numFmtId="0" fontId="19" fillId="0" borderId="0" xfId="26" applyFont="1">
      <alignment horizontal="left" vertical="center" wrapText="1" indent="2"/>
    </xf>
    <xf numFmtId="167" fontId="19" fillId="0" borderId="0" xfId="25" applyFont="1">
      <alignment horizontal="center" vertical="center"/>
    </xf>
    <xf numFmtId="0" fontId="19" fillId="0" borderId="0" xfId="0" applyFont="1" applyAlignment="1">
      <alignment horizontal="left" vertical="center" indent="1"/>
    </xf>
    <xf numFmtId="166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2" borderId="0" xfId="3" applyFont="1">
      <alignment horizontal="center" vertical="center"/>
    </xf>
  </cellXfs>
  <cellStyles count="49">
    <cellStyle name="20% - Accent1" xfId="15" builtinId="30" customBuiltin="1"/>
    <cellStyle name="20% - Accent2" xfId="44" builtinId="34" customBuiltin="1"/>
    <cellStyle name="20% - Accent3" xfId="21" builtinId="38" customBuiltin="1"/>
    <cellStyle name="20% - Accent4" xfId="7" builtinId="42" customBuiltin="1"/>
    <cellStyle name="20% - Accent5" xfId="47" builtinId="46" customBuiltin="1"/>
    <cellStyle name="20% - Accent6" xfId="11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8" builtinId="43" customBuiltin="1"/>
    <cellStyle name="40% - Accent5" xfId="24" builtinId="47" customBuiltin="1"/>
    <cellStyle name="40% - Accent6" xfId="12" builtinId="51" customBuiltin="1"/>
    <cellStyle name="60% - Accent1" xfId="17" builtinId="32" customBuiltin="1"/>
    <cellStyle name="60% - Accent2" xfId="45" builtinId="36" customBuiltin="1"/>
    <cellStyle name="60% - Accent3" xfId="23" builtinId="40" customBuiltin="1"/>
    <cellStyle name="60% - Accent4" xfId="9" builtinId="44" customBuiltin="1"/>
    <cellStyle name="60% - Accent5" xfId="48" builtinId="48" customBuiltin="1"/>
    <cellStyle name="60% - Accent6" xfId="13" builtinId="52" customBuiltin="1"/>
    <cellStyle name="Accent1" xfId="14" builtinId="29" customBuiltin="1"/>
    <cellStyle name="Accent2" xfId="18" builtinId="33" customBuiltin="1"/>
    <cellStyle name="Accent3" xfId="20" builtinId="37" customBuiltin="1"/>
    <cellStyle name="Accent4" xfId="6" builtinId="41" customBuiltin="1"/>
    <cellStyle name="Accent5" xfId="46" builtinId="45" customBuiltin="1"/>
    <cellStyle name="Accent6" xfId="10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43" builtinId="53" customBuiltin="1"/>
    <cellStyle name="Good" xfId="3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 customBuiltin="1"/>
    <cellStyle name="Note" xfId="42" builtinId="10" customBuiltin="1"/>
    <cellStyle name="Output" xfId="37" builtinId="21" customBuiltin="1"/>
    <cellStyle name="Percent" xfId="32" builtinId="5" customBuiltin="1"/>
    <cellStyle name="Title" xfId="1" builtinId="15" customBuiltin="1"/>
    <cellStyle name="Total" xfId="25" builtinId="25" customBuiltin="1"/>
    <cellStyle name="Warning Text" xfId="41" builtinId="11" customBuiltin="1"/>
    <cellStyle name="레이블" xfId="27" xr:uid="{00000000-0005-0000-0000-000018000000}"/>
    <cellStyle name="직원" xfId="26" xr:uid="{00000000-0005-0000-0000-000013000000}"/>
  </cellStyles>
  <dxfs count="906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numFmt numFmtId="167" formatCode="0_ 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직원 휴가 표" pivot="0" count="13" xr9:uid="{00000000-0011-0000-FFFF-FFFF00000000}">
      <tableStyleElement type="wholeTable" dxfId="905"/>
      <tableStyleElement type="headerRow" dxfId="904"/>
      <tableStyleElement type="totalRow" dxfId="903"/>
      <tableStyleElement type="firstColumn" dxfId="902"/>
      <tableStyleElement type="lastColumn" dxfId="901"/>
      <tableStyleElement type="firstRowStripe" dxfId="900"/>
      <tableStyleElement type="secondRowStripe" dxfId="899"/>
      <tableStyleElement type="firstColumnStripe" dxfId="898"/>
      <tableStyleElement type="secondColumnStripe" dxfId="897"/>
      <tableStyleElement type="firstHeaderCell" dxfId="896"/>
      <tableStyleElement type="lastHeaderCell" dxfId="895"/>
      <tableStyleElement type="firstTotalCell" dxfId="894"/>
      <tableStyleElement type="lastTotalCell" dxfId="89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1월" displayName="_1월" ref="B6:AH12" totalsRowCount="1" headerRowDxfId="887" dataDxfId="886" totalsRowDxfId="885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직원 이름" totalsRowFunction="custom" dataDxfId="884" totalsRowDxfId="883" dataCellStyle="직원">
      <totalsRowFormula>월이름&amp;" 요약"</totalsRowFormula>
    </tableColumn>
    <tableColumn id="2" xr3:uid="{00000000-0010-0000-0000-000002000000}" name="1" totalsRowFunction="custom" dataDxfId="882" totalsRowDxfId="881">
      <totalsRowFormula>SUBTOTAL(103,'1월'!$C$7:$C$11)</totalsRowFormula>
    </tableColumn>
    <tableColumn id="3" xr3:uid="{00000000-0010-0000-0000-000003000000}" name="2" totalsRowFunction="custom" dataDxfId="880" totalsRowDxfId="879">
      <totalsRowFormula>SUBTOTAL(103,'1월'!$D$7:$D$11)</totalsRowFormula>
    </tableColumn>
    <tableColumn id="4" xr3:uid="{00000000-0010-0000-0000-000004000000}" name="3" totalsRowFunction="custom" dataDxfId="878" totalsRowDxfId="877">
      <totalsRowFormula>SUBTOTAL(103,'1월'!$E$7:$E$11)</totalsRowFormula>
    </tableColumn>
    <tableColumn id="5" xr3:uid="{00000000-0010-0000-0000-000005000000}" name="4" totalsRowFunction="custom" dataDxfId="876" totalsRowDxfId="875">
      <totalsRowFormula>SUBTOTAL(103,'1월'!$F$7:$F$11)</totalsRowFormula>
    </tableColumn>
    <tableColumn id="6" xr3:uid="{00000000-0010-0000-0000-000006000000}" name="5" totalsRowFunction="custom" dataDxfId="874" totalsRowDxfId="873">
      <totalsRowFormula>SUBTOTAL(103,'1월'!$G$7:$G$11)</totalsRowFormula>
    </tableColumn>
    <tableColumn id="7" xr3:uid="{00000000-0010-0000-0000-000007000000}" name="6" totalsRowFunction="custom" dataDxfId="872" totalsRowDxfId="871">
      <totalsRowFormula>SUBTOTAL(103,'1월'!$H$7:$H$11)</totalsRowFormula>
    </tableColumn>
    <tableColumn id="8" xr3:uid="{00000000-0010-0000-0000-000008000000}" name="7" totalsRowFunction="custom" dataDxfId="870" totalsRowDxfId="869">
      <totalsRowFormula>SUBTOTAL(103,'1월'!$I$7:$I$11)</totalsRowFormula>
    </tableColumn>
    <tableColumn id="9" xr3:uid="{00000000-0010-0000-0000-000009000000}" name="8" totalsRowFunction="custom" dataDxfId="868" totalsRowDxfId="867">
      <totalsRowFormula>SUBTOTAL(103,'1월'!$J$7:$J$11)</totalsRowFormula>
    </tableColumn>
    <tableColumn id="10" xr3:uid="{00000000-0010-0000-0000-00000A000000}" name="9" totalsRowFunction="custom" dataDxfId="866" totalsRowDxfId="865">
      <totalsRowFormula>SUBTOTAL(103,'1월'!$K$7:$K$11)</totalsRowFormula>
    </tableColumn>
    <tableColumn id="11" xr3:uid="{00000000-0010-0000-0000-00000B000000}" name="10" totalsRowFunction="custom" dataDxfId="864" totalsRowDxfId="863">
      <totalsRowFormula>SUBTOTAL(103,'1월'!$L$7:$L$11)</totalsRowFormula>
    </tableColumn>
    <tableColumn id="12" xr3:uid="{00000000-0010-0000-0000-00000C000000}" name="11" totalsRowFunction="custom" dataDxfId="862" totalsRowDxfId="861">
      <totalsRowFormula>SUBTOTAL(103,'1월'!$M$7:$M$11)</totalsRowFormula>
    </tableColumn>
    <tableColumn id="13" xr3:uid="{00000000-0010-0000-0000-00000D000000}" name="12" totalsRowFunction="custom" dataDxfId="860" totalsRowDxfId="859">
      <totalsRowFormula>SUBTOTAL(103,'1월'!$N$7:$N$11)</totalsRowFormula>
    </tableColumn>
    <tableColumn id="14" xr3:uid="{00000000-0010-0000-0000-00000E000000}" name="13" totalsRowFunction="custom" dataDxfId="858" totalsRowDxfId="857">
      <totalsRowFormula>SUBTOTAL(103,'1월'!$O$7:$O$11)</totalsRowFormula>
    </tableColumn>
    <tableColumn id="15" xr3:uid="{00000000-0010-0000-0000-00000F000000}" name="14" totalsRowFunction="custom" dataDxfId="856" totalsRowDxfId="855">
      <totalsRowFormula>SUBTOTAL(103,'1월'!$P$7:$P$11)</totalsRowFormula>
    </tableColumn>
    <tableColumn id="16" xr3:uid="{00000000-0010-0000-0000-000010000000}" name="15" totalsRowFunction="custom" dataDxfId="854" totalsRowDxfId="853">
      <totalsRowFormula>SUBTOTAL(103,'1월'!$Q$7:$Q$11)</totalsRowFormula>
    </tableColumn>
    <tableColumn id="17" xr3:uid="{00000000-0010-0000-0000-000011000000}" name="16" totalsRowFunction="custom" dataDxfId="852" totalsRowDxfId="851">
      <totalsRowFormula>SUBTOTAL(103,'1월'!$R$7:$R$11)</totalsRowFormula>
    </tableColumn>
    <tableColumn id="18" xr3:uid="{00000000-0010-0000-0000-000012000000}" name="17" totalsRowFunction="custom" dataDxfId="850" totalsRowDxfId="849">
      <totalsRowFormula>SUBTOTAL(103,'1월'!$S$7:$S$11)</totalsRowFormula>
    </tableColumn>
    <tableColumn id="19" xr3:uid="{00000000-0010-0000-0000-000013000000}" name="18" totalsRowFunction="custom" dataDxfId="848" totalsRowDxfId="847">
      <totalsRowFormula>SUBTOTAL(103,'1월'!$T$7:$T$11)</totalsRowFormula>
    </tableColumn>
    <tableColumn id="20" xr3:uid="{00000000-0010-0000-0000-000014000000}" name="19" totalsRowFunction="custom" dataDxfId="846" totalsRowDxfId="845">
      <totalsRowFormula>SUBTOTAL(103,'1월'!$U$7:$U$11)</totalsRowFormula>
    </tableColumn>
    <tableColumn id="21" xr3:uid="{00000000-0010-0000-0000-000015000000}" name="20" totalsRowFunction="custom" dataDxfId="844" totalsRowDxfId="843">
      <totalsRowFormula>SUBTOTAL(103,'1월'!$V$7:$V$11)</totalsRowFormula>
    </tableColumn>
    <tableColumn id="22" xr3:uid="{00000000-0010-0000-0000-000016000000}" name="21" totalsRowFunction="custom" dataDxfId="842" totalsRowDxfId="841">
      <totalsRowFormula>SUBTOTAL(103,'1월'!$W$7:$W$11)</totalsRowFormula>
    </tableColumn>
    <tableColumn id="23" xr3:uid="{00000000-0010-0000-0000-000017000000}" name="22" totalsRowFunction="custom" dataDxfId="840" totalsRowDxfId="839">
      <totalsRowFormula>SUBTOTAL(103,'1월'!$X$7:$X$11)</totalsRowFormula>
    </tableColumn>
    <tableColumn id="24" xr3:uid="{00000000-0010-0000-0000-000018000000}" name="23" totalsRowFunction="custom" dataDxfId="838" totalsRowDxfId="837">
      <totalsRowFormula>SUBTOTAL(103,'1월'!$Y$7:$Y$11)</totalsRowFormula>
    </tableColumn>
    <tableColumn id="25" xr3:uid="{00000000-0010-0000-0000-000019000000}" name="24" totalsRowFunction="custom" dataDxfId="836" totalsRowDxfId="835">
      <totalsRowFormula>SUBTOTAL(103,'1월'!$Z$7:$Z$11)</totalsRowFormula>
    </tableColumn>
    <tableColumn id="26" xr3:uid="{00000000-0010-0000-0000-00001A000000}" name="25" totalsRowFunction="custom" dataDxfId="834" totalsRowDxfId="833">
      <totalsRowFormula>SUBTOTAL(103,'1월'!$AA$7:$AA$11)</totalsRowFormula>
    </tableColumn>
    <tableColumn id="27" xr3:uid="{00000000-0010-0000-0000-00001B000000}" name="26" totalsRowFunction="custom" dataDxfId="832" totalsRowDxfId="831">
      <totalsRowFormula>SUBTOTAL(103,'1월'!$AB$7:$AB$11)</totalsRowFormula>
    </tableColumn>
    <tableColumn id="28" xr3:uid="{00000000-0010-0000-0000-00001C000000}" name="27" totalsRowFunction="custom" dataDxfId="830" totalsRowDxfId="829">
      <totalsRowFormula>SUBTOTAL(103,'1월'!$AC$7:$AC$11)</totalsRowFormula>
    </tableColumn>
    <tableColumn id="29" xr3:uid="{00000000-0010-0000-0000-00001D000000}" name="28" totalsRowFunction="custom" dataDxfId="828" totalsRowDxfId="827">
      <totalsRowFormula>SUBTOTAL(103,'1월'!$AD$7:$AD$11)</totalsRowFormula>
    </tableColumn>
    <tableColumn id="30" xr3:uid="{00000000-0010-0000-0000-00001E000000}" name="29" totalsRowFunction="custom" dataDxfId="826" totalsRowDxfId="825">
      <totalsRowFormula>SUBTOTAL(103,'1월'!$AE$7:$AE$11)</totalsRowFormula>
    </tableColumn>
    <tableColumn id="31" xr3:uid="{00000000-0010-0000-0000-00001F000000}" name="30" totalsRowFunction="custom" dataDxfId="824" totalsRowDxfId="823">
      <totalsRowFormula>SUBTOTAL(103,'1월'!$AF$7:$AF$11)</totalsRowFormula>
    </tableColumn>
    <tableColumn id="32" xr3:uid="{00000000-0010-0000-0000-000020000000}" name="31" totalsRowFunction="custom" dataDxfId="822" totalsRowDxfId="821">
      <totalsRowFormula>SUBTOTAL(103,'1월'!$AG$7:$AG$11)</totalsRowFormula>
    </tableColumn>
    <tableColumn id="33" xr3:uid="{00000000-0010-0000-0000-000021000000}" name="총 일수" totalsRowFunction="sum" dataDxfId="820" totalsRowDxfId="819">
      <calculatedColumnFormula>COUNTA('1월'!$C7:$AG7)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10월" displayName="_10월" ref="B6:AH12" totalsRowCount="1" headerRowDxfId="219" dataDxfId="218" totalsRowDxfId="217">
  <tableColumns count="33">
    <tableColumn id="1" xr3:uid="{00000000-0010-0000-0900-000001000000}" name="직원 이름" totalsRowFunction="custom" dataDxfId="216" totalsRowDxfId="215" dataCellStyle="직원">
      <totalsRowFormula>월이름&amp;" 요약"</totalsRowFormula>
    </tableColumn>
    <tableColumn id="2" xr3:uid="{00000000-0010-0000-0900-000002000000}" name="1" totalsRowFunction="count" dataDxfId="214" totalsRowDxfId="213"/>
    <tableColumn id="3" xr3:uid="{00000000-0010-0000-0900-000003000000}" name="2" totalsRowFunction="count" dataDxfId="212" totalsRowDxfId="211"/>
    <tableColumn id="4" xr3:uid="{00000000-0010-0000-0900-000004000000}" name="3" totalsRowFunction="count" dataDxfId="210" totalsRowDxfId="209"/>
    <tableColumn id="5" xr3:uid="{00000000-0010-0000-0900-000005000000}" name="4" totalsRowFunction="count" dataDxfId="208" totalsRowDxfId="207"/>
    <tableColumn id="6" xr3:uid="{00000000-0010-0000-0900-000006000000}" name="5" totalsRowFunction="count" dataDxfId="206" totalsRowDxfId="205"/>
    <tableColumn id="7" xr3:uid="{00000000-0010-0000-0900-000007000000}" name="6" totalsRowFunction="count" dataDxfId="204" totalsRowDxfId="203"/>
    <tableColumn id="8" xr3:uid="{00000000-0010-0000-0900-000008000000}" name="7" totalsRowFunction="count" dataDxfId="202" totalsRowDxfId="201"/>
    <tableColumn id="9" xr3:uid="{00000000-0010-0000-0900-000009000000}" name="8" totalsRowFunction="count" dataDxfId="200" totalsRowDxfId="199"/>
    <tableColumn id="10" xr3:uid="{00000000-0010-0000-0900-00000A000000}" name="9" totalsRowFunction="count" dataDxfId="198" totalsRowDxfId="197"/>
    <tableColumn id="11" xr3:uid="{00000000-0010-0000-0900-00000B000000}" name="10" totalsRowFunction="count" dataDxfId="196" totalsRowDxfId="195"/>
    <tableColumn id="12" xr3:uid="{00000000-0010-0000-0900-00000C000000}" name="11" totalsRowFunction="count" dataDxfId="194" totalsRowDxfId="193"/>
    <tableColumn id="13" xr3:uid="{00000000-0010-0000-0900-00000D000000}" name="12" totalsRowFunction="count" dataDxfId="192" totalsRowDxfId="191"/>
    <tableColumn id="14" xr3:uid="{00000000-0010-0000-0900-00000E000000}" name="13" totalsRowFunction="count" dataDxfId="190" totalsRowDxfId="189"/>
    <tableColumn id="15" xr3:uid="{00000000-0010-0000-0900-00000F000000}" name="14" totalsRowFunction="count" dataDxfId="188" totalsRowDxfId="187"/>
    <tableColumn id="16" xr3:uid="{00000000-0010-0000-0900-000010000000}" name="15" totalsRowFunction="count" dataDxfId="186" totalsRowDxfId="185"/>
    <tableColumn id="17" xr3:uid="{00000000-0010-0000-0900-000011000000}" name="16" totalsRowFunction="count" dataDxfId="184" totalsRowDxfId="183"/>
    <tableColumn id="18" xr3:uid="{00000000-0010-0000-0900-000012000000}" name="17" totalsRowFunction="count" dataDxfId="182" totalsRowDxfId="181"/>
    <tableColumn id="19" xr3:uid="{00000000-0010-0000-0900-000013000000}" name="18" totalsRowFunction="count" dataDxfId="180" totalsRowDxfId="179"/>
    <tableColumn id="20" xr3:uid="{00000000-0010-0000-0900-000014000000}" name="19" totalsRowFunction="count" dataDxfId="178" totalsRowDxfId="177"/>
    <tableColumn id="21" xr3:uid="{00000000-0010-0000-0900-000015000000}" name="20" totalsRowFunction="count" dataDxfId="176" totalsRowDxfId="175"/>
    <tableColumn id="22" xr3:uid="{00000000-0010-0000-0900-000016000000}" name="21" totalsRowFunction="count" dataDxfId="174" totalsRowDxfId="173"/>
    <tableColumn id="23" xr3:uid="{00000000-0010-0000-0900-000017000000}" name="22" totalsRowFunction="count" dataDxfId="172" totalsRowDxfId="171"/>
    <tableColumn id="24" xr3:uid="{00000000-0010-0000-0900-000018000000}" name="23" totalsRowFunction="count" dataDxfId="170" totalsRowDxfId="169"/>
    <tableColumn id="25" xr3:uid="{00000000-0010-0000-0900-000019000000}" name="24" totalsRowFunction="count" dataDxfId="168" totalsRowDxfId="167"/>
    <tableColumn id="26" xr3:uid="{00000000-0010-0000-0900-00001A000000}" name="25" totalsRowFunction="count" dataDxfId="166" totalsRowDxfId="165"/>
    <tableColumn id="27" xr3:uid="{00000000-0010-0000-0900-00001B000000}" name="26" totalsRowFunction="count" dataDxfId="164" totalsRowDxfId="163"/>
    <tableColumn id="28" xr3:uid="{00000000-0010-0000-0900-00001C000000}" name="27" totalsRowFunction="count" dataDxfId="162" totalsRowDxfId="161"/>
    <tableColumn id="29" xr3:uid="{00000000-0010-0000-0900-00001D000000}" name="28" totalsRowFunction="count" dataDxfId="160" totalsRowDxfId="159"/>
    <tableColumn id="30" xr3:uid="{00000000-0010-0000-0900-00001E000000}" name="29" totalsRowFunction="count" dataDxfId="158" totalsRowDxfId="157"/>
    <tableColumn id="31" xr3:uid="{00000000-0010-0000-0900-00001F000000}" name="30" totalsRowFunction="count" dataDxfId="156" totalsRowDxfId="155"/>
    <tableColumn id="32" xr3:uid="{00000000-0010-0000-0900-000020000000}" name="31" totalsRowFunction="count" dataDxfId="154" totalsRowDxfId="153"/>
    <tableColumn id="33" xr3:uid="{00000000-0010-0000-0900-000021000000}" name="총 일수" totalsRowFunction="sum" dataDxfId="152" totalsRowDxfId="151">
      <calculatedColumnFormula>COUNTA(_10월[[#This Row],[1]:[31]])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11월" displayName="_11월" ref="B6:AH12" totalsRowCount="1" headerRowDxfId="145" dataDxfId="144" totalsRowDxfId="143">
  <tableColumns count="33">
    <tableColumn id="1" xr3:uid="{00000000-0010-0000-0A00-000001000000}" name="직원 이름" totalsRowFunction="custom" dataDxfId="142" totalsRowDxfId="141" dataCellStyle="직원">
      <totalsRowFormula>월이름&amp;" 요약"</totalsRowFormula>
    </tableColumn>
    <tableColumn id="2" xr3:uid="{00000000-0010-0000-0A00-000002000000}" name="1" totalsRowFunction="count" dataDxfId="140" totalsRowDxfId="139"/>
    <tableColumn id="3" xr3:uid="{00000000-0010-0000-0A00-000003000000}" name="2" totalsRowFunction="count" dataDxfId="138" totalsRowDxfId="137"/>
    <tableColumn id="4" xr3:uid="{00000000-0010-0000-0A00-000004000000}" name="3" totalsRowFunction="count" dataDxfId="136" totalsRowDxfId="135"/>
    <tableColumn id="5" xr3:uid="{00000000-0010-0000-0A00-000005000000}" name="4" totalsRowFunction="count" dataDxfId="134" totalsRowDxfId="133"/>
    <tableColumn id="6" xr3:uid="{00000000-0010-0000-0A00-000006000000}" name="5" totalsRowFunction="count" dataDxfId="132" totalsRowDxfId="131"/>
    <tableColumn id="7" xr3:uid="{00000000-0010-0000-0A00-000007000000}" name="6" totalsRowFunction="count" dataDxfId="130" totalsRowDxfId="129"/>
    <tableColumn id="8" xr3:uid="{00000000-0010-0000-0A00-000008000000}" name="7" totalsRowFunction="count" dataDxfId="128" totalsRowDxfId="127"/>
    <tableColumn id="9" xr3:uid="{00000000-0010-0000-0A00-000009000000}" name="8" totalsRowFunction="count" dataDxfId="126" totalsRowDxfId="125"/>
    <tableColumn id="10" xr3:uid="{00000000-0010-0000-0A00-00000A000000}" name="9" totalsRowFunction="count" dataDxfId="124" totalsRowDxfId="123"/>
    <tableColumn id="11" xr3:uid="{00000000-0010-0000-0A00-00000B000000}" name="10" totalsRowFunction="count" dataDxfId="122" totalsRowDxfId="121"/>
    <tableColumn id="12" xr3:uid="{00000000-0010-0000-0A00-00000C000000}" name="11" totalsRowFunction="count" dataDxfId="120" totalsRowDxfId="119"/>
    <tableColumn id="13" xr3:uid="{00000000-0010-0000-0A00-00000D000000}" name="12" totalsRowFunction="count" dataDxfId="118" totalsRowDxfId="117"/>
    <tableColumn id="14" xr3:uid="{00000000-0010-0000-0A00-00000E000000}" name="13" totalsRowFunction="count" dataDxfId="116" totalsRowDxfId="115"/>
    <tableColumn id="15" xr3:uid="{00000000-0010-0000-0A00-00000F000000}" name="14" totalsRowFunction="count" dataDxfId="114" totalsRowDxfId="113"/>
    <tableColumn id="16" xr3:uid="{00000000-0010-0000-0A00-000010000000}" name="15" totalsRowFunction="count" dataDxfId="112" totalsRowDxfId="111"/>
    <tableColumn id="17" xr3:uid="{00000000-0010-0000-0A00-000011000000}" name="16" totalsRowFunction="count" dataDxfId="110" totalsRowDxfId="109"/>
    <tableColumn id="18" xr3:uid="{00000000-0010-0000-0A00-000012000000}" name="17" totalsRowFunction="count" dataDxfId="108" totalsRowDxfId="107"/>
    <tableColumn id="19" xr3:uid="{00000000-0010-0000-0A00-000013000000}" name="18" totalsRowFunction="count" dataDxfId="106" totalsRowDxfId="105"/>
    <tableColumn id="20" xr3:uid="{00000000-0010-0000-0A00-000014000000}" name="19" totalsRowFunction="count" dataDxfId="104" totalsRowDxfId="103"/>
    <tableColumn id="21" xr3:uid="{00000000-0010-0000-0A00-000015000000}" name="20" totalsRowFunction="count" dataDxfId="102" totalsRowDxfId="101"/>
    <tableColumn id="22" xr3:uid="{00000000-0010-0000-0A00-000016000000}" name="21" totalsRowFunction="count" dataDxfId="100" totalsRowDxfId="99"/>
    <tableColumn id="23" xr3:uid="{00000000-0010-0000-0A00-000017000000}" name="22" totalsRowFunction="count" dataDxfId="98" totalsRowDxfId="97"/>
    <tableColumn id="24" xr3:uid="{00000000-0010-0000-0A00-000018000000}" name="23" totalsRowFunction="count" dataDxfId="96" totalsRowDxfId="95"/>
    <tableColumn id="25" xr3:uid="{00000000-0010-0000-0A00-000019000000}" name="24" totalsRowFunction="count" dataDxfId="94" totalsRowDxfId="93"/>
    <tableColumn id="26" xr3:uid="{00000000-0010-0000-0A00-00001A000000}" name="25" totalsRowFunction="count" dataDxfId="92" totalsRowDxfId="91"/>
    <tableColumn id="27" xr3:uid="{00000000-0010-0000-0A00-00001B000000}" name="26" totalsRowFunction="count" dataDxfId="90" totalsRowDxfId="89"/>
    <tableColumn id="28" xr3:uid="{00000000-0010-0000-0A00-00001C000000}" name="27" totalsRowFunction="count" dataDxfId="88" totalsRowDxfId="87"/>
    <tableColumn id="29" xr3:uid="{00000000-0010-0000-0A00-00001D000000}" name="28" totalsRowFunction="count" dataDxfId="86" totalsRowDxfId="85"/>
    <tableColumn id="30" xr3:uid="{00000000-0010-0000-0A00-00001E000000}" name="29" totalsRowFunction="count" dataDxfId="84" totalsRowDxfId="83"/>
    <tableColumn id="31" xr3:uid="{00000000-0010-0000-0A00-00001F000000}" name="30" totalsRowFunction="count" dataDxfId="82" totalsRowDxfId="81"/>
    <tableColumn id="32" xr3:uid="{00000000-0010-0000-0A00-000020000000}" name=" " totalsRowFunction="count" dataDxfId="80" totalsRowDxfId="79"/>
    <tableColumn id="33" xr3:uid="{00000000-0010-0000-0A00-000021000000}" name="총 일수" totalsRowFunction="sum" dataDxfId="78" totalsRowDxfId="77">
      <calculatedColumnFormula>COUNTA(_11월[[#This Row],[1]:[30]])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12월" displayName="_12월" ref="B6:AH12" totalsRowCount="1" headerRowDxfId="71" dataDxfId="70" totalsRowDxfId="69">
  <tableColumns count="33">
    <tableColumn id="1" xr3:uid="{00000000-0010-0000-0B00-000001000000}" name="직원 이름" totalsRowFunction="custom" dataDxfId="68" totalsRowDxfId="67" dataCellStyle="직원">
      <totalsRowFormula>월이름&amp;" 요약"</totalsRowFormula>
    </tableColumn>
    <tableColumn id="2" xr3:uid="{00000000-0010-0000-0B00-000002000000}" name="1" totalsRowFunction="count" dataDxfId="66" totalsRowDxfId="65"/>
    <tableColumn id="3" xr3:uid="{00000000-0010-0000-0B00-000003000000}" name="2" totalsRowFunction="count" dataDxfId="64" totalsRowDxfId="63"/>
    <tableColumn id="4" xr3:uid="{00000000-0010-0000-0B00-000004000000}" name="3" totalsRowFunction="count" dataDxfId="62" totalsRowDxfId="61"/>
    <tableColumn id="5" xr3:uid="{00000000-0010-0000-0B00-000005000000}" name="4" totalsRowFunction="count" dataDxfId="60" totalsRowDxfId="59"/>
    <tableColumn id="6" xr3:uid="{00000000-0010-0000-0B00-000006000000}" name="5" totalsRowFunction="count" dataDxfId="58" totalsRowDxfId="57"/>
    <tableColumn id="7" xr3:uid="{00000000-0010-0000-0B00-000007000000}" name="6" totalsRowFunction="count" dataDxfId="56" totalsRowDxfId="55"/>
    <tableColumn id="8" xr3:uid="{00000000-0010-0000-0B00-000008000000}" name="7" totalsRowFunction="count" dataDxfId="54" totalsRowDxfId="53"/>
    <tableColumn id="9" xr3:uid="{00000000-0010-0000-0B00-000009000000}" name="8" totalsRowFunction="count" dataDxfId="52" totalsRowDxfId="51"/>
    <tableColumn id="10" xr3:uid="{00000000-0010-0000-0B00-00000A000000}" name="9" totalsRowFunction="count" dataDxfId="50" totalsRowDxfId="49"/>
    <tableColumn id="11" xr3:uid="{00000000-0010-0000-0B00-00000B000000}" name="10" totalsRowFunction="count" dataDxfId="48" totalsRowDxfId="47"/>
    <tableColumn id="12" xr3:uid="{00000000-0010-0000-0B00-00000C000000}" name="11" totalsRowFunction="count" dataDxfId="46" totalsRowDxfId="45"/>
    <tableColumn id="13" xr3:uid="{00000000-0010-0000-0B00-00000D000000}" name="12" totalsRowFunction="count" dataDxfId="44" totalsRowDxfId="43"/>
    <tableColumn id="14" xr3:uid="{00000000-0010-0000-0B00-00000E000000}" name="13" totalsRowFunction="count" dataDxfId="42" totalsRowDxfId="41"/>
    <tableColumn id="15" xr3:uid="{00000000-0010-0000-0B00-00000F000000}" name="14" totalsRowFunction="count" dataDxfId="40" totalsRowDxfId="39"/>
    <tableColumn id="16" xr3:uid="{00000000-0010-0000-0B00-000010000000}" name="15" totalsRowFunction="count" dataDxfId="38" totalsRowDxfId="37"/>
    <tableColumn id="17" xr3:uid="{00000000-0010-0000-0B00-000011000000}" name="16" totalsRowFunction="count" dataDxfId="36" totalsRowDxfId="35"/>
    <tableColumn id="18" xr3:uid="{00000000-0010-0000-0B00-000012000000}" name="17" totalsRowFunction="count" dataDxfId="34" totalsRowDxfId="33"/>
    <tableColumn id="19" xr3:uid="{00000000-0010-0000-0B00-000013000000}" name="18" totalsRowFunction="count" dataDxfId="32" totalsRowDxfId="31"/>
    <tableColumn id="20" xr3:uid="{00000000-0010-0000-0B00-000014000000}" name="19" totalsRowFunction="count" dataDxfId="30" totalsRowDxfId="29"/>
    <tableColumn id="21" xr3:uid="{00000000-0010-0000-0B00-000015000000}" name="20" totalsRowFunction="count" dataDxfId="28" totalsRowDxfId="27"/>
    <tableColumn id="22" xr3:uid="{00000000-0010-0000-0B00-000016000000}" name="21" totalsRowFunction="count" dataDxfId="26" totalsRowDxfId="25"/>
    <tableColumn id="23" xr3:uid="{00000000-0010-0000-0B00-000017000000}" name="22" totalsRowFunction="count" dataDxfId="24" totalsRowDxfId="23"/>
    <tableColumn id="24" xr3:uid="{00000000-0010-0000-0B00-000018000000}" name="23" totalsRowFunction="count" dataDxfId="22" totalsRowDxfId="21"/>
    <tableColumn id="25" xr3:uid="{00000000-0010-0000-0B00-000019000000}" name="24" totalsRowFunction="count" dataDxfId="20" totalsRowDxfId="19"/>
    <tableColumn id="26" xr3:uid="{00000000-0010-0000-0B00-00001A000000}" name="25" totalsRowFunction="count" dataDxfId="18" totalsRowDxfId="17"/>
    <tableColumn id="27" xr3:uid="{00000000-0010-0000-0B00-00001B000000}" name="26" totalsRowFunction="count" dataDxfId="16" totalsRowDxfId="15"/>
    <tableColumn id="28" xr3:uid="{00000000-0010-0000-0B00-00001C000000}" name="27" totalsRowFunction="count" dataDxfId="14" totalsRowDxfId="13"/>
    <tableColumn id="29" xr3:uid="{00000000-0010-0000-0B00-00001D000000}" name="28" totalsRowFunction="count" dataDxfId="12" totalsRowDxfId="11"/>
    <tableColumn id="30" xr3:uid="{00000000-0010-0000-0B00-00001E000000}" name="29" totalsRowFunction="count" dataDxfId="10" totalsRowDxfId="9"/>
    <tableColumn id="31" xr3:uid="{00000000-0010-0000-0B00-00001F000000}" name="30" totalsRowFunction="count" dataDxfId="8" totalsRowDxfId="7"/>
    <tableColumn id="32" xr3:uid="{00000000-0010-0000-0B00-000020000000}" name="31" totalsRowFunction="count" dataDxfId="6" totalsRowDxfId="5"/>
    <tableColumn id="33" xr3:uid="{00000000-0010-0000-0B00-000021000000}" name="총 일수" totalsRowFunction="sum" dataDxfId="4" totalsRowDxfId="3">
      <calculatedColumnFormula>COUNTA(_12월[[#This Row],[1]:[31]])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의 결근율 및 V=휴가, S=병가, P=개인 사유 휴가, 사용자 지정 항목에 대한 2개의 자리 표시자 등 특정 휴가 유형을 기록하기 위한 달력 날짜와 이름의 목록을 제공합니다.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직원이름" displayName="직원이름" ref="B3:B8" totalsRowShown="0" headerRowDxfId="2" dataDxfId="1">
  <autoFilter ref="B3:B8" xr:uid="{00000000-0009-0000-0100-00000D000000}"/>
  <tableColumns count="1">
    <tableColumn id="1" xr3:uid="{00000000-0010-0000-0C00-000001000000}" name="직원 이름" dataDxfId="0" dataCellStyle="직원"/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이 표에 직원 이름을 입력합니다. 이러한 이름은 매월 휴가 일정에서 B열에 옵션으로 사용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2월" displayName="_2월" ref="B6:AH12" totalsRowCount="1" headerRowDxfId="811" dataDxfId="810" totalsRowDxfId="809">
  <tableColumns count="33">
    <tableColumn id="1" xr3:uid="{00000000-0010-0000-0100-000001000000}" name="직원 이름" totalsRowFunction="custom" dataDxfId="808" totalsRowDxfId="807" dataCellStyle="직원">
      <totalsRowFormula>월이름&amp;" 요약"</totalsRowFormula>
    </tableColumn>
    <tableColumn id="2" xr3:uid="{00000000-0010-0000-0100-000002000000}" name="1" totalsRowFunction="count" dataDxfId="806" totalsRowDxfId="805"/>
    <tableColumn id="3" xr3:uid="{00000000-0010-0000-0100-000003000000}" name="2" totalsRowFunction="count" dataDxfId="804" totalsRowDxfId="803"/>
    <tableColumn id="4" xr3:uid="{00000000-0010-0000-0100-000004000000}" name="3" totalsRowFunction="count" dataDxfId="802" totalsRowDxfId="801"/>
    <tableColumn id="5" xr3:uid="{00000000-0010-0000-0100-000005000000}" name="4" totalsRowFunction="count" dataDxfId="800" totalsRowDxfId="799"/>
    <tableColumn id="6" xr3:uid="{00000000-0010-0000-0100-000006000000}" name="5" totalsRowFunction="count" dataDxfId="798" totalsRowDxfId="797"/>
    <tableColumn id="7" xr3:uid="{00000000-0010-0000-0100-000007000000}" name="6" totalsRowFunction="count" dataDxfId="796" totalsRowDxfId="795"/>
    <tableColumn id="8" xr3:uid="{00000000-0010-0000-0100-000008000000}" name="7" totalsRowFunction="count" dataDxfId="794" totalsRowDxfId="793"/>
    <tableColumn id="9" xr3:uid="{00000000-0010-0000-0100-000009000000}" name="8" totalsRowFunction="count" dataDxfId="792" totalsRowDxfId="791"/>
    <tableColumn id="10" xr3:uid="{00000000-0010-0000-0100-00000A000000}" name="9" totalsRowFunction="count" dataDxfId="790" totalsRowDxfId="789"/>
    <tableColumn id="11" xr3:uid="{00000000-0010-0000-0100-00000B000000}" name="10" totalsRowFunction="count" dataDxfId="788" totalsRowDxfId="787"/>
    <tableColumn id="12" xr3:uid="{00000000-0010-0000-0100-00000C000000}" name="11" totalsRowFunction="count" dataDxfId="786" totalsRowDxfId="785"/>
    <tableColumn id="13" xr3:uid="{00000000-0010-0000-0100-00000D000000}" name="12" totalsRowFunction="count" dataDxfId="784" totalsRowDxfId="783"/>
    <tableColumn id="14" xr3:uid="{00000000-0010-0000-0100-00000E000000}" name="13" totalsRowFunction="count" dataDxfId="782" totalsRowDxfId="781"/>
    <tableColumn id="15" xr3:uid="{00000000-0010-0000-0100-00000F000000}" name="14" totalsRowFunction="count" dataDxfId="780" totalsRowDxfId="779"/>
    <tableColumn id="16" xr3:uid="{00000000-0010-0000-0100-000010000000}" name="15" totalsRowFunction="count" dataDxfId="778" totalsRowDxfId="777"/>
    <tableColumn id="17" xr3:uid="{00000000-0010-0000-0100-000011000000}" name="16" totalsRowFunction="count" dataDxfId="776" totalsRowDxfId="775"/>
    <tableColumn id="18" xr3:uid="{00000000-0010-0000-0100-000012000000}" name="17" totalsRowFunction="count" dataDxfId="774" totalsRowDxfId="773"/>
    <tableColumn id="19" xr3:uid="{00000000-0010-0000-0100-000013000000}" name="18" totalsRowFunction="count" dataDxfId="772" totalsRowDxfId="771"/>
    <tableColumn id="20" xr3:uid="{00000000-0010-0000-0100-000014000000}" name="19" totalsRowFunction="count" dataDxfId="770" totalsRowDxfId="769"/>
    <tableColumn id="21" xr3:uid="{00000000-0010-0000-0100-000015000000}" name="20" totalsRowFunction="count" dataDxfId="768" totalsRowDxfId="767"/>
    <tableColumn id="22" xr3:uid="{00000000-0010-0000-0100-000016000000}" name="21" totalsRowFunction="count" dataDxfId="766" totalsRowDxfId="765"/>
    <tableColumn id="23" xr3:uid="{00000000-0010-0000-0100-000017000000}" name="22" totalsRowFunction="count" dataDxfId="764" totalsRowDxfId="763"/>
    <tableColumn id="24" xr3:uid="{00000000-0010-0000-0100-000018000000}" name="23" totalsRowFunction="count" dataDxfId="762" totalsRowDxfId="761"/>
    <tableColumn id="25" xr3:uid="{00000000-0010-0000-0100-000019000000}" name="24" totalsRowFunction="count" dataDxfId="760" totalsRowDxfId="759"/>
    <tableColumn id="26" xr3:uid="{00000000-0010-0000-0100-00001A000000}" name="25" totalsRowFunction="count" dataDxfId="758" totalsRowDxfId="757"/>
    <tableColumn id="27" xr3:uid="{00000000-0010-0000-0100-00001B000000}" name="26" totalsRowFunction="count" dataDxfId="756" totalsRowDxfId="755"/>
    <tableColumn id="28" xr3:uid="{00000000-0010-0000-0100-00001C000000}" name="27" totalsRowFunction="count" dataDxfId="754" totalsRowDxfId="753"/>
    <tableColumn id="29" xr3:uid="{00000000-0010-0000-0100-00001D000000}" name="28" totalsRowFunction="count" dataDxfId="752" totalsRowDxfId="751"/>
    <tableColumn id="30" xr3:uid="{00000000-0010-0000-0100-00001E000000}" name="29" totalsRowFunction="count" dataDxfId="750" totalsRowDxfId="749"/>
    <tableColumn id="31" xr3:uid="{00000000-0010-0000-0100-00001F000000}" name=" " dataDxfId="748" totalsRowDxfId="747"/>
    <tableColumn id="32" xr3:uid="{00000000-0010-0000-0100-000020000000}" name="  " dataDxfId="746" totalsRowDxfId="745"/>
    <tableColumn id="33" xr3:uid="{00000000-0010-0000-0100-000021000000}" name="총 일수" totalsRowFunction="sum" dataDxfId="744" totalsRowDxfId="743">
      <calculatedColumnFormula>COUNTA(_2월[[#This Row],[1]:[29]])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3월" displayName="_3월" ref="B6:AH12" totalsRowCount="1" headerRowDxfId="737" dataDxfId="736" totalsRowDxfId="735">
  <tableColumns count="33">
    <tableColumn id="1" xr3:uid="{00000000-0010-0000-0200-000001000000}" name="직원 이름" totalsRowFunction="custom" dataDxfId="734" totalsRowDxfId="733" dataCellStyle="직원">
      <totalsRowFormula>월이름&amp;" 요약"</totalsRowFormula>
    </tableColumn>
    <tableColumn id="2" xr3:uid="{00000000-0010-0000-0200-000002000000}" name="1" totalsRowFunction="count" dataDxfId="732" totalsRowDxfId="731"/>
    <tableColumn id="3" xr3:uid="{00000000-0010-0000-0200-000003000000}" name="2" totalsRowFunction="count" dataDxfId="730" totalsRowDxfId="729"/>
    <tableColumn id="4" xr3:uid="{00000000-0010-0000-0200-000004000000}" name="3" totalsRowFunction="count" dataDxfId="728" totalsRowDxfId="727"/>
    <tableColumn id="5" xr3:uid="{00000000-0010-0000-0200-000005000000}" name="4" totalsRowFunction="count" dataDxfId="726" totalsRowDxfId="725"/>
    <tableColumn id="6" xr3:uid="{00000000-0010-0000-0200-000006000000}" name="5" totalsRowFunction="count" dataDxfId="724" totalsRowDxfId="723"/>
    <tableColumn id="7" xr3:uid="{00000000-0010-0000-0200-000007000000}" name="6" totalsRowFunction="count" dataDxfId="722" totalsRowDxfId="721"/>
    <tableColumn id="8" xr3:uid="{00000000-0010-0000-0200-000008000000}" name="7" totalsRowFunction="count" dataDxfId="720" totalsRowDxfId="719"/>
    <tableColumn id="9" xr3:uid="{00000000-0010-0000-0200-000009000000}" name="8" totalsRowFunction="count" dataDxfId="718" totalsRowDxfId="717"/>
    <tableColumn id="10" xr3:uid="{00000000-0010-0000-0200-00000A000000}" name="9" totalsRowFunction="count" dataDxfId="716" totalsRowDxfId="715"/>
    <tableColumn id="11" xr3:uid="{00000000-0010-0000-0200-00000B000000}" name="10" totalsRowFunction="count" dataDxfId="714" totalsRowDxfId="713"/>
    <tableColumn id="12" xr3:uid="{00000000-0010-0000-0200-00000C000000}" name="11" totalsRowFunction="count" dataDxfId="712" totalsRowDxfId="711"/>
    <tableColumn id="13" xr3:uid="{00000000-0010-0000-0200-00000D000000}" name="12" totalsRowFunction="count" dataDxfId="710" totalsRowDxfId="709"/>
    <tableColumn id="14" xr3:uid="{00000000-0010-0000-0200-00000E000000}" name="13" totalsRowFunction="count" dataDxfId="708" totalsRowDxfId="707"/>
    <tableColumn id="15" xr3:uid="{00000000-0010-0000-0200-00000F000000}" name="14" totalsRowFunction="count" dataDxfId="706" totalsRowDxfId="705"/>
    <tableColumn id="16" xr3:uid="{00000000-0010-0000-0200-000010000000}" name="15" totalsRowFunction="count" dataDxfId="704" totalsRowDxfId="703"/>
    <tableColumn id="17" xr3:uid="{00000000-0010-0000-0200-000011000000}" name="16" totalsRowFunction="count" dataDxfId="702" totalsRowDxfId="701"/>
    <tableColumn id="18" xr3:uid="{00000000-0010-0000-0200-000012000000}" name="17" totalsRowFunction="count" dataDxfId="700" totalsRowDxfId="699"/>
    <tableColumn id="19" xr3:uid="{00000000-0010-0000-0200-000013000000}" name="18" totalsRowFunction="count" dataDxfId="698" totalsRowDxfId="697"/>
    <tableColumn id="20" xr3:uid="{00000000-0010-0000-0200-000014000000}" name="19" totalsRowFunction="count" dataDxfId="696" totalsRowDxfId="695"/>
    <tableColumn id="21" xr3:uid="{00000000-0010-0000-0200-000015000000}" name="20" totalsRowFunction="count" dataDxfId="694" totalsRowDxfId="693"/>
    <tableColumn id="22" xr3:uid="{00000000-0010-0000-0200-000016000000}" name="21" totalsRowFunction="count" dataDxfId="692" totalsRowDxfId="691"/>
    <tableColumn id="23" xr3:uid="{00000000-0010-0000-0200-000017000000}" name="22" totalsRowFunction="count" dataDxfId="690" totalsRowDxfId="689"/>
    <tableColumn id="24" xr3:uid="{00000000-0010-0000-0200-000018000000}" name="23" totalsRowFunction="count" dataDxfId="688" totalsRowDxfId="687"/>
    <tableColumn id="25" xr3:uid="{00000000-0010-0000-0200-000019000000}" name="24" totalsRowFunction="count" dataDxfId="686" totalsRowDxfId="685"/>
    <tableColumn id="26" xr3:uid="{00000000-0010-0000-0200-00001A000000}" name="25" totalsRowFunction="count" dataDxfId="684" totalsRowDxfId="683"/>
    <tableColumn id="27" xr3:uid="{00000000-0010-0000-0200-00001B000000}" name="26" totalsRowFunction="count" dataDxfId="682" totalsRowDxfId="681"/>
    <tableColumn id="28" xr3:uid="{00000000-0010-0000-0200-00001C000000}" name="27" totalsRowFunction="count" dataDxfId="680" totalsRowDxfId="679"/>
    <tableColumn id="29" xr3:uid="{00000000-0010-0000-0200-00001D000000}" name="28" totalsRowFunction="count" dataDxfId="678" totalsRowDxfId="677"/>
    <tableColumn id="30" xr3:uid="{00000000-0010-0000-0200-00001E000000}" name="29" totalsRowFunction="count" dataDxfId="676" totalsRowDxfId="675"/>
    <tableColumn id="31" xr3:uid="{00000000-0010-0000-0200-00001F000000}" name="30" totalsRowFunction="count" dataDxfId="674" totalsRowDxfId="673"/>
    <tableColumn id="32" xr3:uid="{00000000-0010-0000-0200-000020000000}" name="31" totalsRowFunction="count" dataDxfId="672" totalsRowDxfId="671"/>
    <tableColumn id="33" xr3:uid="{00000000-0010-0000-0200-000021000000}" name="총 일수" totalsRowFunction="sum" dataDxfId="670" totalsRowDxfId="669">
      <calculatedColumnFormula>COUNTA(_3월[[#This Row],[1]:[31]])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4월" displayName="_4월" ref="B6:AH12" totalsRowCount="1" headerRowDxfId="663" dataDxfId="662" totalsRowDxfId="661">
  <tableColumns count="33">
    <tableColumn id="1" xr3:uid="{00000000-0010-0000-0300-000001000000}" name="직원 이름" totalsRowFunction="custom" dataDxfId="660" totalsRowDxfId="659" dataCellStyle="직원">
      <totalsRowFormula>월이름&amp;" 요약"</totalsRowFormula>
    </tableColumn>
    <tableColumn id="2" xr3:uid="{00000000-0010-0000-0300-000002000000}" name="1" totalsRowFunction="count" dataDxfId="658" totalsRowDxfId="657"/>
    <tableColumn id="3" xr3:uid="{00000000-0010-0000-0300-000003000000}" name="2" totalsRowFunction="count" dataDxfId="656" totalsRowDxfId="655"/>
    <tableColumn id="4" xr3:uid="{00000000-0010-0000-0300-000004000000}" name="3" totalsRowFunction="count" dataDxfId="654" totalsRowDxfId="653"/>
    <tableColumn id="5" xr3:uid="{00000000-0010-0000-0300-000005000000}" name="4" totalsRowFunction="count" dataDxfId="652" totalsRowDxfId="651"/>
    <tableColumn id="6" xr3:uid="{00000000-0010-0000-0300-000006000000}" name="5" totalsRowFunction="count" dataDxfId="650" totalsRowDxfId="649"/>
    <tableColumn id="7" xr3:uid="{00000000-0010-0000-0300-000007000000}" name="6" totalsRowFunction="count" dataDxfId="648" totalsRowDxfId="647"/>
    <tableColumn id="8" xr3:uid="{00000000-0010-0000-0300-000008000000}" name="7" totalsRowFunction="count" dataDxfId="646" totalsRowDxfId="645"/>
    <tableColumn id="9" xr3:uid="{00000000-0010-0000-0300-000009000000}" name="8" totalsRowFunction="count" dataDxfId="644" totalsRowDxfId="643"/>
    <tableColumn id="10" xr3:uid="{00000000-0010-0000-0300-00000A000000}" name="9" totalsRowFunction="count" dataDxfId="642" totalsRowDxfId="641"/>
    <tableColumn id="11" xr3:uid="{00000000-0010-0000-0300-00000B000000}" name="10" totalsRowFunction="count" dataDxfId="640" totalsRowDxfId="639"/>
    <tableColumn id="12" xr3:uid="{00000000-0010-0000-0300-00000C000000}" name="11" totalsRowFunction="count" dataDxfId="638" totalsRowDxfId="637"/>
    <tableColumn id="13" xr3:uid="{00000000-0010-0000-0300-00000D000000}" name="12" totalsRowFunction="count" dataDxfId="636" totalsRowDxfId="635"/>
    <tableColumn id="14" xr3:uid="{00000000-0010-0000-0300-00000E000000}" name="13" totalsRowFunction="count" dataDxfId="634" totalsRowDxfId="633"/>
    <tableColumn id="15" xr3:uid="{00000000-0010-0000-0300-00000F000000}" name="14" totalsRowFunction="count" dataDxfId="632" totalsRowDxfId="631"/>
    <tableColumn id="16" xr3:uid="{00000000-0010-0000-0300-000010000000}" name="15" totalsRowFunction="count" dataDxfId="630" totalsRowDxfId="629"/>
    <tableColumn id="17" xr3:uid="{00000000-0010-0000-0300-000011000000}" name="16" totalsRowFunction="count" dataDxfId="628" totalsRowDxfId="627"/>
    <tableColumn id="18" xr3:uid="{00000000-0010-0000-0300-000012000000}" name="17" totalsRowFunction="count" dataDxfId="626" totalsRowDxfId="625"/>
    <tableColumn id="19" xr3:uid="{00000000-0010-0000-0300-000013000000}" name="18" totalsRowFunction="count" dataDxfId="624" totalsRowDxfId="623"/>
    <tableColumn id="20" xr3:uid="{00000000-0010-0000-0300-000014000000}" name="19" totalsRowFunction="count" dataDxfId="622" totalsRowDxfId="621"/>
    <tableColumn id="21" xr3:uid="{00000000-0010-0000-0300-000015000000}" name="20" totalsRowFunction="count" dataDxfId="620" totalsRowDxfId="619"/>
    <tableColumn id="22" xr3:uid="{00000000-0010-0000-0300-000016000000}" name="21" totalsRowFunction="count" dataDxfId="618" totalsRowDxfId="617"/>
    <tableColumn id="23" xr3:uid="{00000000-0010-0000-0300-000017000000}" name="22" totalsRowFunction="count" dataDxfId="616" totalsRowDxfId="615"/>
    <tableColumn id="24" xr3:uid="{00000000-0010-0000-0300-000018000000}" name="23" totalsRowFunction="count" dataDxfId="614" totalsRowDxfId="613"/>
    <tableColumn id="25" xr3:uid="{00000000-0010-0000-0300-000019000000}" name="24" totalsRowFunction="count" dataDxfId="612" totalsRowDxfId="611"/>
    <tableColumn id="26" xr3:uid="{00000000-0010-0000-0300-00001A000000}" name="25" totalsRowFunction="count" dataDxfId="610" totalsRowDxfId="609"/>
    <tableColumn id="27" xr3:uid="{00000000-0010-0000-0300-00001B000000}" name="26" totalsRowFunction="count" dataDxfId="608" totalsRowDxfId="607"/>
    <tableColumn id="28" xr3:uid="{00000000-0010-0000-0300-00001C000000}" name="27" totalsRowFunction="count" dataDxfId="606" totalsRowDxfId="605"/>
    <tableColumn id="29" xr3:uid="{00000000-0010-0000-0300-00001D000000}" name="28" totalsRowFunction="count" dataDxfId="604" totalsRowDxfId="603"/>
    <tableColumn id="30" xr3:uid="{00000000-0010-0000-0300-00001E000000}" name="29" totalsRowFunction="count" dataDxfId="602" totalsRowDxfId="601"/>
    <tableColumn id="31" xr3:uid="{00000000-0010-0000-0300-00001F000000}" name="30" totalsRowFunction="count" dataDxfId="600" totalsRowDxfId="599"/>
    <tableColumn id="32" xr3:uid="{00000000-0010-0000-0300-000020000000}" name=" " totalsRowFunction="count" dataDxfId="598" totalsRowDxfId="597"/>
    <tableColumn id="33" xr3:uid="{00000000-0010-0000-0300-000021000000}" name="총 일수" totalsRowFunction="sum" dataDxfId="596" totalsRowDxfId="595">
      <calculatedColumnFormula>COUNTA(_4월[[#This Row],[1]:[30]])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5월" displayName="_5월" ref="B6:AH12" totalsRowCount="1" headerRowDxfId="589" dataDxfId="588" totalsRowDxfId="587">
  <tableColumns count="33">
    <tableColumn id="1" xr3:uid="{00000000-0010-0000-0400-000001000000}" name="직원 이름" totalsRowFunction="custom" dataDxfId="586" totalsRowDxfId="585" dataCellStyle="직원">
      <totalsRowFormula>월이름&amp;" 요약"</totalsRowFormula>
    </tableColumn>
    <tableColumn id="2" xr3:uid="{00000000-0010-0000-0400-000002000000}" name="1" totalsRowFunction="count" dataDxfId="584" totalsRowDxfId="583"/>
    <tableColumn id="3" xr3:uid="{00000000-0010-0000-0400-000003000000}" name="2" totalsRowFunction="count" dataDxfId="582" totalsRowDxfId="581"/>
    <tableColumn id="4" xr3:uid="{00000000-0010-0000-0400-000004000000}" name="3" totalsRowFunction="count" dataDxfId="580" totalsRowDxfId="579"/>
    <tableColumn id="5" xr3:uid="{00000000-0010-0000-0400-000005000000}" name="4" totalsRowFunction="count" dataDxfId="578" totalsRowDxfId="577"/>
    <tableColumn id="6" xr3:uid="{00000000-0010-0000-0400-000006000000}" name="5" totalsRowFunction="count" dataDxfId="576" totalsRowDxfId="575"/>
    <tableColumn id="7" xr3:uid="{00000000-0010-0000-0400-000007000000}" name="6" totalsRowFunction="count" dataDxfId="574" totalsRowDxfId="573"/>
    <tableColumn id="8" xr3:uid="{00000000-0010-0000-0400-000008000000}" name="7" totalsRowFunction="count" dataDxfId="572" totalsRowDxfId="571"/>
    <tableColumn id="9" xr3:uid="{00000000-0010-0000-0400-000009000000}" name="8" totalsRowFunction="count" dataDxfId="570" totalsRowDxfId="569"/>
    <tableColumn id="10" xr3:uid="{00000000-0010-0000-0400-00000A000000}" name="9" totalsRowFunction="count" dataDxfId="568" totalsRowDxfId="567"/>
    <tableColumn id="11" xr3:uid="{00000000-0010-0000-0400-00000B000000}" name="10" totalsRowFunction="count" dataDxfId="566" totalsRowDxfId="565"/>
    <tableColumn id="12" xr3:uid="{00000000-0010-0000-0400-00000C000000}" name="11" totalsRowFunction="count" dataDxfId="564" totalsRowDxfId="563"/>
    <tableColumn id="13" xr3:uid="{00000000-0010-0000-0400-00000D000000}" name="12" totalsRowFunction="count" dataDxfId="562" totalsRowDxfId="561"/>
    <tableColumn id="14" xr3:uid="{00000000-0010-0000-0400-00000E000000}" name="13" totalsRowFunction="count" dataDxfId="560" totalsRowDxfId="559"/>
    <tableColumn id="15" xr3:uid="{00000000-0010-0000-0400-00000F000000}" name="14" totalsRowFunction="count" dataDxfId="558" totalsRowDxfId="557"/>
    <tableColumn id="16" xr3:uid="{00000000-0010-0000-0400-000010000000}" name="15" totalsRowFunction="count" dataDxfId="556" totalsRowDxfId="555"/>
    <tableColumn id="17" xr3:uid="{00000000-0010-0000-0400-000011000000}" name="16" totalsRowFunction="count" dataDxfId="554" totalsRowDxfId="553"/>
    <tableColumn id="18" xr3:uid="{00000000-0010-0000-0400-000012000000}" name="17" totalsRowFunction="count" dataDxfId="552" totalsRowDxfId="551"/>
    <tableColumn id="19" xr3:uid="{00000000-0010-0000-0400-000013000000}" name="18" totalsRowFunction="count" dataDxfId="550" totalsRowDxfId="549"/>
    <tableColumn id="20" xr3:uid="{00000000-0010-0000-0400-000014000000}" name="19" totalsRowFunction="count" dataDxfId="548" totalsRowDxfId="547"/>
    <tableColumn id="21" xr3:uid="{00000000-0010-0000-0400-000015000000}" name="20" totalsRowFunction="count" dataDxfId="546" totalsRowDxfId="545"/>
    <tableColumn id="22" xr3:uid="{00000000-0010-0000-0400-000016000000}" name="21" totalsRowFunction="count" dataDxfId="544" totalsRowDxfId="543"/>
    <tableColumn id="23" xr3:uid="{00000000-0010-0000-0400-000017000000}" name="22" totalsRowFunction="count" dataDxfId="542" totalsRowDxfId="541"/>
    <tableColumn id="24" xr3:uid="{00000000-0010-0000-0400-000018000000}" name="23" totalsRowFunction="count" dataDxfId="540" totalsRowDxfId="539"/>
    <tableColumn id="25" xr3:uid="{00000000-0010-0000-0400-000019000000}" name="24" totalsRowFunction="count" dataDxfId="538" totalsRowDxfId="537"/>
    <tableColumn id="26" xr3:uid="{00000000-0010-0000-0400-00001A000000}" name="25" totalsRowFunction="count" dataDxfId="536" totalsRowDxfId="535"/>
    <tableColumn id="27" xr3:uid="{00000000-0010-0000-0400-00001B000000}" name="26" totalsRowFunction="count" dataDxfId="534" totalsRowDxfId="533"/>
    <tableColumn id="28" xr3:uid="{00000000-0010-0000-0400-00001C000000}" name="27" totalsRowFunction="count" dataDxfId="532" totalsRowDxfId="531"/>
    <tableColumn id="29" xr3:uid="{00000000-0010-0000-0400-00001D000000}" name="28" totalsRowFunction="count" dataDxfId="530" totalsRowDxfId="529"/>
    <tableColumn id="30" xr3:uid="{00000000-0010-0000-0400-00001E000000}" name="29" totalsRowFunction="count" dataDxfId="528" totalsRowDxfId="527"/>
    <tableColumn id="31" xr3:uid="{00000000-0010-0000-0400-00001F000000}" name="30" totalsRowFunction="count" dataDxfId="526" totalsRowDxfId="525"/>
    <tableColumn id="32" xr3:uid="{00000000-0010-0000-0400-000020000000}" name="31" totalsRowFunction="count" dataDxfId="524" totalsRowDxfId="523"/>
    <tableColumn id="33" xr3:uid="{00000000-0010-0000-0400-000021000000}" name="총 일수" totalsRowFunction="sum" dataDxfId="522" totalsRowDxfId="521">
      <calculatedColumnFormula>COUNTA(_5월[[#This Row],[1]:[31]])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6월" displayName="_6월" ref="B6:AH12" totalsRowCount="1" headerRowDxfId="515" dataDxfId="514" totalsRowDxfId="513">
  <tableColumns count="33">
    <tableColumn id="1" xr3:uid="{00000000-0010-0000-0500-000001000000}" name="직원 이름" totalsRowFunction="custom" dataDxfId="512" totalsRowDxfId="511" dataCellStyle="직원">
      <totalsRowFormula>월이름&amp;" 요약"</totalsRowFormula>
    </tableColumn>
    <tableColumn id="2" xr3:uid="{00000000-0010-0000-0500-000002000000}" name="1" totalsRowFunction="count" dataDxfId="510" totalsRowDxfId="509"/>
    <tableColumn id="3" xr3:uid="{00000000-0010-0000-0500-000003000000}" name="2" totalsRowFunction="count" dataDxfId="508" totalsRowDxfId="507"/>
    <tableColumn id="4" xr3:uid="{00000000-0010-0000-0500-000004000000}" name="3" totalsRowFunction="count" dataDxfId="506" totalsRowDxfId="505"/>
    <tableColumn id="5" xr3:uid="{00000000-0010-0000-0500-000005000000}" name="4" totalsRowFunction="count" dataDxfId="504" totalsRowDxfId="503"/>
    <tableColumn id="6" xr3:uid="{00000000-0010-0000-0500-000006000000}" name="5" totalsRowFunction="count" dataDxfId="502" totalsRowDxfId="501"/>
    <tableColumn id="7" xr3:uid="{00000000-0010-0000-0500-000007000000}" name="6" totalsRowFunction="count" dataDxfId="500" totalsRowDxfId="499"/>
    <tableColumn id="8" xr3:uid="{00000000-0010-0000-0500-000008000000}" name="7" totalsRowFunction="count" dataDxfId="498" totalsRowDxfId="497"/>
    <tableColumn id="9" xr3:uid="{00000000-0010-0000-0500-000009000000}" name="8" totalsRowFunction="count" dataDxfId="496" totalsRowDxfId="495"/>
    <tableColumn id="10" xr3:uid="{00000000-0010-0000-0500-00000A000000}" name="9" totalsRowFunction="count" dataDxfId="494" totalsRowDxfId="493"/>
    <tableColumn id="11" xr3:uid="{00000000-0010-0000-0500-00000B000000}" name="10" totalsRowFunction="count" dataDxfId="492" totalsRowDxfId="491"/>
    <tableColumn id="12" xr3:uid="{00000000-0010-0000-0500-00000C000000}" name="11" totalsRowFunction="count" dataDxfId="490" totalsRowDxfId="489"/>
    <tableColumn id="13" xr3:uid="{00000000-0010-0000-0500-00000D000000}" name="12" totalsRowFunction="count" dataDxfId="488" totalsRowDxfId="487"/>
    <tableColumn id="14" xr3:uid="{00000000-0010-0000-0500-00000E000000}" name="13" totalsRowFunction="count" dataDxfId="486" totalsRowDxfId="485"/>
    <tableColumn id="15" xr3:uid="{00000000-0010-0000-0500-00000F000000}" name="14" totalsRowFunction="count" dataDxfId="484" totalsRowDxfId="483"/>
    <tableColumn id="16" xr3:uid="{00000000-0010-0000-0500-000010000000}" name="15" totalsRowFunction="count" dataDxfId="482" totalsRowDxfId="481"/>
    <tableColumn id="17" xr3:uid="{00000000-0010-0000-0500-000011000000}" name="16" totalsRowFunction="count" dataDxfId="480" totalsRowDxfId="479"/>
    <tableColumn id="18" xr3:uid="{00000000-0010-0000-0500-000012000000}" name="17" totalsRowFunction="count" dataDxfId="478" totalsRowDxfId="477"/>
    <tableColumn id="19" xr3:uid="{00000000-0010-0000-0500-000013000000}" name="18" totalsRowFunction="count" dataDxfId="476" totalsRowDxfId="475"/>
    <tableColumn id="20" xr3:uid="{00000000-0010-0000-0500-000014000000}" name="19" totalsRowFunction="count" dataDxfId="474" totalsRowDxfId="473"/>
    <tableColumn id="21" xr3:uid="{00000000-0010-0000-0500-000015000000}" name="20" totalsRowFunction="count" dataDxfId="472" totalsRowDxfId="471"/>
    <tableColumn id="22" xr3:uid="{00000000-0010-0000-0500-000016000000}" name="21" totalsRowFunction="count" dataDxfId="470" totalsRowDxfId="469"/>
    <tableColumn id="23" xr3:uid="{00000000-0010-0000-0500-000017000000}" name="22" totalsRowFunction="count" dataDxfId="468" totalsRowDxfId="467"/>
    <tableColumn id="24" xr3:uid="{00000000-0010-0000-0500-000018000000}" name="23" totalsRowFunction="count" dataDxfId="466" totalsRowDxfId="465"/>
    <tableColumn id="25" xr3:uid="{00000000-0010-0000-0500-000019000000}" name="24" totalsRowFunction="count" dataDxfId="464" totalsRowDxfId="463"/>
    <tableColumn id="26" xr3:uid="{00000000-0010-0000-0500-00001A000000}" name="25" totalsRowFunction="count" dataDxfId="462" totalsRowDxfId="461"/>
    <tableColumn id="27" xr3:uid="{00000000-0010-0000-0500-00001B000000}" name="26" totalsRowFunction="count" dataDxfId="460" totalsRowDxfId="459"/>
    <tableColumn id="28" xr3:uid="{00000000-0010-0000-0500-00001C000000}" name="27" totalsRowFunction="count" dataDxfId="458" totalsRowDxfId="457"/>
    <tableColumn id="29" xr3:uid="{00000000-0010-0000-0500-00001D000000}" name="28" totalsRowFunction="count" dataDxfId="456" totalsRowDxfId="455"/>
    <tableColumn id="30" xr3:uid="{00000000-0010-0000-0500-00001E000000}" name="29" totalsRowFunction="count" dataDxfId="454" totalsRowDxfId="453"/>
    <tableColumn id="31" xr3:uid="{00000000-0010-0000-0500-00001F000000}" name="30" totalsRowFunction="count" dataDxfId="452" totalsRowDxfId="451"/>
    <tableColumn id="32" xr3:uid="{00000000-0010-0000-0500-000020000000}" name=" " totalsRowFunction="count" dataDxfId="450" totalsRowDxfId="449"/>
    <tableColumn id="33" xr3:uid="{00000000-0010-0000-0500-000021000000}" name="총 일수" totalsRowFunction="sum" dataDxfId="448" totalsRowDxfId="447">
      <calculatedColumnFormula>COUNTA(_6월[[#This Row],[1]:[30]])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7월" displayName="_7월" ref="B6:AH12" totalsRowCount="1" headerRowDxfId="441" dataDxfId="440" totalsRowDxfId="439">
  <tableColumns count="33">
    <tableColumn id="1" xr3:uid="{00000000-0010-0000-0600-000001000000}" name="직원 이름" totalsRowFunction="custom" dataDxfId="438" totalsRowDxfId="437" dataCellStyle="직원">
      <totalsRowFormula>월이름&amp;" 요약"</totalsRowFormula>
    </tableColumn>
    <tableColumn id="2" xr3:uid="{00000000-0010-0000-0600-000002000000}" name="1" totalsRowFunction="count" dataDxfId="436" totalsRowDxfId="435"/>
    <tableColumn id="3" xr3:uid="{00000000-0010-0000-0600-000003000000}" name="2" totalsRowFunction="count" dataDxfId="434" totalsRowDxfId="433"/>
    <tableColumn id="4" xr3:uid="{00000000-0010-0000-0600-000004000000}" name="3" totalsRowFunction="count" dataDxfId="432" totalsRowDxfId="431"/>
    <tableColumn id="5" xr3:uid="{00000000-0010-0000-0600-000005000000}" name="4" totalsRowFunction="count" dataDxfId="430" totalsRowDxfId="429"/>
    <tableColumn id="6" xr3:uid="{00000000-0010-0000-0600-000006000000}" name="5" totalsRowFunction="count" dataDxfId="428" totalsRowDxfId="427"/>
    <tableColumn id="7" xr3:uid="{00000000-0010-0000-0600-000007000000}" name="6" totalsRowFunction="count" dataDxfId="426" totalsRowDxfId="425"/>
    <tableColumn id="8" xr3:uid="{00000000-0010-0000-0600-000008000000}" name="7" totalsRowFunction="count" dataDxfId="424" totalsRowDxfId="423"/>
    <tableColumn id="9" xr3:uid="{00000000-0010-0000-0600-000009000000}" name="8" totalsRowFunction="count" dataDxfId="422" totalsRowDxfId="421"/>
    <tableColumn id="10" xr3:uid="{00000000-0010-0000-0600-00000A000000}" name="9" totalsRowFunction="count" dataDxfId="420" totalsRowDxfId="419"/>
    <tableColumn id="11" xr3:uid="{00000000-0010-0000-0600-00000B000000}" name="10" totalsRowFunction="count" dataDxfId="418" totalsRowDxfId="417"/>
    <tableColumn id="12" xr3:uid="{00000000-0010-0000-0600-00000C000000}" name="11" totalsRowFunction="count" dataDxfId="416" totalsRowDxfId="415"/>
    <tableColumn id="13" xr3:uid="{00000000-0010-0000-0600-00000D000000}" name="12" totalsRowFunction="count" dataDxfId="414" totalsRowDxfId="413"/>
    <tableColumn id="14" xr3:uid="{00000000-0010-0000-0600-00000E000000}" name="13" totalsRowFunction="count" dataDxfId="412" totalsRowDxfId="411"/>
    <tableColumn id="15" xr3:uid="{00000000-0010-0000-0600-00000F000000}" name="14" totalsRowFunction="count" dataDxfId="410" totalsRowDxfId="409"/>
    <tableColumn id="16" xr3:uid="{00000000-0010-0000-0600-000010000000}" name="15" totalsRowFunction="count" dataDxfId="408" totalsRowDxfId="407"/>
    <tableColumn id="17" xr3:uid="{00000000-0010-0000-0600-000011000000}" name="16" totalsRowFunction="count" dataDxfId="406" totalsRowDxfId="405"/>
    <tableColumn id="18" xr3:uid="{00000000-0010-0000-0600-000012000000}" name="17" totalsRowFunction="count" dataDxfId="404" totalsRowDxfId="403"/>
    <tableColumn id="19" xr3:uid="{00000000-0010-0000-0600-000013000000}" name="18" totalsRowFunction="count" dataDxfId="402" totalsRowDxfId="401"/>
    <tableColumn id="20" xr3:uid="{00000000-0010-0000-0600-000014000000}" name="19" totalsRowFunction="count" dataDxfId="400" totalsRowDxfId="399"/>
    <tableColumn id="21" xr3:uid="{00000000-0010-0000-0600-000015000000}" name="20" totalsRowFunction="count" dataDxfId="398" totalsRowDxfId="397"/>
    <tableColumn id="22" xr3:uid="{00000000-0010-0000-0600-000016000000}" name="21" totalsRowFunction="count" dataDxfId="396" totalsRowDxfId="395"/>
    <tableColumn id="23" xr3:uid="{00000000-0010-0000-0600-000017000000}" name="22" totalsRowFunction="count" dataDxfId="394" totalsRowDxfId="393"/>
    <tableColumn id="24" xr3:uid="{00000000-0010-0000-0600-000018000000}" name="23" totalsRowFunction="count" dataDxfId="392" totalsRowDxfId="391"/>
    <tableColumn id="25" xr3:uid="{00000000-0010-0000-0600-000019000000}" name="24" totalsRowFunction="count" dataDxfId="390" totalsRowDxfId="389"/>
    <tableColumn id="26" xr3:uid="{00000000-0010-0000-0600-00001A000000}" name="25" totalsRowFunction="count" dataDxfId="388" totalsRowDxfId="387"/>
    <tableColumn id="27" xr3:uid="{00000000-0010-0000-0600-00001B000000}" name="26" totalsRowFunction="count" dataDxfId="386" totalsRowDxfId="385"/>
    <tableColumn id="28" xr3:uid="{00000000-0010-0000-0600-00001C000000}" name="27" totalsRowFunction="count" dataDxfId="384" totalsRowDxfId="383"/>
    <tableColumn id="29" xr3:uid="{00000000-0010-0000-0600-00001D000000}" name="28" totalsRowFunction="count" dataDxfId="382" totalsRowDxfId="381"/>
    <tableColumn id="30" xr3:uid="{00000000-0010-0000-0600-00001E000000}" name="29" totalsRowFunction="count" dataDxfId="380" totalsRowDxfId="379"/>
    <tableColumn id="31" xr3:uid="{00000000-0010-0000-0600-00001F000000}" name="30" totalsRowFunction="count" dataDxfId="378" totalsRowDxfId="377"/>
    <tableColumn id="32" xr3:uid="{00000000-0010-0000-0600-000020000000}" name="31" totalsRowFunction="count" dataDxfId="376" totalsRowDxfId="375"/>
    <tableColumn id="33" xr3:uid="{00000000-0010-0000-0600-000021000000}" name="총 일수" totalsRowFunction="sum" dataDxfId="374" totalsRowDxfId="373">
      <calculatedColumnFormula>COUNTA(_7월[[#This Row],[1]:[31]])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8월" displayName="_8월" ref="B6:AH12" totalsRowCount="1" headerRowDxfId="367" dataDxfId="366" totalsRowDxfId="365">
  <tableColumns count="33">
    <tableColumn id="1" xr3:uid="{00000000-0010-0000-0700-000001000000}" name="직원 이름" totalsRowFunction="custom" dataDxfId="364" totalsRowDxfId="363" dataCellStyle="직원">
      <totalsRowFormula>월이름&amp;" 요약"</totalsRowFormula>
    </tableColumn>
    <tableColumn id="2" xr3:uid="{00000000-0010-0000-0700-000002000000}" name="1" totalsRowFunction="count" dataDxfId="362" totalsRowDxfId="361"/>
    <tableColumn id="3" xr3:uid="{00000000-0010-0000-0700-000003000000}" name="2" totalsRowFunction="count" dataDxfId="360" totalsRowDxfId="359"/>
    <tableColumn id="4" xr3:uid="{00000000-0010-0000-0700-000004000000}" name="3" totalsRowFunction="count" dataDxfId="358" totalsRowDxfId="357"/>
    <tableColumn id="5" xr3:uid="{00000000-0010-0000-0700-000005000000}" name="4" totalsRowFunction="count" dataDxfId="356" totalsRowDxfId="355"/>
    <tableColumn id="6" xr3:uid="{00000000-0010-0000-0700-000006000000}" name="5" totalsRowFunction="count" dataDxfId="354" totalsRowDxfId="353"/>
    <tableColumn id="7" xr3:uid="{00000000-0010-0000-0700-000007000000}" name="6" totalsRowFunction="count" dataDxfId="352" totalsRowDxfId="351"/>
    <tableColumn id="8" xr3:uid="{00000000-0010-0000-0700-000008000000}" name="7" totalsRowFunction="count" dataDxfId="350" totalsRowDxfId="349"/>
    <tableColumn id="9" xr3:uid="{00000000-0010-0000-0700-000009000000}" name="8" totalsRowFunction="count" dataDxfId="348" totalsRowDxfId="347"/>
    <tableColumn id="10" xr3:uid="{00000000-0010-0000-0700-00000A000000}" name="9" totalsRowFunction="count" dataDxfId="346" totalsRowDxfId="345"/>
    <tableColumn id="11" xr3:uid="{00000000-0010-0000-0700-00000B000000}" name="10" totalsRowFunction="count" dataDxfId="344" totalsRowDxfId="343"/>
    <tableColumn id="12" xr3:uid="{00000000-0010-0000-0700-00000C000000}" name="11" totalsRowFunction="count" dataDxfId="342" totalsRowDxfId="341"/>
    <tableColumn id="13" xr3:uid="{00000000-0010-0000-0700-00000D000000}" name="12" totalsRowFunction="count" dataDxfId="340" totalsRowDxfId="339"/>
    <tableColumn id="14" xr3:uid="{00000000-0010-0000-0700-00000E000000}" name="13" totalsRowFunction="count" dataDxfId="338" totalsRowDxfId="337"/>
    <tableColumn id="15" xr3:uid="{00000000-0010-0000-0700-00000F000000}" name="14" totalsRowFunction="count" dataDxfId="336" totalsRowDxfId="335"/>
    <tableColumn id="16" xr3:uid="{00000000-0010-0000-0700-000010000000}" name="15" totalsRowFunction="count" dataDxfId="334" totalsRowDxfId="333"/>
    <tableColumn id="17" xr3:uid="{00000000-0010-0000-0700-000011000000}" name="16" totalsRowFunction="count" dataDxfId="332" totalsRowDxfId="331"/>
    <tableColumn id="18" xr3:uid="{00000000-0010-0000-0700-000012000000}" name="17" totalsRowFunction="count" dataDxfId="330" totalsRowDxfId="329"/>
    <tableColumn id="19" xr3:uid="{00000000-0010-0000-0700-000013000000}" name="18" totalsRowFunction="count" dataDxfId="328" totalsRowDxfId="327"/>
    <tableColumn id="20" xr3:uid="{00000000-0010-0000-0700-000014000000}" name="19" totalsRowFunction="count" dataDxfId="326" totalsRowDxfId="325"/>
    <tableColumn id="21" xr3:uid="{00000000-0010-0000-0700-000015000000}" name="20" totalsRowFunction="count" dataDxfId="324" totalsRowDxfId="323"/>
    <tableColumn id="22" xr3:uid="{00000000-0010-0000-0700-000016000000}" name="21" totalsRowFunction="count" dataDxfId="322" totalsRowDxfId="321"/>
    <tableColumn id="23" xr3:uid="{00000000-0010-0000-0700-000017000000}" name="22" totalsRowFunction="count" dataDxfId="320" totalsRowDxfId="319"/>
    <tableColumn id="24" xr3:uid="{00000000-0010-0000-0700-000018000000}" name="23" totalsRowFunction="count" dataDxfId="318" totalsRowDxfId="317"/>
    <tableColumn id="25" xr3:uid="{00000000-0010-0000-0700-000019000000}" name="24" totalsRowFunction="count" dataDxfId="316" totalsRowDxfId="315"/>
    <tableColumn id="26" xr3:uid="{00000000-0010-0000-0700-00001A000000}" name="25" totalsRowFunction="count" dataDxfId="314" totalsRowDxfId="313"/>
    <tableColumn id="27" xr3:uid="{00000000-0010-0000-0700-00001B000000}" name="26" totalsRowFunction="count" dataDxfId="312" totalsRowDxfId="311"/>
    <tableColumn id="28" xr3:uid="{00000000-0010-0000-0700-00001C000000}" name="27" totalsRowFunction="count" dataDxfId="310" totalsRowDxfId="309"/>
    <tableColumn id="29" xr3:uid="{00000000-0010-0000-0700-00001D000000}" name="28" totalsRowFunction="count" dataDxfId="308" totalsRowDxfId="307"/>
    <tableColumn id="30" xr3:uid="{00000000-0010-0000-0700-00001E000000}" name="29" totalsRowFunction="count" dataDxfId="306" totalsRowDxfId="305"/>
    <tableColumn id="31" xr3:uid="{00000000-0010-0000-0700-00001F000000}" name="30" totalsRowFunction="count" dataDxfId="304" totalsRowDxfId="303"/>
    <tableColumn id="32" xr3:uid="{00000000-0010-0000-0700-000020000000}" name="31" totalsRowFunction="count" dataDxfId="302" totalsRowDxfId="301"/>
    <tableColumn id="33" xr3:uid="{00000000-0010-0000-0700-000021000000}" name="총 일수" totalsRowFunction="sum" dataDxfId="300" totalsRowDxfId="299">
      <calculatedColumnFormula>COUNTA(_8월[[#This Row],[1]:[31]])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9월" displayName="_9월" ref="B6:AH12" totalsRowCount="1" headerRowDxfId="293" dataDxfId="292" totalsRowDxfId="291">
  <tableColumns count="33">
    <tableColumn id="1" xr3:uid="{00000000-0010-0000-0800-000001000000}" name="직원 이름" totalsRowFunction="custom" dataDxfId="290" totalsRowDxfId="289" dataCellStyle="직원">
      <totalsRowFormula>월이름&amp;" 요약"</totalsRowFormula>
    </tableColumn>
    <tableColumn id="2" xr3:uid="{00000000-0010-0000-0800-000002000000}" name="1" totalsRowFunction="count" dataDxfId="288" totalsRowDxfId="287"/>
    <tableColumn id="3" xr3:uid="{00000000-0010-0000-0800-000003000000}" name="2" totalsRowFunction="count" dataDxfId="286" totalsRowDxfId="285"/>
    <tableColumn id="4" xr3:uid="{00000000-0010-0000-0800-000004000000}" name="3" totalsRowFunction="count" dataDxfId="284" totalsRowDxfId="283"/>
    <tableColumn id="5" xr3:uid="{00000000-0010-0000-0800-000005000000}" name="4" totalsRowFunction="count" dataDxfId="282" totalsRowDxfId="281"/>
    <tableColumn id="6" xr3:uid="{00000000-0010-0000-0800-000006000000}" name="5" totalsRowFunction="count" dataDxfId="280" totalsRowDxfId="279"/>
    <tableColumn id="7" xr3:uid="{00000000-0010-0000-0800-000007000000}" name="6" totalsRowFunction="count" dataDxfId="278" totalsRowDxfId="277"/>
    <tableColumn id="8" xr3:uid="{00000000-0010-0000-0800-000008000000}" name="7" totalsRowFunction="count" dataDxfId="276" totalsRowDxfId="275"/>
    <tableColumn id="9" xr3:uid="{00000000-0010-0000-0800-000009000000}" name="8" totalsRowFunction="count" dataDxfId="274" totalsRowDxfId="273"/>
    <tableColumn id="10" xr3:uid="{00000000-0010-0000-0800-00000A000000}" name="9" totalsRowFunction="count" dataDxfId="272" totalsRowDxfId="271"/>
    <tableColumn id="11" xr3:uid="{00000000-0010-0000-0800-00000B000000}" name="10" totalsRowFunction="count" dataDxfId="270" totalsRowDxfId="269"/>
    <tableColumn id="12" xr3:uid="{00000000-0010-0000-0800-00000C000000}" name="11" totalsRowFunction="count" dataDxfId="268" totalsRowDxfId="267"/>
    <tableColumn id="13" xr3:uid="{00000000-0010-0000-0800-00000D000000}" name="12" totalsRowFunction="count" dataDxfId="266" totalsRowDxfId="265"/>
    <tableColumn id="14" xr3:uid="{00000000-0010-0000-0800-00000E000000}" name="13" totalsRowFunction="count" dataDxfId="264" totalsRowDxfId="263"/>
    <tableColumn id="15" xr3:uid="{00000000-0010-0000-0800-00000F000000}" name="14" totalsRowFunction="count" dataDxfId="262" totalsRowDxfId="261"/>
    <tableColumn id="16" xr3:uid="{00000000-0010-0000-0800-000010000000}" name="15" totalsRowFunction="count" dataDxfId="260" totalsRowDxfId="259"/>
    <tableColumn id="17" xr3:uid="{00000000-0010-0000-0800-000011000000}" name="16" totalsRowFunction="count" dataDxfId="258" totalsRowDxfId="257"/>
    <tableColumn id="18" xr3:uid="{00000000-0010-0000-0800-000012000000}" name="17" totalsRowFunction="count" dataDxfId="256" totalsRowDxfId="255"/>
    <tableColumn id="19" xr3:uid="{00000000-0010-0000-0800-000013000000}" name="18" totalsRowFunction="count" dataDxfId="254" totalsRowDxfId="253"/>
    <tableColumn id="20" xr3:uid="{00000000-0010-0000-0800-000014000000}" name="19" totalsRowFunction="count" dataDxfId="252" totalsRowDxfId="251"/>
    <tableColumn id="21" xr3:uid="{00000000-0010-0000-0800-000015000000}" name="20" totalsRowFunction="count" dataDxfId="250" totalsRowDxfId="249"/>
    <tableColumn id="22" xr3:uid="{00000000-0010-0000-0800-000016000000}" name="21" totalsRowFunction="count" dataDxfId="248" totalsRowDxfId="247"/>
    <tableColumn id="23" xr3:uid="{00000000-0010-0000-0800-000017000000}" name="22" totalsRowFunction="count" dataDxfId="246" totalsRowDxfId="245"/>
    <tableColumn id="24" xr3:uid="{00000000-0010-0000-0800-000018000000}" name="23" totalsRowFunction="count" dataDxfId="244" totalsRowDxfId="243"/>
    <tableColumn id="25" xr3:uid="{00000000-0010-0000-0800-000019000000}" name="24" totalsRowFunction="count" dataDxfId="242" totalsRowDxfId="241"/>
    <tableColumn id="26" xr3:uid="{00000000-0010-0000-0800-00001A000000}" name="25" totalsRowFunction="count" dataDxfId="240" totalsRowDxfId="239"/>
    <tableColumn id="27" xr3:uid="{00000000-0010-0000-0800-00001B000000}" name="26" totalsRowFunction="count" dataDxfId="238" totalsRowDxfId="237"/>
    <tableColumn id="28" xr3:uid="{00000000-0010-0000-0800-00001C000000}" name="27" totalsRowFunction="count" dataDxfId="236" totalsRowDxfId="235"/>
    <tableColumn id="29" xr3:uid="{00000000-0010-0000-0800-00001D000000}" name="28" totalsRowFunction="count" dataDxfId="234" totalsRowDxfId="233"/>
    <tableColumn id="30" xr3:uid="{00000000-0010-0000-0800-00001E000000}" name="29" totalsRowFunction="count" dataDxfId="232" totalsRowDxfId="231"/>
    <tableColumn id="31" xr3:uid="{00000000-0010-0000-0800-00001F000000}" name="30" totalsRowFunction="count" dataDxfId="230" totalsRowDxfId="229"/>
    <tableColumn id="32" xr3:uid="{00000000-0010-0000-0800-000020000000}" name=" " totalsRowFunction="count" dataDxfId="228" totalsRowDxfId="227"/>
    <tableColumn id="33" xr3:uid="{00000000-0010-0000-0800-000021000000}" name="총 일수" totalsRowFunction="sum" dataDxfId="226" totalsRowDxfId="225">
      <calculatedColumnFormula>COUNTA(_9월[[#This Row],[1]:[30]])</calculatedColumnFormula>
    </tableColumn>
  </tableColumns>
  <tableStyleInfo name="직원 휴가 표" showFirstColumn="1" showLastColumn="1" showRowStripes="1" showColumnStripes="0"/>
  <extLst>
    <ext xmlns:x14="http://schemas.microsoft.com/office/spreadsheetml/2009/9/main" uri="{504A1905-F514-4f6f-8877-14C23A59335A}">
      <x14:table altTextSummary="직원 이름 및 휴가 날짜를 제공합니다. 12행에 다음과 같이 키당 휴가 유형을 기록합니다. V = 휴가, S = 병가, P = 개인, 사용자 지정 항목에 대한 두 개의 자리 표시자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1:34" ht="50.1" customHeight="1">
      <c r="A1" s="2"/>
      <c r="B1" s="3" t="s">
        <v>0</v>
      </c>
    </row>
    <row r="2" spans="1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1:34" ht="15" customHeight="1">
      <c r="AH3" s="12" t="s">
        <v>49</v>
      </c>
    </row>
    <row r="4" spans="1:34" ht="30" customHeight="1">
      <c r="B4" s="13" t="s">
        <v>2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v>2019</v>
      </c>
    </row>
    <row r="5" spans="1:34" ht="15" customHeight="1">
      <c r="B5" s="13"/>
      <c r="C5" s="14" t="str">
        <f>TEXT(WEEKDAY(DATE(달력연도,1,1),1),"aaa")</f>
        <v>화</v>
      </c>
      <c r="D5" s="14" t="str">
        <f>TEXT(WEEKDAY(DATE(달력연도,1,2),1),"aaa")</f>
        <v>수</v>
      </c>
      <c r="E5" s="14" t="str">
        <f>TEXT(WEEKDAY(DATE(달력연도,1,3),1),"aaa")</f>
        <v>목</v>
      </c>
      <c r="F5" s="14" t="str">
        <f>TEXT(WEEKDAY(DATE(달력연도,1,4),1),"aaa")</f>
        <v>금</v>
      </c>
      <c r="G5" s="14" t="str">
        <f>TEXT(WEEKDAY(DATE(달력연도,1,5),1),"aaa")</f>
        <v>토</v>
      </c>
      <c r="H5" s="14" t="str">
        <f>TEXT(WEEKDAY(DATE(달력연도,1,6),1),"aaa")</f>
        <v>일</v>
      </c>
      <c r="I5" s="14" t="str">
        <f>TEXT(WEEKDAY(DATE(달력연도,1,7),1),"aaa")</f>
        <v>월</v>
      </c>
      <c r="J5" s="14" t="str">
        <f>TEXT(WEEKDAY(DATE(달력연도,1,8),1),"aaa")</f>
        <v>화</v>
      </c>
      <c r="K5" s="14" t="str">
        <f>TEXT(WEEKDAY(DATE(달력연도,1,9),1),"aaa")</f>
        <v>수</v>
      </c>
      <c r="L5" s="14" t="str">
        <f>TEXT(WEEKDAY(DATE(달력연도,1,10),1),"aaa")</f>
        <v>목</v>
      </c>
      <c r="M5" s="14" t="str">
        <f>TEXT(WEEKDAY(DATE(달력연도,1,11),1),"aaa")</f>
        <v>금</v>
      </c>
      <c r="N5" s="14" t="str">
        <f>TEXT(WEEKDAY(DATE(달력연도,1,12),1),"aaa")</f>
        <v>토</v>
      </c>
      <c r="O5" s="14" t="str">
        <f>TEXT(WEEKDAY(DATE(달력연도,1,13),1),"aaa")</f>
        <v>일</v>
      </c>
      <c r="P5" s="14" t="str">
        <f>TEXT(WEEKDAY(DATE(달력연도,1,14),1),"aaa")</f>
        <v>월</v>
      </c>
      <c r="Q5" s="14" t="str">
        <f>TEXT(WEEKDAY(DATE(달력연도,1,15),1),"aaa")</f>
        <v>화</v>
      </c>
      <c r="R5" s="14" t="str">
        <f>TEXT(WEEKDAY(DATE(달력연도,1,16),1),"aaa")</f>
        <v>수</v>
      </c>
      <c r="S5" s="14" t="str">
        <f>TEXT(WEEKDAY(DATE(달력연도,1,17),1),"aaa")</f>
        <v>목</v>
      </c>
      <c r="T5" s="14" t="str">
        <f>TEXT(WEEKDAY(DATE(달력연도,1,18),1),"aaa")</f>
        <v>금</v>
      </c>
      <c r="U5" s="14" t="str">
        <f>TEXT(WEEKDAY(DATE(달력연도,1,19),1),"aaa")</f>
        <v>토</v>
      </c>
      <c r="V5" s="14" t="str">
        <f>TEXT(WEEKDAY(DATE(달력연도,1,20),1),"aaa")</f>
        <v>일</v>
      </c>
      <c r="W5" s="14" t="str">
        <f>TEXT(WEEKDAY(DATE(달력연도,1,21),1),"aaa")</f>
        <v>월</v>
      </c>
      <c r="X5" s="14" t="str">
        <f>TEXT(WEEKDAY(DATE(달력연도,1,22),1),"aaa")</f>
        <v>화</v>
      </c>
      <c r="Y5" s="14" t="str">
        <f>TEXT(WEEKDAY(DATE(달력연도,1,23),1),"aaa")</f>
        <v>수</v>
      </c>
      <c r="Z5" s="14" t="str">
        <f>TEXT(WEEKDAY(DATE(달력연도,1,24),1),"aaa")</f>
        <v>목</v>
      </c>
      <c r="AA5" s="14" t="str">
        <f>TEXT(WEEKDAY(DATE(달력연도,1,25),1),"aaa")</f>
        <v>금</v>
      </c>
      <c r="AB5" s="14" t="str">
        <f>TEXT(WEEKDAY(DATE(달력연도,1,26),1),"aaa")</f>
        <v>토</v>
      </c>
      <c r="AC5" s="14" t="str">
        <f>TEXT(WEEKDAY(DATE(달력연도,1,27),1),"aaa")</f>
        <v>일</v>
      </c>
      <c r="AD5" s="14" t="str">
        <f>TEXT(WEEKDAY(DATE(달력연도,1,28),1),"aaa")</f>
        <v>월</v>
      </c>
      <c r="AE5" s="14" t="str">
        <f>TEXT(WEEKDAY(DATE(달력연도,1,29),1),"aaa")</f>
        <v>화</v>
      </c>
      <c r="AF5" s="14" t="str">
        <f>TEXT(WEEKDAY(DATE(달력연도,1,30),1),"aaa")</f>
        <v>수</v>
      </c>
      <c r="AG5" s="14" t="str">
        <f>TEXT(WEEKDAY(DATE(달력연도,1,31),1),"aaa")</f>
        <v>목</v>
      </c>
      <c r="AH5" s="13"/>
    </row>
    <row r="6" spans="1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1:34" ht="30" customHeight="1">
      <c r="B7" s="17" t="s">
        <v>4</v>
      </c>
      <c r="C7" s="14"/>
      <c r="D7" s="14"/>
      <c r="E7" s="14" t="s">
        <v>9</v>
      </c>
      <c r="F7" s="14" t="s">
        <v>9</v>
      </c>
      <c r="G7" s="14" t="s">
        <v>9</v>
      </c>
      <c r="H7" s="14" t="s">
        <v>9</v>
      </c>
      <c r="I7" s="14"/>
      <c r="J7" s="14"/>
      <c r="K7" s="14"/>
      <c r="L7" s="14"/>
      <c r="M7" s="14"/>
      <c r="N7" s="14"/>
      <c r="O7" s="14" t="s">
        <v>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8">
        <f>COUNTA('1월'!$C7:$AG7)</f>
        <v>5</v>
      </c>
    </row>
    <row r="8" spans="1:34" ht="30" customHeight="1">
      <c r="B8" s="17" t="s">
        <v>5</v>
      </c>
      <c r="C8" s="14"/>
      <c r="D8" s="14"/>
      <c r="E8" s="14"/>
      <c r="F8" s="14"/>
      <c r="G8" s="14" t="s">
        <v>17</v>
      </c>
      <c r="H8" s="14" t="s">
        <v>17</v>
      </c>
      <c r="I8" s="14"/>
      <c r="J8" s="14"/>
      <c r="K8" s="14"/>
      <c r="L8" s="14"/>
      <c r="M8" s="14" t="s">
        <v>15</v>
      </c>
      <c r="N8" s="14"/>
      <c r="O8" s="14"/>
      <c r="P8" s="14"/>
      <c r="Q8" s="14"/>
      <c r="R8" s="14"/>
      <c r="S8" s="14"/>
      <c r="T8" s="14"/>
      <c r="U8" s="14"/>
      <c r="V8" s="14" t="s">
        <v>17</v>
      </c>
      <c r="W8" s="14"/>
      <c r="X8" s="14"/>
      <c r="Y8" s="14"/>
      <c r="Z8" s="14"/>
      <c r="AA8" s="14" t="s">
        <v>9</v>
      </c>
      <c r="AB8" s="14" t="s">
        <v>9</v>
      </c>
      <c r="AC8" s="14" t="s">
        <v>9</v>
      </c>
      <c r="AD8" s="14"/>
      <c r="AE8" s="14"/>
      <c r="AF8" s="14"/>
      <c r="AG8" s="14"/>
      <c r="AH8" s="18">
        <f>COUNTA('1월'!$C8:$AG8)</f>
        <v>7</v>
      </c>
    </row>
    <row r="9" spans="1:34" ht="30" customHeight="1">
      <c r="B9" s="17" t="s">
        <v>6</v>
      </c>
      <c r="C9" s="14"/>
      <c r="D9" s="14"/>
      <c r="E9" s="14" t="s">
        <v>15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 t="s">
        <v>17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 t="s">
        <v>17</v>
      </c>
      <c r="AF9" s="14"/>
      <c r="AG9" s="14"/>
      <c r="AH9" s="18">
        <f>COUNTA('1월'!$C9:$AG9)</f>
        <v>3</v>
      </c>
    </row>
    <row r="10" spans="1:34" ht="30" customHeight="1">
      <c r="B10" s="17" t="s">
        <v>7</v>
      </c>
      <c r="C10" s="14"/>
      <c r="D10" s="14"/>
      <c r="E10" s="14"/>
      <c r="F10" s="14"/>
      <c r="G10" s="14"/>
      <c r="H10" s="14"/>
      <c r="I10" s="14" t="s">
        <v>15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 t="s">
        <v>9</v>
      </c>
      <c r="V10" s="14" t="s">
        <v>9</v>
      </c>
      <c r="W10" s="14" t="s">
        <v>9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8">
        <f>COUNTA('1월'!$C10:$AG10)</f>
        <v>4</v>
      </c>
    </row>
    <row r="11" spans="1:34" ht="30" customHeight="1">
      <c r="B11" s="17" t="s">
        <v>8</v>
      </c>
      <c r="C11" s="14"/>
      <c r="D11" s="14"/>
      <c r="E11" s="14"/>
      <c r="F11" s="14" t="s">
        <v>17</v>
      </c>
      <c r="G11" s="14" t="s">
        <v>9</v>
      </c>
      <c r="H11" s="14" t="s">
        <v>9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17</v>
      </c>
      <c r="T11" s="14"/>
      <c r="U11" s="14"/>
      <c r="V11" s="14"/>
      <c r="W11" s="14"/>
      <c r="X11" s="14"/>
      <c r="Y11" s="14"/>
      <c r="Z11" s="14" t="s">
        <v>17</v>
      </c>
      <c r="AA11" s="14"/>
      <c r="AB11" s="14"/>
      <c r="AC11" s="14"/>
      <c r="AD11" s="14"/>
      <c r="AE11" s="14"/>
      <c r="AF11" s="14"/>
      <c r="AG11" s="14" t="s">
        <v>9</v>
      </c>
      <c r="AH11" s="18">
        <f>COUNTA('1월'!$C11:$AG11)</f>
        <v>6</v>
      </c>
    </row>
    <row r="12" spans="1:34" ht="30" customHeight="1">
      <c r="B12" s="19" t="str">
        <f>월이름&amp;" 요약"</f>
        <v>1월 요약</v>
      </c>
      <c r="C12" s="20">
        <f>SUBTOTAL(103,'1월'!$C$7:$C$11)</f>
        <v>0</v>
      </c>
      <c r="D12" s="20">
        <f>SUBTOTAL(103,'1월'!$D$7:$D$11)</f>
        <v>0</v>
      </c>
      <c r="E12" s="20">
        <f>SUBTOTAL(103,'1월'!$E$7:$E$11)</f>
        <v>2</v>
      </c>
      <c r="F12" s="20">
        <f>SUBTOTAL(103,'1월'!$F$7:$F$11)</f>
        <v>2</v>
      </c>
      <c r="G12" s="20">
        <f>SUBTOTAL(103,'1월'!$G$7:$G$11)</f>
        <v>3</v>
      </c>
      <c r="H12" s="20">
        <f>SUBTOTAL(103,'1월'!$H$7:$H$11)</f>
        <v>3</v>
      </c>
      <c r="I12" s="20">
        <f>SUBTOTAL(103,'1월'!$I$7:$I$11)</f>
        <v>1</v>
      </c>
      <c r="J12" s="20">
        <f>SUBTOTAL(103,'1월'!$J$7:$J$11)</f>
        <v>0</v>
      </c>
      <c r="K12" s="20">
        <f>SUBTOTAL(103,'1월'!$K$7:$K$11)</f>
        <v>0</v>
      </c>
      <c r="L12" s="20">
        <f>SUBTOTAL(103,'1월'!$L$7:$L$11)</f>
        <v>0</v>
      </c>
      <c r="M12" s="20">
        <f>SUBTOTAL(103,'1월'!$M$7:$M$11)</f>
        <v>1</v>
      </c>
      <c r="N12" s="20">
        <f>SUBTOTAL(103,'1월'!$N$7:$N$11)</f>
        <v>0</v>
      </c>
      <c r="O12" s="20">
        <f>SUBTOTAL(103,'1월'!$O$7:$O$11)</f>
        <v>1</v>
      </c>
      <c r="P12" s="20">
        <f>SUBTOTAL(103,'1월'!$P$7:$P$11)</f>
        <v>1</v>
      </c>
      <c r="Q12" s="20">
        <f>SUBTOTAL(103,'1월'!$Q$7:$Q$11)</f>
        <v>0</v>
      </c>
      <c r="R12" s="20">
        <f>SUBTOTAL(103,'1월'!$R$7:$R$11)</f>
        <v>0</v>
      </c>
      <c r="S12" s="20">
        <f>SUBTOTAL(103,'1월'!$S$7:$S$11)</f>
        <v>1</v>
      </c>
      <c r="T12" s="20">
        <f>SUBTOTAL(103,'1월'!$T$7:$T$11)</f>
        <v>0</v>
      </c>
      <c r="U12" s="20">
        <f>SUBTOTAL(103,'1월'!$U$7:$U$11)</f>
        <v>1</v>
      </c>
      <c r="V12" s="20">
        <f>SUBTOTAL(103,'1월'!$V$7:$V$11)</f>
        <v>2</v>
      </c>
      <c r="W12" s="20">
        <f>SUBTOTAL(103,'1월'!$W$7:$W$11)</f>
        <v>1</v>
      </c>
      <c r="X12" s="20">
        <f>SUBTOTAL(103,'1월'!$X$7:$X$11)</f>
        <v>0</v>
      </c>
      <c r="Y12" s="20">
        <f>SUBTOTAL(103,'1월'!$Y$7:$Y$11)</f>
        <v>0</v>
      </c>
      <c r="Z12" s="20">
        <f>SUBTOTAL(103,'1월'!$Z$7:$Z$11)</f>
        <v>1</v>
      </c>
      <c r="AA12" s="20">
        <f>SUBTOTAL(103,'1월'!$AA$7:$AA$11)</f>
        <v>1</v>
      </c>
      <c r="AB12" s="20">
        <f>SUBTOTAL(103,'1월'!$AB$7:$AB$11)</f>
        <v>1</v>
      </c>
      <c r="AC12" s="20">
        <f>SUBTOTAL(103,'1월'!$AC$7:$AC$11)</f>
        <v>1</v>
      </c>
      <c r="AD12" s="20">
        <f>SUBTOTAL(103,'1월'!$AD$7:$AD$11)</f>
        <v>0</v>
      </c>
      <c r="AE12" s="20">
        <f>SUBTOTAL(103,'1월'!$AE$7:$AE$11)</f>
        <v>1</v>
      </c>
      <c r="AF12" s="20">
        <f>SUBTOTAL(103,'1월'!$AF$7:$AF$11)</f>
        <v>0</v>
      </c>
      <c r="AG12" s="20">
        <f>SUBTOTAL(103,'1월'!$AG$7:$AG$11)</f>
        <v>1</v>
      </c>
      <c r="AH12" s="20">
        <f>SUBTOTAL(109,_1월[총 일수])</f>
        <v>25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  <cfRule type="expression" dxfId="892" priority="6" stopIfTrue="1">
      <formula>C7=사용자지정키2</formula>
    </cfRule>
    <cfRule type="expression" dxfId="891" priority="7" stopIfTrue="1">
      <formula>C7=사용자지정키1</formula>
    </cfRule>
    <cfRule type="expression" dxfId="890" priority="8" stopIfTrue="1">
      <formula>C7=병가키</formula>
    </cfRule>
    <cfRule type="expression" dxfId="889" priority="9" stopIfTrue="1">
      <formula>C7=개인사유키</formula>
    </cfRule>
    <cfRule type="expression" dxfId="888" priority="10" stopIfTrue="1">
      <formula>C7=휴가키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이 셀에 연도를 입력합니다." sqref="AH4" xr:uid="{00000000-0002-0000-0000-000000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000-000001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000-000002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 하는 열입니다." sqref="C5" xr:uid="{00000000-0002-0000-0000-000003000000}"/>
    <dataValidation allowBlank="1" showInputMessage="1" showErrorMessage="1" prompt="이번 달 직원 휴가 합계를 자동으로 계산합니다." sqref="AH6" xr:uid="{00000000-0002-0000-0000-000004000000}"/>
    <dataValidation allowBlank="1" showInputMessage="1" showErrorMessage="1" prompt="이 셀에 워크시트 제목이 있습니다. 제목을 업데이트하면 각 워크시트는 변경 내용을 자동으로 상속합니다." sqref="B1" xr:uid="{00000000-0002-0000-0000-000005000000}"/>
    <dataValidation allowBlank="1" showInputMessage="1" showErrorMessage="1" prompt="휴가 일정이 있는 달입니다. 셀 AH4의 연도를 업데이트합니다. 표의 마지막 셀에서 월 단위로 합계를 추적합니다. 표의 B열에 직원 이름을 입력합니다." sqref="B4" xr:uid="{00000000-0002-0000-0000-000006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000-000007000000}"/>
    <dataValidation allowBlank="1" showInputMessage="1" showErrorMessage="1" prompt="“V”는 휴가로 인한 휴가를 나타냅니다." sqref="C2" xr:uid="{9BE24DEF-1A9A-4A5C-842E-2A0ECA47783A}"/>
    <dataValidation allowBlank="1" showInputMessage="1" showErrorMessage="1" prompt="&quot;P&quot;는 개인 이유로 인한 휴가를 나타냅니다." sqref="F2" xr:uid="{54A795F0-8C36-4FB9-B799-C5C69E3C95B5}"/>
    <dataValidation allowBlank="1" showInputMessage="1" showErrorMessage="1" prompt="&quot;S&quot;는 질병으로 인한 휴가를 나타냅니다." sqref="I2" xr:uid="{9EEC8013-57A8-4080-A98E-A98D6F6FD31C}"/>
    <dataValidation allowBlank="1" showInputMessage="1" showErrorMessage="1" prompt="문자를 입력하고 다른 중요 항목을 추가하려면 오른쪽에 있는 레이블을 사용자 지정합니다." sqref="L2 Q2" xr:uid="{751D52AF-D826-4570-AD2C-2E3C1465295D}"/>
    <dataValidation allowBlank="1" showInputMessage="1" showErrorMessage="1" prompt="왼쪽에 있는 사용자 지정 키를 설명하는 레이블을 입력합니다." sqref="M2:O2 R2" xr:uid="{31B16B5A-4BDE-43CC-AD96-733A46C4BC75}"/>
    <dataValidation allowBlank="1" showInputMessage="1" showErrorMessage="1" prompt="직원 휴가 일정은 매월 일 단위로 직원 휴가를 추적합니다. 총 13개의 워크시트가 있으며 12개는 월별 시트이고 마지막 1개는 직원 이름입니다. 이 워크시트에서 1월 휴가를 추적하세요." sqref="A1" xr:uid="{00000000-0002-0000-0000-00000D000000}"/>
    <dataValidation allowBlank="1" showInputMessage="1" showErrorMessage="1" prompt="아래 셀에 연도를 입력합니다." sqref="AH3" xr:uid="{00000000-0002-0000-0000-00000E000000}"/>
  </dataValidations>
  <printOptions horizontalCentered="1"/>
  <pageMargins left="0.25" right="0.25" top="0.75" bottom="0.75" header="0.3" footer="0.3"/>
  <pageSetup paperSize="9" scale="70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61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TEXT(WEEKDAY(DATE(달력연도,10,1),1),"aaa")</f>
        <v>화</v>
      </c>
      <c r="D5" s="14" t="str">
        <f>TEXT(WEEKDAY(DATE(달력연도,10,2),1),"aaa")</f>
        <v>수</v>
      </c>
      <c r="E5" s="14" t="str">
        <f>TEXT(WEEKDAY(DATE(달력연도,10,3),1),"aaa")</f>
        <v>목</v>
      </c>
      <c r="F5" s="14" t="str">
        <f>TEXT(WEEKDAY(DATE(달력연도,10,4),1),"aaa")</f>
        <v>금</v>
      </c>
      <c r="G5" s="14" t="str">
        <f>TEXT(WEEKDAY(DATE(달력연도,10,5),1),"aaa")</f>
        <v>토</v>
      </c>
      <c r="H5" s="14" t="str">
        <f>TEXT(WEEKDAY(DATE(달력연도,10,6),1),"aaa")</f>
        <v>일</v>
      </c>
      <c r="I5" s="14" t="str">
        <f>TEXT(WEEKDAY(DATE(달력연도,10,7),1),"aaa")</f>
        <v>월</v>
      </c>
      <c r="J5" s="14" t="str">
        <f>TEXT(WEEKDAY(DATE(달력연도,10,8),1),"aaa")</f>
        <v>화</v>
      </c>
      <c r="K5" s="14" t="str">
        <f>TEXT(WEEKDAY(DATE(달력연도,10,9),1),"aaa")</f>
        <v>수</v>
      </c>
      <c r="L5" s="14" t="str">
        <f>TEXT(WEEKDAY(DATE(달력연도,10,10),1),"aaa")</f>
        <v>목</v>
      </c>
      <c r="M5" s="14" t="str">
        <f>TEXT(WEEKDAY(DATE(달력연도,10,11),1),"aaa")</f>
        <v>금</v>
      </c>
      <c r="N5" s="14" t="str">
        <f>TEXT(WEEKDAY(DATE(달력연도,10,12),1),"aaa")</f>
        <v>토</v>
      </c>
      <c r="O5" s="14" t="str">
        <f>TEXT(WEEKDAY(DATE(달력연도,10,13),1),"aaa")</f>
        <v>일</v>
      </c>
      <c r="P5" s="14" t="str">
        <f>TEXT(WEEKDAY(DATE(달력연도,10,14),1),"aaa")</f>
        <v>월</v>
      </c>
      <c r="Q5" s="14" t="str">
        <f>TEXT(WEEKDAY(DATE(달력연도,10,15),1),"aaa")</f>
        <v>화</v>
      </c>
      <c r="R5" s="14" t="str">
        <f>TEXT(WEEKDAY(DATE(달력연도,10,16),1),"aaa")</f>
        <v>수</v>
      </c>
      <c r="S5" s="14" t="str">
        <f>TEXT(WEEKDAY(DATE(달력연도,10,17),1),"aaa")</f>
        <v>목</v>
      </c>
      <c r="T5" s="14" t="str">
        <f>TEXT(WEEKDAY(DATE(달력연도,10,18),1),"aaa")</f>
        <v>금</v>
      </c>
      <c r="U5" s="14" t="str">
        <f>TEXT(WEEKDAY(DATE(달력연도,10,19),1),"aaa")</f>
        <v>토</v>
      </c>
      <c r="V5" s="14" t="str">
        <f>TEXT(WEEKDAY(DATE(달력연도,10,20),1),"aaa")</f>
        <v>일</v>
      </c>
      <c r="W5" s="14" t="str">
        <f>TEXT(WEEKDAY(DATE(달력연도,10,21),1),"aaa")</f>
        <v>월</v>
      </c>
      <c r="X5" s="14" t="str">
        <f>TEXT(WEEKDAY(DATE(달력연도,10,22),1),"aaa")</f>
        <v>화</v>
      </c>
      <c r="Y5" s="14" t="str">
        <f>TEXT(WEEKDAY(DATE(달력연도,10,23),1),"aaa")</f>
        <v>수</v>
      </c>
      <c r="Z5" s="14" t="str">
        <f>TEXT(WEEKDAY(DATE(달력연도,10,24),1),"aaa")</f>
        <v>목</v>
      </c>
      <c r="AA5" s="14" t="str">
        <f>TEXT(WEEKDAY(DATE(달력연도,10,25),1),"aaa")</f>
        <v>금</v>
      </c>
      <c r="AB5" s="14" t="str">
        <f>TEXT(WEEKDAY(DATE(달력연도,10,26),1),"aaa")</f>
        <v>토</v>
      </c>
      <c r="AC5" s="14" t="str">
        <f>TEXT(WEEKDAY(DATE(달력연도,10,27),1),"aaa")</f>
        <v>일</v>
      </c>
      <c r="AD5" s="14" t="str">
        <f>TEXT(WEEKDAY(DATE(달력연도,10,28),1),"aaa")</f>
        <v>월</v>
      </c>
      <c r="AE5" s="14" t="str">
        <f>TEXT(WEEKDAY(DATE(달력연도,10,29),1),"aaa")</f>
        <v>화</v>
      </c>
      <c r="AF5" s="14" t="str">
        <f>TEXT(WEEKDAY(DATE(달력연도,10,30),1),"aaa")</f>
        <v>수</v>
      </c>
      <c r="AG5" s="14" t="str">
        <f>TEXT(WEEKDAY(DATE(달력연도,10,31),1),"aaa")</f>
        <v>목</v>
      </c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COUNTA(_10월[[#This Row],[1]:[31]])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COUNTA(_10월[[#This Row],[1]:[31]])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COUNTA(_10월[[#This Row],[1]:[31]])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COUNTA(_10월[[#This Row],[1]:[31]])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COUNTA(_10월[[#This Row],[1]:[31]])</f>
        <v>0</v>
      </c>
    </row>
    <row r="12" spans="2:34" ht="30" customHeight="1">
      <c r="B12" s="19" t="str">
        <f>월이름&amp;" 요약"</f>
        <v>10월 요약</v>
      </c>
      <c r="C12" s="20">
        <f>SUBTOTAL(103,_10월[1])</f>
        <v>0</v>
      </c>
      <c r="D12" s="20">
        <f>SUBTOTAL(103,_10월[2])</f>
        <v>0</v>
      </c>
      <c r="E12" s="20">
        <f>SUBTOTAL(103,_10월[3])</f>
        <v>0</v>
      </c>
      <c r="F12" s="20">
        <f>SUBTOTAL(103,_10월[4])</f>
        <v>0</v>
      </c>
      <c r="G12" s="20">
        <f>SUBTOTAL(103,_10월[5])</f>
        <v>0</v>
      </c>
      <c r="H12" s="20">
        <f>SUBTOTAL(103,_10월[6])</f>
        <v>0</v>
      </c>
      <c r="I12" s="20">
        <f>SUBTOTAL(103,_10월[7])</f>
        <v>0</v>
      </c>
      <c r="J12" s="20">
        <f>SUBTOTAL(103,_10월[8])</f>
        <v>0</v>
      </c>
      <c r="K12" s="20">
        <f>SUBTOTAL(103,_10월[9])</f>
        <v>0</v>
      </c>
      <c r="L12" s="20">
        <f>SUBTOTAL(103,_10월[10])</f>
        <v>0</v>
      </c>
      <c r="M12" s="20">
        <f>SUBTOTAL(103,_10월[11])</f>
        <v>0</v>
      </c>
      <c r="N12" s="20">
        <f>SUBTOTAL(103,_10월[12])</f>
        <v>0</v>
      </c>
      <c r="O12" s="20">
        <f>SUBTOTAL(103,_10월[13])</f>
        <v>0</v>
      </c>
      <c r="P12" s="20">
        <f>SUBTOTAL(103,_10월[14])</f>
        <v>0</v>
      </c>
      <c r="Q12" s="20">
        <f>SUBTOTAL(103,_10월[15])</f>
        <v>0</v>
      </c>
      <c r="R12" s="20">
        <f>SUBTOTAL(103,_10월[16])</f>
        <v>0</v>
      </c>
      <c r="S12" s="20">
        <f>SUBTOTAL(103,_10월[17])</f>
        <v>0</v>
      </c>
      <c r="T12" s="20">
        <f>SUBTOTAL(103,_10월[18])</f>
        <v>0</v>
      </c>
      <c r="U12" s="20">
        <f>SUBTOTAL(103,_10월[19])</f>
        <v>0</v>
      </c>
      <c r="V12" s="20">
        <f>SUBTOTAL(103,_10월[20])</f>
        <v>0</v>
      </c>
      <c r="W12" s="20">
        <f>SUBTOTAL(103,_10월[21])</f>
        <v>0</v>
      </c>
      <c r="X12" s="20">
        <f>SUBTOTAL(103,_10월[22])</f>
        <v>0</v>
      </c>
      <c r="Y12" s="20">
        <f>SUBTOTAL(103,_10월[23])</f>
        <v>0</v>
      </c>
      <c r="Z12" s="20">
        <f>SUBTOTAL(103,_10월[24])</f>
        <v>0</v>
      </c>
      <c r="AA12" s="20">
        <f>SUBTOTAL(103,_10월[25])</f>
        <v>0</v>
      </c>
      <c r="AB12" s="20">
        <f>SUBTOTAL(103,_10월[26])</f>
        <v>0</v>
      </c>
      <c r="AC12" s="20">
        <f>SUBTOTAL(103,_10월[27])</f>
        <v>0</v>
      </c>
      <c r="AD12" s="20">
        <f>SUBTOTAL(103,_10월[28])</f>
        <v>0</v>
      </c>
      <c r="AE12" s="20">
        <f>SUBTOTAL(103,_10월[29])</f>
        <v>0</v>
      </c>
      <c r="AF12" s="20">
        <f>SUBTOTAL(103,_10월[30])</f>
        <v>0</v>
      </c>
      <c r="AG12" s="20">
        <f>SUBTOTAL(103,_10월[31])</f>
        <v>0</v>
      </c>
      <c r="AH12" s="20">
        <f>SUBTOTAL(109,_10월[총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224" priority="2" stopIfTrue="1">
      <formula>C7=사용자지정키2</formula>
    </cfRule>
    <cfRule type="expression" dxfId="223" priority="3" stopIfTrue="1">
      <formula>C7=사용자지정키1</formula>
    </cfRule>
    <cfRule type="expression" dxfId="222" priority="4" stopIfTrue="1">
      <formula>C7=병가키</formula>
    </cfRule>
    <cfRule type="expression" dxfId="221" priority="5" stopIfTrue="1">
      <formula>C7=개인사유키</formula>
    </cfRule>
    <cfRule type="expression" dxfId="220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900-000000000000}"/>
    <dataValidation allowBlank="1" showInputMessage="1" showErrorMessage="1" prompt="1월 워크시트에 입력된 연도에 따라 자동으로 업데이트된 연도" sqref="AH4" xr:uid="{00000000-0002-0000-0900-000001000000}"/>
    <dataValidation allowBlank="1" showInputMessage="1" showErrorMessage="1" prompt="이 열에서 이번 달 직원 휴가일 합계를 자동으로 계산합니다." sqref="AH6" xr:uid="{00000000-0002-0000-0900-000002000000}"/>
    <dataValidation allowBlank="1" showInputMessage="1" showErrorMessage="1" prompt="이 워크시트에서 10월 휴가를 추적합니다." sqref="A1" xr:uid="{00000000-0002-0000-0900-000003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900-000004000000}"/>
    <dataValidation allowBlank="1" showInputMessage="1" showErrorMessage="1" prompt="이 셀에 자동으로 업데이트되는 제목이 있습니다. 제목을 수정하려면 1월 워크시트에서 B1을 업데이트하세요." sqref="B1" xr:uid="{00000000-0002-0000-0900-000005000000}"/>
    <dataValidation allowBlank="1" showInputMessage="1" showErrorMessage="1" prompt="“V”는 휴가로 인한 휴가를 나타냅니다." sqref="C2" xr:uid="{DC7C3FD0-D939-4135-B547-619EA24CA8A7}"/>
    <dataValidation allowBlank="1" showInputMessage="1" showErrorMessage="1" prompt="&quot;P&quot;는 개인 이유로 인한 휴가를 나타냅니다." sqref="F2" xr:uid="{20380B3A-B006-4FDF-AAB1-72BCAE186437}"/>
    <dataValidation allowBlank="1" showInputMessage="1" showErrorMessage="1" prompt="&quot;S&quot;는 질병으로 인한 휴가를 나타냅니다." sqref="I2" xr:uid="{0EB8A0AF-0D01-45A3-937C-571AFEDD93F9}"/>
    <dataValidation allowBlank="1" showInputMessage="1" showErrorMessage="1" prompt="문자를 입력하고 다른 중요 항목을 추가하려면 오른쪽에 있는 레이블을 사용자 지정합니다." sqref="L2 Q2" xr:uid="{4137031E-E131-4BE2-AC82-17BAC4C326B4}"/>
    <dataValidation allowBlank="1" showInputMessage="1" showErrorMessage="1" prompt="왼쪽에 있는 사용자 지정 키를 설명하는 레이블을 입력합니다." sqref="M2:O2 R2" xr:uid="{6202230D-8E98-460A-B3BC-6DA60DAA05A6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900-00000B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900-00000C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9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62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TEXT(WEEKDAY(DATE(달력연도,11,1),1),"aaa")</f>
        <v>금</v>
      </c>
      <c r="D5" s="14" t="str">
        <f>TEXT(WEEKDAY(DATE(달력연도,11,2),1),"aaa")</f>
        <v>토</v>
      </c>
      <c r="E5" s="14" t="str">
        <f>TEXT(WEEKDAY(DATE(달력연도,11,3),1),"aaa")</f>
        <v>일</v>
      </c>
      <c r="F5" s="14" t="str">
        <f>TEXT(WEEKDAY(DATE(달력연도,11,4),1),"aaa")</f>
        <v>월</v>
      </c>
      <c r="G5" s="14" t="str">
        <f>TEXT(WEEKDAY(DATE(달력연도,11,5),1),"aaa")</f>
        <v>화</v>
      </c>
      <c r="H5" s="14" t="str">
        <f>TEXT(WEEKDAY(DATE(달력연도,11,6),1),"aaa")</f>
        <v>수</v>
      </c>
      <c r="I5" s="14" t="str">
        <f>TEXT(WEEKDAY(DATE(달력연도,11,7),1),"aaa")</f>
        <v>목</v>
      </c>
      <c r="J5" s="14" t="str">
        <f>TEXT(WEEKDAY(DATE(달력연도,11,8),1),"aaa")</f>
        <v>금</v>
      </c>
      <c r="K5" s="14" t="str">
        <f>TEXT(WEEKDAY(DATE(달력연도,11,9),1),"aaa")</f>
        <v>토</v>
      </c>
      <c r="L5" s="14" t="str">
        <f>TEXT(WEEKDAY(DATE(달력연도,11,10),1),"aaa")</f>
        <v>일</v>
      </c>
      <c r="M5" s="14" t="str">
        <f>TEXT(WEEKDAY(DATE(달력연도,11,11),1),"aaa")</f>
        <v>월</v>
      </c>
      <c r="N5" s="14" t="str">
        <f>TEXT(WEEKDAY(DATE(달력연도,11,12),1),"aaa")</f>
        <v>화</v>
      </c>
      <c r="O5" s="14" t="str">
        <f>TEXT(WEEKDAY(DATE(달력연도,11,13),1),"aaa")</f>
        <v>수</v>
      </c>
      <c r="P5" s="14" t="str">
        <f>TEXT(WEEKDAY(DATE(달력연도,11,14),1),"aaa")</f>
        <v>목</v>
      </c>
      <c r="Q5" s="14" t="str">
        <f>TEXT(WEEKDAY(DATE(달력연도,11,15),1),"aaa")</f>
        <v>금</v>
      </c>
      <c r="R5" s="14" t="str">
        <f>TEXT(WEEKDAY(DATE(달력연도,11,16),1),"aaa")</f>
        <v>토</v>
      </c>
      <c r="S5" s="14" t="str">
        <f>TEXT(WEEKDAY(DATE(달력연도,11,17),1),"aaa")</f>
        <v>일</v>
      </c>
      <c r="T5" s="14" t="str">
        <f>TEXT(WEEKDAY(DATE(달력연도,11,18),1),"aaa")</f>
        <v>월</v>
      </c>
      <c r="U5" s="14" t="str">
        <f>TEXT(WEEKDAY(DATE(달력연도,11,19),1),"aaa")</f>
        <v>화</v>
      </c>
      <c r="V5" s="14" t="str">
        <f>TEXT(WEEKDAY(DATE(달력연도,11,20),1),"aaa")</f>
        <v>수</v>
      </c>
      <c r="W5" s="14" t="str">
        <f>TEXT(WEEKDAY(DATE(달력연도,11,21),1),"aaa")</f>
        <v>목</v>
      </c>
      <c r="X5" s="14" t="str">
        <f>TEXT(WEEKDAY(DATE(달력연도,11,22),1),"aaa")</f>
        <v>금</v>
      </c>
      <c r="Y5" s="14" t="str">
        <f>TEXT(WEEKDAY(DATE(달력연도,11,23),1),"aaa")</f>
        <v>토</v>
      </c>
      <c r="Z5" s="14" t="str">
        <f>TEXT(WEEKDAY(DATE(달력연도,11,24),1),"aaa")</f>
        <v>일</v>
      </c>
      <c r="AA5" s="14" t="str">
        <f>TEXT(WEEKDAY(DATE(달력연도,11,25),1),"aaa")</f>
        <v>월</v>
      </c>
      <c r="AB5" s="14" t="str">
        <f>TEXT(WEEKDAY(DATE(달력연도,11,26),1),"aaa")</f>
        <v>화</v>
      </c>
      <c r="AC5" s="14" t="str">
        <f>TEXT(WEEKDAY(DATE(달력연도,11,27),1),"aaa")</f>
        <v>수</v>
      </c>
      <c r="AD5" s="14" t="str">
        <f>TEXT(WEEKDAY(DATE(달력연도,11,28),1),"aaa")</f>
        <v>목</v>
      </c>
      <c r="AE5" s="14" t="str">
        <f>TEXT(WEEKDAY(DATE(달력연도,11,29),1),"aaa")</f>
        <v>금</v>
      </c>
      <c r="AF5" s="14" t="str">
        <f>TEXT(WEEKDAY(DATE(달력연도,11,30),1),"aaa")</f>
        <v>토</v>
      </c>
      <c r="AG5" s="14"/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52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COUNTA(_11월[[#This Row],[1]:[30]])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COUNTA(_11월[[#This Row],[1]:[30]])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COUNTA(_11월[[#This Row],[1]:[30]])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COUNTA(_11월[[#This Row],[1]:[30]])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COUNTA(_11월[[#This Row],[1]:[30]])</f>
        <v>0</v>
      </c>
    </row>
    <row r="12" spans="2:34" ht="30" customHeight="1">
      <c r="B12" s="19" t="str">
        <f>월이름&amp;" 요약"</f>
        <v>11월 요약</v>
      </c>
      <c r="C12" s="20">
        <f>SUBTOTAL(103,_11월[1])</f>
        <v>0</v>
      </c>
      <c r="D12" s="20">
        <f>SUBTOTAL(103,_11월[2])</f>
        <v>0</v>
      </c>
      <c r="E12" s="20">
        <f>SUBTOTAL(103,_11월[3])</f>
        <v>0</v>
      </c>
      <c r="F12" s="20">
        <f>SUBTOTAL(103,_11월[4])</f>
        <v>0</v>
      </c>
      <c r="G12" s="20">
        <f>SUBTOTAL(103,_11월[5])</f>
        <v>0</v>
      </c>
      <c r="H12" s="20">
        <f>SUBTOTAL(103,_11월[6])</f>
        <v>0</v>
      </c>
      <c r="I12" s="20">
        <f>SUBTOTAL(103,_11월[7])</f>
        <v>0</v>
      </c>
      <c r="J12" s="20">
        <f>SUBTOTAL(103,_11월[8])</f>
        <v>0</v>
      </c>
      <c r="K12" s="20">
        <f>SUBTOTAL(103,_11월[9])</f>
        <v>0</v>
      </c>
      <c r="L12" s="20">
        <f>SUBTOTAL(103,_11월[10])</f>
        <v>0</v>
      </c>
      <c r="M12" s="20">
        <f>SUBTOTAL(103,_11월[11])</f>
        <v>0</v>
      </c>
      <c r="N12" s="20">
        <f>SUBTOTAL(103,_11월[12])</f>
        <v>0</v>
      </c>
      <c r="O12" s="20">
        <f>SUBTOTAL(103,_11월[13])</f>
        <v>0</v>
      </c>
      <c r="P12" s="20">
        <f>SUBTOTAL(103,_11월[14])</f>
        <v>0</v>
      </c>
      <c r="Q12" s="20">
        <f>SUBTOTAL(103,_11월[15])</f>
        <v>0</v>
      </c>
      <c r="R12" s="20">
        <f>SUBTOTAL(103,_11월[16])</f>
        <v>0</v>
      </c>
      <c r="S12" s="20">
        <f>SUBTOTAL(103,_11월[17])</f>
        <v>0</v>
      </c>
      <c r="T12" s="20">
        <f>SUBTOTAL(103,_11월[18])</f>
        <v>0</v>
      </c>
      <c r="U12" s="20">
        <f>SUBTOTAL(103,_11월[19])</f>
        <v>0</v>
      </c>
      <c r="V12" s="20">
        <f>SUBTOTAL(103,_11월[20])</f>
        <v>0</v>
      </c>
      <c r="W12" s="20">
        <f>SUBTOTAL(103,_11월[21])</f>
        <v>0</v>
      </c>
      <c r="X12" s="20">
        <f>SUBTOTAL(103,_11월[22])</f>
        <v>0</v>
      </c>
      <c r="Y12" s="20">
        <f>SUBTOTAL(103,_11월[23])</f>
        <v>0</v>
      </c>
      <c r="Z12" s="20">
        <f>SUBTOTAL(103,_11월[24])</f>
        <v>0</v>
      </c>
      <c r="AA12" s="20">
        <f>SUBTOTAL(103,_11월[25])</f>
        <v>0</v>
      </c>
      <c r="AB12" s="20">
        <f>SUBTOTAL(103,_11월[26])</f>
        <v>0</v>
      </c>
      <c r="AC12" s="20">
        <f>SUBTOTAL(103,_11월[27])</f>
        <v>0</v>
      </c>
      <c r="AD12" s="20">
        <f>SUBTOTAL(103,_11월[28])</f>
        <v>0</v>
      </c>
      <c r="AE12" s="20">
        <f>SUBTOTAL(103,_11월[29])</f>
        <v>0</v>
      </c>
      <c r="AF12" s="20">
        <f>SUBTOTAL(103,_11월[30])</f>
        <v>0</v>
      </c>
      <c r="AG12" s="20">
        <f>SUBTOTAL(103,_11월[[ ]])</f>
        <v>0</v>
      </c>
      <c r="AH12" s="20">
        <f>SUBTOTAL(109,_11월[총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150" priority="2" stopIfTrue="1">
      <formula>C7=사용자지정키2</formula>
    </cfRule>
    <cfRule type="expression" dxfId="149" priority="3" stopIfTrue="1">
      <formula>C7=사용자지정키1</formula>
    </cfRule>
    <cfRule type="expression" dxfId="148" priority="4" stopIfTrue="1">
      <formula>C7=병가키</formula>
    </cfRule>
    <cfRule type="expression" dxfId="147" priority="5" stopIfTrue="1">
      <formula>C7=개인사유키</formula>
    </cfRule>
    <cfRule type="expression" dxfId="146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A00-000000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A00-000001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A00-000002000000}"/>
    <dataValidation allowBlank="1" showInputMessage="1" showErrorMessage="1" prompt="왼쪽에 있는 사용자 지정 키를 설명하는 레이블을 입력합니다." sqref="M2:O2 R2" xr:uid="{EABABC1D-1AF1-4A23-8FB1-CE205223917E}"/>
    <dataValidation allowBlank="1" showInputMessage="1" showErrorMessage="1" prompt="문자를 입력하고 다른 중요 항목을 추가하려면 오른쪽에 있는 레이블을 사용자 지정합니다." sqref="L2 Q2" xr:uid="{65CC9105-BA42-489D-B5CB-90E6951BB578}"/>
    <dataValidation allowBlank="1" showInputMessage="1" showErrorMessage="1" prompt="&quot;S&quot;는 질병으로 인한 휴가를 나타냅니다." sqref="I2" xr:uid="{B57A18EA-D9F9-42D3-B172-4F71E24FB760}"/>
    <dataValidation allowBlank="1" showInputMessage="1" showErrorMessage="1" prompt="&quot;P&quot;는 개인 이유로 인한 휴가를 나타냅니다." sqref="F2" xr:uid="{738E84DD-5CEC-4684-B3C1-0EC2000159DA}"/>
    <dataValidation allowBlank="1" showInputMessage="1" showErrorMessage="1" prompt="“V”는 휴가로 인한 휴가를 나타냅니다." sqref="C2" xr:uid="{079526FB-313D-466A-88FD-620E8A7BDDFD}"/>
    <dataValidation allowBlank="1" showInputMessage="1" showErrorMessage="1" prompt="이 셀에 자동으로 업데이트되는 제목이 있습니다. 제목을 수정하려면 1월 워크시트에서 B1을 업데이트하세요." sqref="B1" xr:uid="{00000000-0002-0000-0A00-000008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A00-000009000000}"/>
    <dataValidation allowBlank="1" showInputMessage="1" showErrorMessage="1" prompt="이 워크시트에서 11월 휴가를 추적합니다." sqref="A1" xr:uid="{00000000-0002-0000-0A00-00000A000000}"/>
    <dataValidation allowBlank="1" showInputMessage="1" showErrorMessage="1" prompt="이 열에서 이번 달 직원 휴가일 합계를 자동으로 계산합니다." sqref="AH6" xr:uid="{00000000-0002-0000-0A00-00000B000000}"/>
    <dataValidation allowBlank="1" showInputMessage="1" showErrorMessage="1" prompt="1월 워크시트에 입력된 연도에 따라 자동으로 업데이트된 연도" sqref="AH4" xr:uid="{00000000-0002-0000-0A00-00000C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A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63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TEXT(WEEKDAY(DATE(달력연도,12,1),1),"aaa")</f>
        <v>일</v>
      </c>
      <c r="D5" s="14" t="str">
        <f>TEXT(WEEKDAY(DATE(달력연도,12,2),1),"aaa")</f>
        <v>월</v>
      </c>
      <c r="E5" s="14" t="str">
        <f>TEXT(WEEKDAY(DATE(달력연도,12,3),1),"aaa")</f>
        <v>화</v>
      </c>
      <c r="F5" s="14" t="str">
        <f>TEXT(WEEKDAY(DATE(달력연도,12,4),1),"aaa")</f>
        <v>수</v>
      </c>
      <c r="G5" s="14" t="str">
        <f>TEXT(WEEKDAY(DATE(달력연도,12,5),1),"aaa")</f>
        <v>목</v>
      </c>
      <c r="H5" s="14" t="str">
        <f>TEXT(WEEKDAY(DATE(달력연도,12,6),1),"aaa")</f>
        <v>금</v>
      </c>
      <c r="I5" s="14" t="str">
        <f>TEXT(WEEKDAY(DATE(달력연도,12,7),1),"aaa")</f>
        <v>토</v>
      </c>
      <c r="J5" s="14" t="str">
        <f>TEXT(WEEKDAY(DATE(달력연도,12,8),1),"aaa")</f>
        <v>일</v>
      </c>
      <c r="K5" s="14" t="str">
        <f>TEXT(WEEKDAY(DATE(달력연도,12,9),1),"aaa")</f>
        <v>월</v>
      </c>
      <c r="L5" s="14" t="str">
        <f>TEXT(WEEKDAY(DATE(달력연도,12,10),1),"aaa")</f>
        <v>화</v>
      </c>
      <c r="M5" s="14" t="str">
        <f>TEXT(WEEKDAY(DATE(달력연도,12,11),1),"aaa")</f>
        <v>수</v>
      </c>
      <c r="N5" s="14" t="str">
        <f>TEXT(WEEKDAY(DATE(달력연도,12,12),1),"aaa")</f>
        <v>목</v>
      </c>
      <c r="O5" s="14" t="str">
        <f>TEXT(WEEKDAY(DATE(달력연도,12,13),1),"aaa")</f>
        <v>금</v>
      </c>
      <c r="P5" s="14" t="str">
        <f>TEXT(WEEKDAY(DATE(달력연도,12,14),1),"aaa")</f>
        <v>토</v>
      </c>
      <c r="Q5" s="14" t="str">
        <f>TEXT(WEEKDAY(DATE(달력연도,12,15),1),"aaa")</f>
        <v>일</v>
      </c>
      <c r="R5" s="14" t="str">
        <f>TEXT(WEEKDAY(DATE(달력연도,12,16),1),"aaa")</f>
        <v>월</v>
      </c>
      <c r="S5" s="14" t="str">
        <f>TEXT(WEEKDAY(DATE(달력연도,12,17),1),"aaa")</f>
        <v>화</v>
      </c>
      <c r="T5" s="14" t="str">
        <f>TEXT(WEEKDAY(DATE(달력연도,12,18),1),"aaa")</f>
        <v>수</v>
      </c>
      <c r="U5" s="14" t="str">
        <f>TEXT(WEEKDAY(DATE(달력연도,12,19),1),"aaa")</f>
        <v>목</v>
      </c>
      <c r="V5" s="14" t="str">
        <f>TEXT(WEEKDAY(DATE(달력연도,12,20),1),"aaa")</f>
        <v>금</v>
      </c>
      <c r="W5" s="14" t="str">
        <f>TEXT(WEEKDAY(DATE(달력연도,12,21),1),"aaa")</f>
        <v>토</v>
      </c>
      <c r="X5" s="14" t="str">
        <f>TEXT(WEEKDAY(DATE(달력연도,12,22),1),"aaa")</f>
        <v>일</v>
      </c>
      <c r="Y5" s="14" t="str">
        <f>TEXT(WEEKDAY(DATE(달력연도,12,23),1),"aaa")</f>
        <v>월</v>
      </c>
      <c r="Z5" s="14" t="str">
        <f>TEXT(WEEKDAY(DATE(달력연도,12,24),1),"aaa")</f>
        <v>화</v>
      </c>
      <c r="AA5" s="14" t="str">
        <f>TEXT(WEEKDAY(DATE(달력연도,12,25),1),"aaa")</f>
        <v>수</v>
      </c>
      <c r="AB5" s="14" t="str">
        <f>TEXT(WEEKDAY(DATE(달력연도,12,26),1),"aaa")</f>
        <v>목</v>
      </c>
      <c r="AC5" s="14" t="str">
        <f>TEXT(WEEKDAY(DATE(달력연도,12,27),1),"aaa")</f>
        <v>금</v>
      </c>
      <c r="AD5" s="14" t="str">
        <f>TEXT(WEEKDAY(DATE(달력연도,12,28),1),"aaa")</f>
        <v>토</v>
      </c>
      <c r="AE5" s="14" t="str">
        <f>TEXT(WEEKDAY(DATE(달력연도,12,29),1),"aaa")</f>
        <v>일</v>
      </c>
      <c r="AF5" s="14" t="str">
        <f>TEXT(WEEKDAY(DATE(달력연도,12,30),1),"aaa")</f>
        <v>월</v>
      </c>
      <c r="AG5" s="14" t="str">
        <f>TEXT(WEEKDAY(DATE(달력연도,12,31),1),"aaa")</f>
        <v>화</v>
      </c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COUNTA(_12월[[#This Row],[1]:[31]])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COUNTA(_12월[[#This Row],[1]:[31]])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COUNTA(_12월[[#This Row],[1]:[31]])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COUNTA(_12월[[#This Row],[1]:[31]])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COUNTA(_12월[[#This Row],[1]:[31]])</f>
        <v>0</v>
      </c>
    </row>
    <row r="12" spans="2:34" ht="30" customHeight="1">
      <c r="B12" s="19" t="str">
        <f>월이름&amp;" 요약"</f>
        <v>12월 요약</v>
      </c>
      <c r="C12" s="20">
        <f>SUBTOTAL(103,_12월[1])</f>
        <v>0</v>
      </c>
      <c r="D12" s="20">
        <f>SUBTOTAL(103,_12월[2])</f>
        <v>0</v>
      </c>
      <c r="E12" s="20">
        <f>SUBTOTAL(103,_12월[3])</f>
        <v>0</v>
      </c>
      <c r="F12" s="20">
        <f>SUBTOTAL(103,_12월[4])</f>
        <v>0</v>
      </c>
      <c r="G12" s="20">
        <f>SUBTOTAL(103,_12월[5])</f>
        <v>0</v>
      </c>
      <c r="H12" s="20">
        <f>SUBTOTAL(103,_12월[6])</f>
        <v>0</v>
      </c>
      <c r="I12" s="20">
        <f>SUBTOTAL(103,_12월[7])</f>
        <v>0</v>
      </c>
      <c r="J12" s="20">
        <f>SUBTOTAL(103,_12월[8])</f>
        <v>0</v>
      </c>
      <c r="K12" s="20">
        <f>SUBTOTAL(103,_12월[9])</f>
        <v>0</v>
      </c>
      <c r="L12" s="20">
        <f>SUBTOTAL(103,_12월[10])</f>
        <v>0</v>
      </c>
      <c r="M12" s="20">
        <f>SUBTOTAL(103,_12월[11])</f>
        <v>0</v>
      </c>
      <c r="N12" s="20">
        <f>SUBTOTAL(103,_12월[12])</f>
        <v>0</v>
      </c>
      <c r="O12" s="20">
        <f>SUBTOTAL(103,_12월[13])</f>
        <v>0</v>
      </c>
      <c r="P12" s="20">
        <f>SUBTOTAL(103,_12월[14])</f>
        <v>0</v>
      </c>
      <c r="Q12" s="20">
        <f>SUBTOTAL(103,_12월[15])</f>
        <v>0</v>
      </c>
      <c r="R12" s="20">
        <f>SUBTOTAL(103,_12월[16])</f>
        <v>0</v>
      </c>
      <c r="S12" s="20">
        <f>SUBTOTAL(103,_12월[17])</f>
        <v>0</v>
      </c>
      <c r="T12" s="20">
        <f>SUBTOTAL(103,_12월[18])</f>
        <v>0</v>
      </c>
      <c r="U12" s="20">
        <f>SUBTOTAL(103,_12월[19])</f>
        <v>0</v>
      </c>
      <c r="V12" s="20">
        <f>SUBTOTAL(103,_12월[20])</f>
        <v>0</v>
      </c>
      <c r="W12" s="20">
        <f>SUBTOTAL(103,_12월[21])</f>
        <v>0</v>
      </c>
      <c r="X12" s="20">
        <f>SUBTOTAL(103,_12월[22])</f>
        <v>0</v>
      </c>
      <c r="Y12" s="20">
        <f>SUBTOTAL(103,_12월[23])</f>
        <v>0</v>
      </c>
      <c r="Z12" s="20">
        <f>SUBTOTAL(103,_12월[24])</f>
        <v>0</v>
      </c>
      <c r="AA12" s="20">
        <f>SUBTOTAL(103,_12월[25])</f>
        <v>0</v>
      </c>
      <c r="AB12" s="20">
        <f>SUBTOTAL(103,_12월[26])</f>
        <v>0</v>
      </c>
      <c r="AC12" s="20">
        <f>SUBTOTAL(103,_12월[27])</f>
        <v>0</v>
      </c>
      <c r="AD12" s="20">
        <f>SUBTOTAL(103,_12월[28])</f>
        <v>0</v>
      </c>
      <c r="AE12" s="20">
        <f>SUBTOTAL(103,_12월[29])</f>
        <v>0</v>
      </c>
      <c r="AF12" s="20">
        <f>SUBTOTAL(103,_12월[30])</f>
        <v>0</v>
      </c>
      <c r="AG12" s="20">
        <f>SUBTOTAL(103,_12월[31])</f>
        <v>0</v>
      </c>
      <c r="AH12" s="20">
        <f>SUBTOTAL(109,_12월[총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76" priority="2" stopIfTrue="1">
      <formula>C7=사용자지정키2</formula>
    </cfRule>
    <cfRule type="expression" dxfId="75" priority="3" stopIfTrue="1">
      <formula>C7=사용자지정키1</formula>
    </cfRule>
    <cfRule type="expression" dxfId="74" priority="4" stopIfTrue="1">
      <formula>C7=병가키</formula>
    </cfRule>
    <cfRule type="expression" dxfId="73" priority="5" stopIfTrue="1">
      <formula>C7=개인사유키</formula>
    </cfRule>
    <cfRule type="expression" dxfId="72" priority="6" stopIfTrue="1">
      <formula>C7=휴가키</formula>
    </cfRule>
  </conditionalFormatting>
  <conditionalFormatting sqref="AH7:AH11">
    <cfRule type="dataBar" priority="30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1월 워크시트에 입력된 연도에 따라 자동으로 업데이트된 연도" sqref="AH4" xr:uid="{00000000-0002-0000-0B00-000000000000}"/>
    <dataValidation allowBlank="1" showInputMessage="1" showErrorMessage="1" prompt="이 열에서 이번 달 직원 휴가일 합계를 자동으로 계산합니다." sqref="AH6" xr:uid="{00000000-0002-0000-0B00-000001000000}"/>
    <dataValidation allowBlank="1" showInputMessage="1" showErrorMessage="1" prompt="이 워크시트에서 12월 휴가를 추적합니다." sqref="A1" xr:uid="{00000000-0002-0000-0B00-000002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B00-000003000000}"/>
    <dataValidation allowBlank="1" showInputMessage="1" showErrorMessage="1" prompt="이 셀에 자동으로 업데이트되는 제목이 있습니다. 제목을 수정하려면 1월 워크시트에서 B1을 업데이트하세요." sqref="B1" xr:uid="{00000000-0002-0000-0B00-000004000000}"/>
    <dataValidation allowBlank="1" showInputMessage="1" showErrorMessage="1" prompt="“V”는 휴가로 인한 휴가를 나타냅니다." sqref="C2" xr:uid="{D1113EE5-4427-463B-B158-B91089F5A7E2}"/>
    <dataValidation allowBlank="1" showInputMessage="1" showErrorMessage="1" prompt="&quot;P&quot;는 개인 이유로 인한 휴가를 나타냅니다." sqref="F2" xr:uid="{03A322A6-0623-48FB-8DBF-EE03C8069478}"/>
    <dataValidation allowBlank="1" showInputMessage="1" showErrorMessage="1" prompt="&quot;S&quot;는 질병으로 인한 휴가를 나타냅니다." sqref="I2" xr:uid="{11891A34-3442-4C6F-B310-D5CC29B78B93}"/>
    <dataValidation allowBlank="1" showInputMessage="1" showErrorMessage="1" prompt="문자를 입력하고 다른 중요 항목을 추가하려면 오른쪽에 있는 레이블을 사용자 지정합니다." sqref="L2 Q2" xr:uid="{81072699-7637-4018-85B5-DD8444C3CFDC}"/>
    <dataValidation allowBlank="1" showInputMessage="1" showErrorMessage="1" prompt="왼쪽에 있는 사용자 지정 키를 설명하는 레이블을 입력합니다." sqref="M2:O2 R2" xr:uid="{095B58E3-513E-4377-BF1F-1D1E81456642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B00-00000A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B00-00000B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B00-00000C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B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workbookViewId="0"/>
  </sheetViews>
  <sheetFormatPr defaultRowHeight="30" customHeight="1"/>
  <cols>
    <col min="1" max="1" width="2.375" style="4" customWidth="1"/>
    <col min="2" max="2" width="30.625" style="4" customWidth="1"/>
    <col min="3" max="3" width="2.625" style="4" customWidth="1"/>
    <col min="4" max="16384" width="9" style="4"/>
  </cols>
  <sheetData>
    <row r="1" spans="2:2" ht="50.1" customHeight="1">
      <c r="B1" s="3" t="s">
        <v>3</v>
      </c>
    </row>
    <row r="2" spans="2:2" ht="15" customHeight="1"/>
    <row r="3" spans="2:2" ht="30" customHeight="1">
      <c r="B3" s="4" t="s">
        <v>3</v>
      </c>
    </row>
    <row r="4" spans="2:2" ht="30" customHeight="1">
      <c r="B4" s="17" t="s">
        <v>4</v>
      </c>
    </row>
    <row r="5" spans="2:2" ht="30" customHeight="1">
      <c r="B5" s="17" t="s">
        <v>5</v>
      </c>
    </row>
    <row r="6" spans="2:2" ht="30" customHeight="1">
      <c r="B6" s="17" t="s">
        <v>6</v>
      </c>
    </row>
    <row r="7" spans="2:2" ht="30" customHeight="1">
      <c r="B7" s="17" t="s">
        <v>7</v>
      </c>
    </row>
    <row r="8" spans="2:2" ht="30" customHeight="1">
      <c r="B8" s="17" t="s">
        <v>8</v>
      </c>
    </row>
  </sheetData>
  <phoneticPr fontId="1" type="noConversion"/>
  <dataValidations count="3">
    <dataValidation allowBlank="1" showInputMessage="1" showErrorMessage="1" prompt="직원 이름 제목" sqref="B1" xr:uid="{00000000-0002-0000-0C00-000000000000}"/>
    <dataValidation allowBlank="1" showInputMessage="1" showErrorMessage="1" prompt="이 워크시트의 직원 이름 표에 직원 이름을 입력합니다. 이름은 각 월의 휴가 표 안의 열 B에서 옵션으로 사용됩니다." sqref="A1" xr:uid="{00000000-0002-0000-0C00-000001000000}"/>
    <dataValidation allowBlank="1" showInputMessage="1" showErrorMessage="1" prompt="이 열에 직원 이름을 입력합니다.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B1:AH12"/>
  <sheetViews>
    <sheetView showGridLines="0" zoomScaleNormal="100" workbookViewId="0"/>
  </sheetViews>
  <sheetFormatPr defaultColWidth="9"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/>
    <row r="4" spans="2:34" ht="30" customHeight="1">
      <c r="B4" s="13" t="s">
        <v>51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TEXT(WEEKDAY(DATE(달력연도,2,1),1),"aaa")</f>
        <v>금</v>
      </c>
      <c r="D5" s="14" t="str">
        <f>TEXT(WEEKDAY(DATE(달력연도,2,2),1),"aaa")</f>
        <v>토</v>
      </c>
      <c r="E5" s="14" t="str">
        <f>TEXT(WEEKDAY(DATE(달력연도,2,3),1),"aaa")</f>
        <v>일</v>
      </c>
      <c r="F5" s="14" t="str">
        <f>TEXT(WEEKDAY(DATE(달력연도,2,4),1),"aaa")</f>
        <v>월</v>
      </c>
      <c r="G5" s="14" t="str">
        <f>TEXT(WEEKDAY(DATE(달력연도,2,5),1),"aaa")</f>
        <v>화</v>
      </c>
      <c r="H5" s="14" t="str">
        <f>TEXT(WEEKDAY(DATE(달력연도,2,6),1),"aaa")</f>
        <v>수</v>
      </c>
      <c r="I5" s="14" t="str">
        <f>TEXT(WEEKDAY(DATE(달력연도,2,7),1),"aaa")</f>
        <v>목</v>
      </c>
      <c r="J5" s="14" t="str">
        <f>TEXT(WEEKDAY(DATE(달력연도,2,8),1),"aaa")</f>
        <v>금</v>
      </c>
      <c r="K5" s="14" t="str">
        <f>TEXT(WEEKDAY(DATE(달력연도,2,9),1),"aaa")</f>
        <v>토</v>
      </c>
      <c r="L5" s="14" t="str">
        <f>TEXT(WEEKDAY(DATE(달력연도,2,10),1),"aaa")</f>
        <v>일</v>
      </c>
      <c r="M5" s="14" t="str">
        <f>TEXT(WEEKDAY(DATE(달력연도,2,11),1),"aaa")</f>
        <v>월</v>
      </c>
      <c r="N5" s="14" t="str">
        <f>TEXT(WEEKDAY(DATE(달력연도,2,12),1),"aaa")</f>
        <v>화</v>
      </c>
      <c r="O5" s="14" t="str">
        <f>TEXT(WEEKDAY(DATE(달력연도,2,13),1),"aaa")</f>
        <v>수</v>
      </c>
      <c r="P5" s="14" t="str">
        <f>TEXT(WEEKDAY(DATE(달력연도,2,14),1),"aaa")</f>
        <v>목</v>
      </c>
      <c r="Q5" s="14" t="str">
        <f>TEXT(WEEKDAY(DATE(달력연도,2,15),1),"aaa")</f>
        <v>금</v>
      </c>
      <c r="R5" s="14" t="str">
        <f>TEXT(WEEKDAY(DATE(달력연도,2,16),1),"aaa")</f>
        <v>토</v>
      </c>
      <c r="S5" s="14" t="str">
        <f>TEXT(WEEKDAY(DATE(달력연도,2,17),1),"aaa")</f>
        <v>일</v>
      </c>
      <c r="T5" s="14" t="str">
        <f>TEXT(WEEKDAY(DATE(달력연도,2,18),1),"aaa")</f>
        <v>월</v>
      </c>
      <c r="U5" s="14" t="str">
        <f>TEXT(WEEKDAY(DATE(달력연도,2,19),1),"aaa")</f>
        <v>화</v>
      </c>
      <c r="V5" s="14" t="str">
        <f>TEXT(WEEKDAY(DATE(달력연도,2,20),1),"aaa")</f>
        <v>수</v>
      </c>
      <c r="W5" s="14" t="str">
        <f>TEXT(WEEKDAY(DATE(달력연도,2,21),1),"aaa")</f>
        <v>목</v>
      </c>
      <c r="X5" s="14" t="str">
        <f>TEXT(WEEKDAY(DATE(달력연도,2,22),1),"aaa")</f>
        <v>금</v>
      </c>
      <c r="Y5" s="14" t="str">
        <f>TEXT(WEEKDAY(DATE(달력연도,2,23),1),"aaa")</f>
        <v>토</v>
      </c>
      <c r="Z5" s="14" t="str">
        <f>TEXT(WEEKDAY(DATE(달력연도,2,24),1),"aaa")</f>
        <v>일</v>
      </c>
      <c r="AA5" s="14" t="str">
        <f>TEXT(WEEKDAY(DATE(달력연도,2,25),1),"aaa")</f>
        <v>월</v>
      </c>
      <c r="AB5" s="14" t="str">
        <f>TEXT(WEEKDAY(DATE(달력연도,2,26),1),"aaa")</f>
        <v>화</v>
      </c>
      <c r="AC5" s="14" t="str">
        <f>TEXT(WEEKDAY(DATE(달력연도,2,27),1),"aaa")</f>
        <v>수</v>
      </c>
      <c r="AD5" s="14" t="str">
        <f>TEXT(WEEKDAY(DATE(달력연도,2,28),1),"aaa")</f>
        <v>목</v>
      </c>
      <c r="AE5" s="14" t="str">
        <f>TEXT(WEEKDAY(DATE(달력연도,2,29),1),"aaa")</f>
        <v>금</v>
      </c>
      <c r="AF5" s="14"/>
      <c r="AG5" s="14"/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52</v>
      </c>
      <c r="AG6" s="14" t="s">
        <v>53</v>
      </c>
      <c r="AH6" s="16" t="s">
        <v>50</v>
      </c>
    </row>
    <row r="7" spans="2:34" ht="30" customHeight="1">
      <c r="B7" s="17" t="s">
        <v>4</v>
      </c>
      <c r="C7" s="14"/>
      <c r="D7" s="14"/>
      <c r="E7" s="14" t="s">
        <v>9</v>
      </c>
      <c r="F7" s="14" t="s">
        <v>9</v>
      </c>
      <c r="G7" s="14" t="s">
        <v>9</v>
      </c>
      <c r="H7" s="14" t="s">
        <v>9</v>
      </c>
      <c r="I7" s="14"/>
      <c r="J7" s="14"/>
      <c r="K7" s="14"/>
      <c r="L7" s="14"/>
      <c r="M7" s="14"/>
      <c r="N7" s="14"/>
      <c r="O7" s="14" t="s">
        <v>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COUNTA(_2월[[#This Row],[1]:[29]])</f>
        <v>5</v>
      </c>
    </row>
    <row r="8" spans="2:34" ht="30" customHeight="1">
      <c r="B8" s="17" t="s">
        <v>5</v>
      </c>
      <c r="C8" s="14"/>
      <c r="D8" s="14"/>
      <c r="E8" s="14"/>
      <c r="F8" s="14"/>
      <c r="G8" s="14" t="s">
        <v>17</v>
      </c>
      <c r="H8" s="14" t="s">
        <v>17</v>
      </c>
      <c r="I8" s="14"/>
      <c r="J8" s="14"/>
      <c r="K8" s="14"/>
      <c r="L8" s="14"/>
      <c r="M8" s="14" t="s">
        <v>15</v>
      </c>
      <c r="N8" s="14"/>
      <c r="O8" s="14"/>
      <c r="P8" s="14"/>
      <c r="Q8" s="14"/>
      <c r="R8" s="14"/>
      <c r="S8" s="14"/>
      <c r="T8" s="14"/>
      <c r="U8" s="14"/>
      <c r="V8" s="14" t="s">
        <v>17</v>
      </c>
      <c r="W8" s="14"/>
      <c r="X8" s="14"/>
      <c r="Y8" s="14"/>
      <c r="Z8" s="14"/>
      <c r="AA8" s="14" t="s">
        <v>9</v>
      </c>
      <c r="AB8" s="14" t="s">
        <v>9</v>
      </c>
      <c r="AC8" s="14" t="s">
        <v>9</v>
      </c>
      <c r="AD8" s="14"/>
      <c r="AE8" s="14"/>
      <c r="AF8" s="14"/>
      <c r="AG8" s="14"/>
      <c r="AH8" s="1">
        <f>COUNTA(_2월[[#This Row],[1]:[29]])</f>
        <v>7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COUNTA(_2월[[#This Row],[1]:[29]])</f>
        <v>0</v>
      </c>
    </row>
    <row r="10" spans="2:34" ht="30" customHeight="1">
      <c r="B10" s="17" t="s">
        <v>7</v>
      </c>
      <c r="C10" s="14"/>
      <c r="D10" s="14"/>
      <c r="E10" s="14" t="s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 t="s">
        <v>17</v>
      </c>
      <c r="Q10" s="14"/>
      <c r="R10" s="14"/>
      <c r="S10" s="14"/>
      <c r="T10" s="14" t="s">
        <v>15</v>
      </c>
      <c r="U10" s="14"/>
      <c r="V10" s="14"/>
      <c r="W10" s="14"/>
      <c r="X10" s="14"/>
      <c r="Y10" s="14"/>
      <c r="Z10" s="14"/>
      <c r="AA10" s="14"/>
      <c r="AB10" s="14"/>
      <c r="AC10" s="14"/>
      <c r="AD10" s="14" t="s">
        <v>17</v>
      </c>
      <c r="AE10" s="14"/>
      <c r="AF10" s="14"/>
      <c r="AG10" s="14"/>
      <c r="AH10" s="1">
        <f>COUNTA(_2월[[#This Row],[1]:[29]])</f>
        <v>4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 t="s">
        <v>9</v>
      </c>
      <c r="K11" s="14" t="s">
        <v>9</v>
      </c>
      <c r="L11" s="14" t="s">
        <v>9</v>
      </c>
      <c r="M11" s="14" t="s">
        <v>9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 t="s">
        <v>17</v>
      </c>
      <c r="AA11" s="14"/>
      <c r="AB11" s="14"/>
      <c r="AC11" s="14"/>
      <c r="AD11" s="14"/>
      <c r="AE11" s="14"/>
      <c r="AF11" s="14"/>
      <c r="AG11" s="14"/>
      <c r="AH11" s="1">
        <f>COUNTA(_2월[[#This Row],[1]:[29]])</f>
        <v>5</v>
      </c>
    </row>
    <row r="12" spans="2:34" ht="30" customHeight="1">
      <c r="B12" s="19" t="str">
        <f>월이름&amp;" 요약"</f>
        <v>2월 요약</v>
      </c>
      <c r="C12" s="20">
        <f>SUBTOTAL(103,_2월[1])</f>
        <v>0</v>
      </c>
      <c r="D12" s="20">
        <f>SUBTOTAL(103,_2월[2])</f>
        <v>0</v>
      </c>
      <c r="E12" s="20">
        <f>SUBTOTAL(103,_2월[3])</f>
        <v>2</v>
      </c>
      <c r="F12" s="20">
        <f>SUBTOTAL(103,_2월[4])</f>
        <v>1</v>
      </c>
      <c r="G12" s="20">
        <f>SUBTOTAL(103,_2월[5])</f>
        <v>2</v>
      </c>
      <c r="H12" s="20">
        <f>SUBTOTAL(103,_2월[6])</f>
        <v>2</v>
      </c>
      <c r="I12" s="20">
        <f>SUBTOTAL(103,_2월[7])</f>
        <v>0</v>
      </c>
      <c r="J12" s="20">
        <f>SUBTOTAL(103,_2월[8])</f>
        <v>1</v>
      </c>
      <c r="K12" s="20">
        <f>SUBTOTAL(103,_2월[9])</f>
        <v>1</v>
      </c>
      <c r="L12" s="20">
        <f>SUBTOTAL(103,_2월[10])</f>
        <v>1</v>
      </c>
      <c r="M12" s="20">
        <f>SUBTOTAL(103,_2월[11])</f>
        <v>2</v>
      </c>
      <c r="N12" s="20">
        <f>SUBTOTAL(103,_2월[12])</f>
        <v>0</v>
      </c>
      <c r="O12" s="20">
        <f>SUBTOTAL(103,_2월[13])</f>
        <v>1</v>
      </c>
      <c r="P12" s="20">
        <f>SUBTOTAL(103,_2월[14])</f>
        <v>1</v>
      </c>
      <c r="Q12" s="20">
        <f>SUBTOTAL(103,_2월[15])</f>
        <v>0</v>
      </c>
      <c r="R12" s="20">
        <f>SUBTOTAL(103,_2월[16])</f>
        <v>0</v>
      </c>
      <c r="S12" s="20">
        <f>SUBTOTAL(103,_2월[17])</f>
        <v>0</v>
      </c>
      <c r="T12" s="20">
        <f>SUBTOTAL(103,_2월[18])</f>
        <v>1</v>
      </c>
      <c r="U12" s="20">
        <f>SUBTOTAL(103,_2월[19])</f>
        <v>0</v>
      </c>
      <c r="V12" s="20">
        <f>SUBTOTAL(103,_2월[20])</f>
        <v>1</v>
      </c>
      <c r="W12" s="20">
        <f>SUBTOTAL(103,_2월[21])</f>
        <v>0</v>
      </c>
      <c r="X12" s="20">
        <f>SUBTOTAL(103,_2월[22])</f>
        <v>0</v>
      </c>
      <c r="Y12" s="20">
        <f>SUBTOTAL(103,_2월[23])</f>
        <v>0</v>
      </c>
      <c r="Z12" s="20">
        <f>SUBTOTAL(103,_2월[24])</f>
        <v>1</v>
      </c>
      <c r="AA12" s="20">
        <f>SUBTOTAL(103,_2월[25])</f>
        <v>1</v>
      </c>
      <c r="AB12" s="20">
        <f>SUBTOTAL(103,_2월[26])</f>
        <v>1</v>
      </c>
      <c r="AC12" s="20">
        <f>SUBTOTAL(103,_2월[27])</f>
        <v>1</v>
      </c>
      <c r="AD12" s="20">
        <f>SUBTOTAL(103,_2월[28])</f>
        <v>1</v>
      </c>
      <c r="AE12" s="20">
        <f>SUBTOTAL(103,_2월[29])</f>
        <v>0</v>
      </c>
      <c r="AF12" s="20"/>
      <c r="AG12" s="20"/>
      <c r="AH12" s="20">
        <f>SUBTOTAL(109,_2월[총 일수])</f>
        <v>21</v>
      </c>
    </row>
  </sheetData>
  <mergeCells count="1">
    <mergeCell ref="C4:AG4"/>
  </mergeCells>
  <phoneticPr fontId="1" type="noConversion"/>
  <conditionalFormatting sqref="AE6">
    <cfRule type="expression" dxfId="818" priority="16">
      <formula>MONTH(DATE(달력연도,2,29))&lt;&gt;2</formula>
    </cfRule>
  </conditionalFormatting>
  <conditionalFormatting sqref="AE5">
    <cfRule type="expression" dxfId="817" priority="15">
      <formula>MONTH(DATE(달력연도,2,29))&lt;&gt;2</formula>
    </cfRule>
  </conditionalFormatting>
  <conditionalFormatting sqref="C7:AG11">
    <cfRule type="expression" priority="2" stopIfTrue="1">
      <formula>C7=""</formula>
    </cfRule>
    <cfRule type="expression" dxfId="816" priority="3" stopIfTrue="1">
      <formula>C7=사용자지정키2</formula>
    </cfRule>
  </conditionalFormatting>
  <conditionalFormatting sqref="C7:AG11">
    <cfRule type="expression" dxfId="815" priority="5" stopIfTrue="1">
      <formula>C7=사용자지정키1</formula>
    </cfRule>
    <cfRule type="expression" dxfId="814" priority="6" stopIfTrue="1">
      <formula>C7=병가키</formula>
    </cfRule>
    <cfRule type="expression" dxfId="813" priority="7" stopIfTrue="1">
      <formula>C7=개인사유키</formula>
    </cfRule>
    <cfRule type="expression" dxfId="812" priority="8" stopIfTrue="1">
      <formula>C7=휴가키</formula>
    </cfRule>
  </conditionalFormatting>
  <conditionalFormatting sqref="AH7:AH11">
    <cfRule type="dataBar" priority="153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1월 워크시트에 입력된 연도에 따라 자동으로 업데이트된 연도" sqref="AH4" xr:uid="{00000000-0002-0000-0100-000000000000}"/>
    <dataValidation allowBlank="1" showInputMessage="1" showErrorMessage="1" prompt="이 워크시트에서는 2월 휴가를 추적합니다." sqref="A1" xr:uid="{00000000-0002-0000-0100-000001000000}"/>
    <dataValidation allowBlank="1" showInputMessage="1" showErrorMessage="1" prompt="이 열에서 이번 달 직원 휴가일 합계를 자동으로 계산합니다." sqref="AH6" xr:uid="{00000000-0002-0000-0100-000002000000}"/>
    <dataValidation allowBlank="1" showInputMessage="1" showErrorMessage="1" prompt="이 셀에 자동으로 업데이트되는 제목이 있습니다. 제목을 수정하려면 1월 워크시트에서 B1을 업데이트하세요." sqref="B1" xr:uid="{00000000-0002-0000-0100-000003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100-000004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100-000005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100-000006000000}"/>
    <dataValidation allowBlank="1" showInputMessage="1" showErrorMessage="1" prompt="왼쪽에 있는 사용자 지정 키를 설명하는 레이블을 입력합니다." sqref="M2:O2 R2" xr:uid="{12447449-A188-40AB-8543-617CEF6565E1}"/>
    <dataValidation allowBlank="1" showInputMessage="1" showErrorMessage="1" prompt="문자를 입력하고 다른 중요 항목을 추가하려면 오른쪽에 있는 레이블을 사용자 지정합니다." sqref="L2 Q2" xr:uid="{E4ED5C5B-93AB-4BB5-A274-90BED3633333}"/>
    <dataValidation allowBlank="1" showInputMessage="1" showErrorMessage="1" prompt="&quot;S&quot;는 질병으로 인한 휴가를 나타냅니다." sqref="I2" xr:uid="{767F709E-8E04-4D5C-9F75-0D4A2CE3B7DD}"/>
    <dataValidation allowBlank="1" showInputMessage="1" showErrorMessage="1" prompt="&quot;P&quot;는 개인 이유로 인한 휴가를 나타냅니다." sqref="F2" xr:uid="{5E97662C-A2BD-4E7F-B5B6-BD851FBEB57C}"/>
    <dataValidation allowBlank="1" showInputMessage="1" showErrorMessage="1" prompt="“V”는 휴가로 인한 휴가를 나타냅니다." sqref="C2" xr:uid="{0B4952E2-7A7F-48DB-B315-48EA83362815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100-00000C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1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54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TEXT(WEEKDAY(DATE(달력연도,3,1),1),"aaa")</f>
        <v>금</v>
      </c>
      <c r="D5" s="14" t="str">
        <f>TEXT(WEEKDAY(DATE(달력연도,3,2),1),"aaa")</f>
        <v>토</v>
      </c>
      <c r="E5" s="14" t="str">
        <f>TEXT(WEEKDAY(DATE(달력연도,3,3),1),"aaa")</f>
        <v>일</v>
      </c>
      <c r="F5" s="14" t="str">
        <f>TEXT(WEEKDAY(DATE(달력연도,3,4),1),"aaa")</f>
        <v>월</v>
      </c>
      <c r="G5" s="14" t="str">
        <f>TEXT(WEEKDAY(DATE(달력연도,3,5),1),"aaa")</f>
        <v>화</v>
      </c>
      <c r="H5" s="14" t="str">
        <f>TEXT(WEEKDAY(DATE(달력연도,3,6),1),"aaa")</f>
        <v>수</v>
      </c>
      <c r="I5" s="14" t="str">
        <f>TEXT(WEEKDAY(DATE(달력연도,3,7),1),"aaa")</f>
        <v>목</v>
      </c>
      <c r="J5" s="14" t="str">
        <f>TEXT(WEEKDAY(DATE(달력연도,3,8),1),"aaa")</f>
        <v>금</v>
      </c>
      <c r="K5" s="14" t="str">
        <f>TEXT(WEEKDAY(DATE(달력연도,3,9),1),"aaa")</f>
        <v>토</v>
      </c>
      <c r="L5" s="14" t="str">
        <f>TEXT(WEEKDAY(DATE(달력연도,3,10),1),"aaa")</f>
        <v>일</v>
      </c>
      <c r="M5" s="14" t="str">
        <f>TEXT(WEEKDAY(DATE(달력연도,3,11),1),"aaa")</f>
        <v>월</v>
      </c>
      <c r="N5" s="14" t="str">
        <f>TEXT(WEEKDAY(DATE(달력연도,3,12),1),"aaa")</f>
        <v>화</v>
      </c>
      <c r="O5" s="14" t="str">
        <f>TEXT(WEEKDAY(DATE(달력연도,3,13),1),"aaa")</f>
        <v>수</v>
      </c>
      <c r="P5" s="14" t="str">
        <f>TEXT(WEEKDAY(DATE(달력연도,3,14),1),"aaa")</f>
        <v>목</v>
      </c>
      <c r="Q5" s="14" t="str">
        <f>TEXT(WEEKDAY(DATE(달력연도,3,15),1),"aaa")</f>
        <v>금</v>
      </c>
      <c r="R5" s="14" t="str">
        <f>TEXT(WEEKDAY(DATE(달력연도,3,16),1),"aaa")</f>
        <v>토</v>
      </c>
      <c r="S5" s="14" t="str">
        <f>TEXT(WEEKDAY(DATE(달력연도,3,17),1),"aaa")</f>
        <v>일</v>
      </c>
      <c r="T5" s="14" t="str">
        <f>TEXT(WEEKDAY(DATE(달력연도,3,18),1),"aaa")</f>
        <v>월</v>
      </c>
      <c r="U5" s="14" t="str">
        <f>TEXT(WEEKDAY(DATE(달력연도,3,19),1),"aaa")</f>
        <v>화</v>
      </c>
      <c r="V5" s="14" t="str">
        <f>TEXT(WEEKDAY(DATE(달력연도,3,20),1),"aaa")</f>
        <v>수</v>
      </c>
      <c r="W5" s="14" t="str">
        <f>TEXT(WEEKDAY(DATE(달력연도,3,21),1),"aaa")</f>
        <v>목</v>
      </c>
      <c r="X5" s="14" t="str">
        <f>TEXT(WEEKDAY(DATE(달력연도,3,22),1),"aaa")</f>
        <v>금</v>
      </c>
      <c r="Y5" s="14" t="str">
        <f>TEXT(WEEKDAY(DATE(달력연도,3,23),1),"aaa")</f>
        <v>토</v>
      </c>
      <c r="Z5" s="14" t="str">
        <f>TEXT(WEEKDAY(DATE(달력연도,3,24),1),"aaa")</f>
        <v>일</v>
      </c>
      <c r="AA5" s="14" t="str">
        <f>TEXT(WEEKDAY(DATE(달력연도,3,25),1),"aaa")</f>
        <v>월</v>
      </c>
      <c r="AB5" s="14" t="str">
        <f>TEXT(WEEKDAY(DATE(달력연도,3,26),1),"aaa")</f>
        <v>화</v>
      </c>
      <c r="AC5" s="14" t="str">
        <f>TEXT(WEEKDAY(DATE(달력연도,3,27),1),"aaa")</f>
        <v>수</v>
      </c>
      <c r="AD5" s="14" t="str">
        <f>TEXT(WEEKDAY(DATE(달력연도,3,28),1),"aaa")</f>
        <v>목</v>
      </c>
      <c r="AE5" s="14" t="str">
        <f>TEXT(WEEKDAY(DATE(달력연도,3,29),1),"aaa")</f>
        <v>금</v>
      </c>
      <c r="AF5" s="14" t="str">
        <f>TEXT(WEEKDAY(DATE(달력연도,3,30),1),"aaa")</f>
        <v>토</v>
      </c>
      <c r="AG5" s="14" t="str">
        <f>TEXT(WEEKDAY(DATE(달력연도,3,31),1),"aaa")</f>
        <v>일</v>
      </c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COUNTA(_3월[[#This Row],[1]:[31]])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COUNTA(_3월[[#This Row],[1]:[31]])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COUNTA(_3월[[#This Row],[1]:[31]])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COUNTA(_3월[[#This Row],[1]:[31]])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COUNTA(_3월[[#This Row],[1]:[31]])</f>
        <v>0</v>
      </c>
    </row>
    <row r="12" spans="2:34" ht="30" customHeight="1">
      <c r="B12" s="19" t="str">
        <f>월이름&amp;" 요약"</f>
        <v>3월 요약</v>
      </c>
      <c r="C12" s="20">
        <f>SUBTOTAL(103,_3월[1])</f>
        <v>0</v>
      </c>
      <c r="D12" s="20">
        <f>SUBTOTAL(103,_3월[2])</f>
        <v>0</v>
      </c>
      <c r="E12" s="20">
        <f>SUBTOTAL(103,_3월[3])</f>
        <v>0</v>
      </c>
      <c r="F12" s="20">
        <f>SUBTOTAL(103,_3월[4])</f>
        <v>0</v>
      </c>
      <c r="G12" s="20">
        <f>SUBTOTAL(103,_3월[5])</f>
        <v>0</v>
      </c>
      <c r="H12" s="20">
        <f>SUBTOTAL(103,_3월[6])</f>
        <v>0</v>
      </c>
      <c r="I12" s="20">
        <f>SUBTOTAL(103,_3월[7])</f>
        <v>0</v>
      </c>
      <c r="J12" s="20">
        <f>SUBTOTAL(103,_3월[8])</f>
        <v>0</v>
      </c>
      <c r="K12" s="20">
        <f>SUBTOTAL(103,_3월[9])</f>
        <v>0</v>
      </c>
      <c r="L12" s="20">
        <f>SUBTOTAL(103,_3월[10])</f>
        <v>0</v>
      </c>
      <c r="M12" s="20">
        <f>SUBTOTAL(103,_3월[11])</f>
        <v>0</v>
      </c>
      <c r="N12" s="20">
        <f>SUBTOTAL(103,_3월[12])</f>
        <v>0</v>
      </c>
      <c r="O12" s="20">
        <f>SUBTOTAL(103,_3월[13])</f>
        <v>0</v>
      </c>
      <c r="P12" s="20">
        <f>SUBTOTAL(103,_3월[14])</f>
        <v>0</v>
      </c>
      <c r="Q12" s="20">
        <f>SUBTOTAL(103,_3월[15])</f>
        <v>0</v>
      </c>
      <c r="R12" s="20">
        <f>SUBTOTAL(103,_3월[16])</f>
        <v>0</v>
      </c>
      <c r="S12" s="20">
        <f>SUBTOTAL(103,_3월[17])</f>
        <v>0</v>
      </c>
      <c r="T12" s="20">
        <f>SUBTOTAL(103,_3월[18])</f>
        <v>0</v>
      </c>
      <c r="U12" s="20">
        <f>SUBTOTAL(103,_3월[19])</f>
        <v>0</v>
      </c>
      <c r="V12" s="20">
        <f>SUBTOTAL(103,_3월[20])</f>
        <v>0</v>
      </c>
      <c r="W12" s="20">
        <f>SUBTOTAL(103,_3월[21])</f>
        <v>0</v>
      </c>
      <c r="X12" s="20">
        <f>SUBTOTAL(103,_3월[22])</f>
        <v>0</v>
      </c>
      <c r="Y12" s="20">
        <f>SUBTOTAL(103,_3월[23])</f>
        <v>0</v>
      </c>
      <c r="Z12" s="20">
        <f>SUBTOTAL(103,_3월[24])</f>
        <v>0</v>
      </c>
      <c r="AA12" s="20">
        <f>SUBTOTAL(103,_3월[25])</f>
        <v>0</v>
      </c>
      <c r="AB12" s="20">
        <f>SUBTOTAL(103,_3월[26])</f>
        <v>0</v>
      </c>
      <c r="AC12" s="20">
        <f>SUBTOTAL(103,_3월[27])</f>
        <v>0</v>
      </c>
      <c r="AD12" s="20">
        <f>SUBTOTAL(103,_3월[28])</f>
        <v>0</v>
      </c>
      <c r="AE12" s="20">
        <f>SUBTOTAL(103,_3월[29])</f>
        <v>0</v>
      </c>
      <c r="AF12" s="20">
        <f>SUBTOTAL(103,_3월[30])</f>
        <v>0</v>
      </c>
      <c r="AG12" s="20">
        <f>SUBTOTAL(103,_3월[31])</f>
        <v>0</v>
      </c>
      <c r="AH12" s="20">
        <f>SUBTOTAL(109,_3월[총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742" priority="2" stopIfTrue="1">
      <formula>C7=사용자지정키2</formula>
    </cfRule>
    <cfRule type="expression" dxfId="741" priority="3" stopIfTrue="1">
      <formula>C7=사용자지정키1</formula>
    </cfRule>
    <cfRule type="expression" dxfId="740" priority="4" stopIfTrue="1">
      <formula>C7=병가키</formula>
    </cfRule>
    <cfRule type="expression" dxfId="739" priority="5" stopIfTrue="1">
      <formula>C7=개인사유키</formula>
    </cfRule>
    <cfRule type="expression" dxfId="738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200-000000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200-000001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200-000002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200-000003000000}"/>
    <dataValidation allowBlank="1" showInputMessage="1" showErrorMessage="1" prompt="왼쪽에 있는 사용자 지정 키를 설명하는 레이블을 입력합니다." sqref="M2:O2 R2" xr:uid="{7AEB3C2E-78F3-4A1B-BB5B-B60636DA3940}"/>
    <dataValidation allowBlank="1" showInputMessage="1" showErrorMessage="1" prompt="문자를 입력하고 다른 중요 항목을 추가하려면 오른쪽에 있는 레이블을 사용자 지정합니다." sqref="L2 Q2" xr:uid="{589FA496-15AA-4301-88F2-8423A2B560F7}"/>
    <dataValidation allowBlank="1" showInputMessage="1" showErrorMessage="1" prompt="&quot;S&quot;는 질병으로 인한 휴가를 나타냅니다." sqref="I2" xr:uid="{BDE630B9-E474-439D-8FEB-AE06F6DE834C}"/>
    <dataValidation allowBlank="1" showInputMessage="1" showErrorMessage="1" prompt="&quot;P&quot;는 개인 이유로 인한 휴가를 나타냅니다." sqref="F2" xr:uid="{779F4520-A71A-4C6F-A95F-29CEAC504FEF}"/>
    <dataValidation allowBlank="1" showInputMessage="1" showErrorMessage="1" prompt="“V”는 휴가로 인한 휴가를 나타냅니다." sqref="C2" xr:uid="{B024A00A-5046-471A-8E72-9B7E5E1D6EAC}"/>
    <dataValidation allowBlank="1" showInputMessage="1" showErrorMessage="1" prompt="이 셀에 자동으로 업데이트되는 제목이 있습니다. 제목을 수정하려면 1월 워크시트에서 B1을 업데이트하세요." sqref="B1" xr:uid="{00000000-0002-0000-0200-000009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200-00000A000000}"/>
    <dataValidation allowBlank="1" showInputMessage="1" showErrorMessage="1" prompt="이 워크시트에서 3월 휴가를 추적합니다." sqref="A1" xr:uid="{00000000-0002-0000-0200-00000B000000}"/>
    <dataValidation allowBlank="1" showInputMessage="1" showErrorMessage="1" prompt="이 열에서 이번 달 직원 휴가일 합계를 자동으로 계산합니다." sqref="AH6" xr:uid="{00000000-0002-0000-0200-00000C000000}"/>
    <dataValidation allowBlank="1" showInputMessage="1" showErrorMessage="1" prompt="1월 워크시트에 입력된 연도에 따라 자동으로 업데이트된 연도" sqref="AH4" xr:uid="{00000000-0002-0000-02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55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TEXT(WEEKDAY(DATE(달력연도,4,1),1),"aaa")</f>
        <v>월</v>
      </c>
      <c r="D5" s="14" t="str">
        <f>TEXT(WEEKDAY(DATE(달력연도,4,2),1),"aaa")</f>
        <v>화</v>
      </c>
      <c r="E5" s="14" t="str">
        <f>TEXT(WEEKDAY(DATE(달력연도,4,3),1),"aaa")</f>
        <v>수</v>
      </c>
      <c r="F5" s="14" t="str">
        <f>TEXT(WEEKDAY(DATE(달력연도,4,4),1),"aaa")</f>
        <v>목</v>
      </c>
      <c r="G5" s="14" t="str">
        <f>TEXT(WEEKDAY(DATE(달력연도,4,5),1),"aaa")</f>
        <v>금</v>
      </c>
      <c r="H5" s="14" t="str">
        <f>TEXT(WEEKDAY(DATE(달력연도,4,6),1),"aaa")</f>
        <v>토</v>
      </c>
      <c r="I5" s="14" t="str">
        <f>TEXT(WEEKDAY(DATE(달력연도,4,7),1),"aaa")</f>
        <v>일</v>
      </c>
      <c r="J5" s="14" t="str">
        <f>TEXT(WEEKDAY(DATE(달력연도,4,8),1),"aaa")</f>
        <v>월</v>
      </c>
      <c r="K5" s="14" t="str">
        <f>TEXT(WEEKDAY(DATE(달력연도,4,9),1),"aaa")</f>
        <v>화</v>
      </c>
      <c r="L5" s="14" t="str">
        <f>TEXT(WEEKDAY(DATE(달력연도,4,10),1),"aaa")</f>
        <v>수</v>
      </c>
      <c r="M5" s="14" t="str">
        <f>TEXT(WEEKDAY(DATE(달력연도,4,11),1),"aaa")</f>
        <v>목</v>
      </c>
      <c r="N5" s="14" t="str">
        <f>TEXT(WEEKDAY(DATE(달력연도,4,12),1),"aaa")</f>
        <v>금</v>
      </c>
      <c r="O5" s="14" t="str">
        <f>TEXT(WEEKDAY(DATE(달력연도,4,13),1),"aaa")</f>
        <v>토</v>
      </c>
      <c r="P5" s="14" t="str">
        <f>TEXT(WEEKDAY(DATE(달력연도,4,14),1),"aaa")</f>
        <v>일</v>
      </c>
      <c r="Q5" s="14" t="str">
        <f>TEXT(WEEKDAY(DATE(달력연도,4,15),1),"aaa")</f>
        <v>월</v>
      </c>
      <c r="R5" s="14" t="str">
        <f>TEXT(WEEKDAY(DATE(달력연도,4,16),1),"aaa")</f>
        <v>화</v>
      </c>
      <c r="S5" s="14" t="str">
        <f>TEXT(WEEKDAY(DATE(달력연도,4,17),1),"aaa")</f>
        <v>수</v>
      </c>
      <c r="T5" s="14" t="str">
        <f>TEXT(WEEKDAY(DATE(달력연도,4,18),1),"aaa")</f>
        <v>목</v>
      </c>
      <c r="U5" s="14" t="str">
        <f>TEXT(WEEKDAY(DATE(달력연도,4,19),1),"aaa")</f>
        <v>금</v>
      </c>
      <c r="V5" s="14" t="str">
        <f>TEXT(WEEKDAY(DATE(달력연도,4,20),1),"aaa")</f>
        <v>토</v>
      </c>
      <c r="W5" s="14" t="str">
        <f>TEXT(WEEKDAY(DATE(달력연도,4,21),1),"aaa")</f>
        <v>일</v>
      </c>
      <c r="X5" s="14" t="str">
        <f>TEXT(WEEKDAY(DATE(달력연도,4,22),1),"aaa")</f>
        <v>월</v>
      </c>
      <c r="Y5" s="14" t="str">
        <f>TEXT(WEEKDAY(DATE(달력연도,4,23),1),"aaa")</f>
        <v>화</v>
      </c>
      <c r="Z5" s="14" t="str">
        <f>TEXT(WEEKDAY(DATE(달력연도,4,24),1),"aaa")</f>
        <v>수</v>
      </c>
      <c r="AA5" s="14" t="str">
        <f>TEXT(WEEKDAY(DATE(달력연도,4,25),1),"aaa")</f>
        <v>목</v>
      </c>
      <c r="AB5" s="14" t="str">
        <f>TEXT(WEEKDAY(DATE(달력연도,4,26),1),"aaa")</f>
        <v>금</v>
      </c>
      <c r="AC5" s="14" t="str">
        <f>TEXT(WEEKDAY(DATE(달력연도,4,27),1),"aaa")</f>
        <v>토</v>
      </c>
      <c r="AD5" s="14" t="str">
        <f>TEXT(WEEKDAY(DATE(달력연도,4,28),1),"aaa")</f>
        <v>일</v>
      </c>
      <c r="AE5" s="14" t="str">
        <f>TEXT(WEEKDAY(DATE(달력연도,4,29),1),"aaa")</f>
        <v>월</v>
      </c>
      <c r="AF5" s="14" t="str">
        <f>TEXT(WEEKDAY(DATE(달력연도,4,30),1),"aaa")</f>
        <v>화</v>
      </c>
      <c r="AG5" s="14"/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21" t="s">
        <v>52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COUNTA(_4월[[#This Row],[1]:[30]])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COUNTA(_4월[[#This Row],[1]:[30]])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COUNTA(_4월[[#This Row],[1]:[30]])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COUNTA(_4월[[#This Row],[1]:[30]])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COUNTA(_4월[[#This Row],[1]:[30]])</f>
        <v>0</v>
      </c>
    </row>
    <row r="12" spans="2:34" ht="30" customHeight="1">
      <c r="B12" s="19" t="str">
        <f>월이름&amp;" 요약"</f>
        <v>4월 요약</v>
      </c>
      <c r="C12" s="20">
        <f>SUBTOTAL(103,_4월[1])</f>
        <v>0</v>
      </c>
      <c r="D12" s="20">
        <f>SUBTOTAL(103,_4월[2])</f>
        <v>0</v>
      </c>
      <c r="E12" s="20">
        <f>SUBTOTAL(103,_4월[3])</f>
        <v>0</v>
      </c>
      <c r="F12" s="20">
        <f>SUBTOTAL(103,_4월[4])</f>
        <v>0</v>
      </c>
      <c r="G12" s="20">
        <f>SUBTOTAL(103,_4월[5])</f>
        <v>0</v>
      </c>
      <c r="H12" s="20">
        <f>SUBTOTAL(103,_4월[6])</f>
        <v>0</v>
      </c>
      <c r="I12" s="20">
        <f>SUBTOTAL(103,_4월[7])</f>
        <v>0</v>
      </c>
      <c r="J12" s="20">
        <f>SUBTOTAL(103,_4월[8])</f>
        <v>0</v>
      </c>
      <c r="K12" s="20">
        <f>SUBTOTAL(103,_4월[9])</f>
        <v>0</v>
      </c>
      <c r="L12" s="20">
        <f>SUBTOTAL(103,_4월[10])</f>
        <v>0</v>
      </c>
      <c r="M12" s="20">
        <f>SUBTOTAL(103,_4월[11])</f>
        <v>0</v>
      </c>
      <c r="N12" s="20">
        <f>SUBTOTAL(103,_4월[12])</f>
        <v>0</v>
      </c>
      <c r="O12" s="20">
        <f>SUBTOTAL(103,_4월[13])</f>
        <v>0</v>
      </c>
      <c r="P12" s="20">
        <f>SUBTOTAL(103,_4월[14])</f>
        <v>0</v>
      </c>
      <c r="Q12" s="20">
        <f>SUBTOTAL(103,_4월[15])</f>
        <v>0</v>
      </c>
      <c r="R12" s="20">
        <f>SUBTOTAL(103,_4월[16])</f>
        <v>0</v>
      </c>
      <c r="S12" s="20">
        <f>SUBTOTAL(103,_4월[17])</f>
        <v>0</v>
      </c>
      <c r="T12" s="20">
        <f>SUBTOTAL(103,_4월[18])</f>
        <v>0</v>
      </c>
      <c r="U12" s="20">
        <f>SUBTOTAL(103,_4월[19])</f>
        <v>0</v>
      </c>
      <c r="V12" s="20">
        <f>SUBTOTAL(103,_4월[20])</f>
        <v>0</v>
      </c>
      <c r="W12" s="20">
        <f>SUBTOTAL(103,_4월[21])</f>
        <v>0</v>
      </c>
      <c r="X12" s="20">
        <f>SUBTOTAL(103,_4월[22])</f>
        <v>0</v>
      </c>
      <c r="Y12" s="20">
        <f>SUBTOTAL(103,_4월[23])</f>
        <v>0</v>
      </c>
      <c r="Z12" s="20">
        <f>SUBTOTAL(103,_4월[24])</f>
        <v>0</v>
      </c>
      <c r="AA12" s="20">
        <f>SUBTOTAL(103,_4월[25])</f>
        <v>0</v>
      </c>
      <c r="AB12" s="20">
        <f>SUBTOTAL(103,_4월[26])</f>
        <v>0</v>
      </c>
      <c r="AC12" s="20">
        <f>SUBTOTAL(103,_4월[27])</f>
        <v>0</v>
      </c>
      <c r="AD12" s="20">
        <f>SUBTOTAL(103,_4월[28])</f>
        <v>0</v>
      </c>
      <c r="AE12" s="20">
        <f>SUBTOTAL(103,_4월[29])</f>
        <v>0</v>
      </c>
      <c r="AF12" s="20">
        <f>SUBTOTAL(103,_4월[30])</f>
        <v>0</v>
      </c>
      <c r="AG12" s="20">
        <f>SUBTOTAL(103,_4월[[ ]])</f>
        <v>0</v>
      </c>
      <c r="AH12" s="20">
        <f>SUBTOTAL(109,_4월[총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668" priority="2" stopIfTrue="1">
      <formula>C7=사용자지정키2</formula>
    </cfRule>
    <cfRule type="expression" dxfId="667" priority="3" stopIfTrue="1">
      <formula>C7=사용자지정키1</formula>
    </cfRule>
    <cfRule type="expression" dxfId="666" priority="4" stopIfTrue="1">
      <formula>C7=병가키</formula>
    </cfRule>
    <cfRule type="expression" dxfId="665" priority="5" stopIfTrue="1">
      <formula>C7=개인사유키</formula>
    </cfRule>
    <cfRule type="expression" dxfId="664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1월 워크시트에 입력된 연도에 따라 자동으로 업데이트된 연도" sqref="AH4" xr:uid="{00000000-0002-0000-0300-000000000000}"/>
    <dataValidation allowBlank="1" showInputMessage="1" showErrorMessage="1" prompt="이 열에서 이번 달 직원 휴가일 합계를 자동으로 계산합니다." sqref="AH6" xr:uid="{00000000-0002-0000-0300-000001000000}"/>
    <dataValidation allowBlank="1" showInputMessage="1" showErrorMessage="1" prompt="이 워크시트에서 4월 휴가를 추적합니다." sqref="A1" xr:uid="{00000000-0002-0000-0300-000002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300-000003000000}"/>
    <dataValidation allowBlank="1" showInputMessage="1" showErrorMessage="1" prompt="이 셀에 자동으로 업데이트되는 제목이 있습니다. 제목을 수정하려면 1월 워크시트에서 B1을 업데이트하세요." sqref="B1" xr:uid="{00000000-0002-0000-0300-000004000000}"/>
    <dataValidation allowBlank="1" showInputMessage="1" showErrorMessage="1" prompt="“V”는 휴가로 인한 휴가를 나타냅니다." sqref="C2" xr:uid="{A55C6C5C-1D0E-4D6F-B447-E706E157A26C}"/>
    <dataValidation allowBlank="1" showInputMessage="1" showErrorMessage="1" prompt="&quot;P&quot;는 개인 이유로 인한 휴가를 나타냅니다." sqref="F2" xr:uid="{1605ADCB-3C8F-4BE7-80C5-5F78249AB44C}"/>
    <dataValidation allowBlank="1" showInputMessage="1" showErrorMessage="1" prompt="&quot;S&quot;는 질병으로 인한 휴가를 나타냅니다." sqref="I2" xr:uid="{AD51BF44-B871-4C87-93A8-E74086F05D16}"/>
    <dataValidation allowBlank="1" showInputMessage="1" showErrorMessage="1" prompt="문자를 입력하고 다른 중요 항목을 추가하려면 오른쪽에 있는 레이블을 사용자 지정합니다." sqref="L2 Q2" xr:uid="{7BC5A5DC-6BE5-45D1-9030-FB69B55860B7}"/>
    <dataValidation allowBlank="1" showInputMessage="1" showErrorMessage="1" prompt="왼쪽에 있는 사용자 지정 키를 설명하는 레이블을 입력합니다." sqref="M2:O2 R2" xr:uid="{3CDC87F2-1C6A-4225-AF6C-EDE7A1B840D9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300-00000A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300-00000B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300-00000C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3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56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TEXT(WEEKDAY(DATE(달력연도,5,1),1),"aaa")</f>
        <v>수</v>
      </c>
      <c r="D5" s="14" t="str">
        <f>TEXT(WEEKDAY(DATE(달력연도,5,2),1),"aaa")</f>
        <v>목</v>
      </c>
      <c r="E5" s="14" t="str">
        <f>TEXT(WEEKDAY(DATE(달력연도,5,3),1),"aaa")</f>
        <v>금</v>
      </c>
      <c r="F5" s="14" t="str">
        <f>TEXT(WEEKDAY(DATE(달력연도,5,4),1),"aaa")</f>
        <v>토</v>
      </c>
      <c r="G5" s="14" t="str">
        <f>TEXT(WEEKDAY(DATE(달력연도,5,5),1),"aaa")</f>
        <v>일</v>
      </c>
      <c r="H5" s="14" t="str">
        <f>TEXT(WEEKDAY(DATE(달력연도,5,6),1),"aaa")</f>
        <v>월</v>
      </c>
      <c r="I5" s="14" t="str">
        <f>TEXT(WEEKDAY(DATE(달력연도,5,7),1),"aaa")</f>
        <v>화</v>
      </c>
      <c r="J5" s="14" t="str">
        <f>TEXT(WEEKDAY(DATE(달력연도,5,8),1),"aaa")</f>
        <v>수</v>
      </c>
      <c r="K5" s="14" t="str">
        <f>TEXT(WEEKDAY(DATE(달력연도,5,9),1),"aaa")</f>
        <v>목</v>
      </c>
      <c r="L5" s="14" t="str">
        <f>TEXT(WEEKDAY(DATE(달력연도,5,10),1),"aaa")</f>
        <v>금</v>
      </c>
      <c r="M5" s="14" t="str">
        <f>TEXT(WEEKDAY(DATE(달력연도,5,11),1),"aaa")</f>
        <v>토</v>
      </c>
      <c r="N5" s="14" t="str">
        <f>TEXT(WEEKDAY(DATE(달력연도,5,12),1),"aaa")</f>
        <v>일</v>
      </c>
      <c r="O5" s="14" t="str">
        <f>TEXT(WEEKDAY(DATE(달력연도,5,13),1),"aaa")</f>
        <v>월</v>
      </c>
      <c r="P5" s="14" t="str">
        <f>TEXT(WEEKDAY(DATE(달력연도,5,14),1),"aaa")</f>
        <v>화</v>
      </c>
      <c r="Q5" s="14" t="str">
        <f>TEXT(WEEKDAY(DATE(달력연도,5,15),1),"aaa")</f>
        <v>수</v>
      </c>
      <c r="R5" s="14" t="str">
        <f>TEXT(WEEKDAY(DATE(달력연도,5,16),1),"aaa")</f>
        <v>목</v>
      </c>
      <c r="S5" s="14" t="str">
        <f>TEXT(WEEKDAY(DATE(달력연도,5,17),1),"aaa")</f>
        <v>금</v>
      </c>
      <c r="T5" s="14" t="str">
        <f>TEXT(WEEKDAY(DATE(달력연도,5,18),1),"aaa")</f>
        <v>토</v>
      </c>
      <c r="U5" s="14" t="str">
        <f>TEXT(WEEKDAY(DATE(달력연도,5,19),1),"aaa")</f>
        <v>일</v>
      </c>
      <c r="V5" s="14" t="str">
        <f>TEXT(WEEKDAY(DATE(달력연도,5,20),1),"aaa")</f>
        <v>월</v>
      </c>
      <c r="W5" s="14" t="str">
        <f>TEXT(WEEKDAY(DATE(달력연도,5,21),1),"aaa")</f>
        <v>화</v>
      </c>
      <c r="X5" s="14" t="str">
        <f>TEXT(WEEKDAY(DATE(달력연도,5,22),1),"aaa")</f>
        <v>수</v>
      </c>
      <c r="Y5" s="14" t="str">
        <f>TEXT(WEEKDAY(DATE(달력연도,5,23),1),"aaa")</f>
        <v>목</v>
      </c>
      <c r="Z5" s="14" t="str">
        <f>TEXT(WEEKDAY(DATE(달력연도,5,24),1),"aaa")</f>
        <v>금</v>
      </c>
      <c r="AA5" s="14" t="str">
        <f>TEXT(WEEKDAY(DATE(달력연도,5,25),1),"aaa")</f>
        <v>토</v>
      </c>
      <c r="AB5" s="14" t="str">
        <f>TEXT(WEEKDAY(DATE(달력연도,5,26),1),"aaa")</f>
        <v>일</v>
      </c>
      <c r="AC5" s="14" t="str">
        <f>TEXT(WEEKDAY(DATE(달력연도,5,27),1),"aaa")</f>
        <v>월</v>
      </c>
      <c r="AD5" s="14" t="str">
        <f>TEXT(WEEKDAY(DATE(달력연도,5,28),1),"aaa")</f>
        <v>화</v>
      </c>
      <c r="AE5" s="14" t="str">
        <f>TEXT(WEEKDAY(DATE(달력연도,5,29),1),"aaa")</f>
        <v>수</v>
      </c>
      <c r="AF5" s="14" t="str">
        <f>TEXT(WEEKDAY(DATE(달력연도,5,30),1),"aaa")</f>
        <v>목</v>
      </c>
      <c r="AG5" s="14" t="str">
        <f>TEXT(WEEKDAY(DATE(달력연도,5,31),1),"aaa")</f>
        <v>금</v>
      </c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COUNTA(_5월[[#This Row],[1]:[31]])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COUNTA(_5월[[#This Row],[1]:[31]])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COUNTA(_5월[[#This Row],[1]:[31]])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COUNTA(_5월[[#This Row],[1]:[31]])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COUNTA(_5월[[#This Row],[1]:[31]])</f>
        <v>0</v>
      </c>
    </row>
    <row r="12" spans="2:34" ht="30" customHeight="1">
      <c r="B12" s="19" t="str">
        <f>월이름&amp;" 요약"</f>
        <v>5월 요약</v>
      </c>
      <c r="C12" s="20">
        <f>SUBTOTAL(103,_5월[1])</f>
        <v>0</v>
      </c>
      <c r="D12" s="20">
        <f>SUBTOTAL(103,_5월[2])</f>
        <v>0</v>
      </c>
      <c r="E12" s="20">
        <f>SUBTOTAL(103,_5월[3])</f>
        <v>0</v>
      </c>
      <c r="F12" s="20">
        <f>SUBTOTAL(103,_5월[4])</f>
        <v>0</v>
      </c>
      <c r="G12" s="20">
        <f>SUBTOTAL(103,_5월[5])</f>
        <v>0</v>
      </c>
      <c r="H12" s="20">
        <f>SUBTOTAL(103,_5월[6])</f>
        <v>0</v>
      </c>
      <c r="I12" s="20">
        <f>SUBTOTAL(103,_5월[7])</f>
        <v>0</v>
      </c>
      <c r="J12" s="20">
        <f>SUBTOTAL(103,_5월[8])</f>
        <v>0</v>
      </c>
      <c r="K12" s="20">
        <f>SUBTOTAL(103,_5월[9])</f>
        <v>0</v>
      </c>
      <c r="L12" s="20">
        <f>SUBTOTAL(103,_5월[10])</f>
        <v>0</v>
      </c>
      <c r="M12" s="20">
        <f>SUBTOTAL(103,_5월[11])</f>
        <v>0</v>
      </c>
      <c r="N12" s="20">
        <f>SUBTOTAL(103,_5월[12])</f>
        <v>0</v>
      </c>
      <c r="O12" s="20">
        <f>SUBTOTAL(103,_5월[13])</f>
        <v>0</v>
      </c>
      <c r="P12" s="20">
        <f>SUBTOTAL(103,_5월[14])</f>
        <v>0</v>
      </c>
      <c r="Q12" s="20">
        <f>SUBTOTAL(103,_5월[15])</f>
        <v>0</v>
      </c>
      <c r="R12" s="20">
        <f>SUBTOTAL(103,_5월[16])</f>
        <v>0</v>
      </c>
      <c r="S12" s="20">
        <f>SUBTOTAL(103,_5월[17])</f>
        <v>0</v>
      </c>
      <c r="T12" s="20">
        <f>SUBTOTAL(103,_5월[18])</f>
        <v>0</v>
      </c>
      <c r="U12" s="20">
        <f>SUBTOTAL(103,_5월[19])</f>
        <v>0</v>
      </c>
      <c r="V12" s="20">
        <f>SUBTOTAL(103,_5월[20])</f>
        <v>0</v>
      </c>
      <c r="W12" s="20">
        <f>SUBTOTAL(103,_5월[21])</f>
        <v>0</v>
      </c>
      <c r="X12" s="20">
        <f>SUBTOTAL(103,_5월[22])</f>
        <v>0</v>
      </c>
      <c r="Y12" s="20">
        <f>SUBTOTAL(103,_5월[23])</f>
        <v>0</v>
      </c>
      <c r="Z12" s="20">
        <f>SUBTOTAL(103,_5월[24])</f>
        <v>0</v>
      </c>
      <c r="AA12" s="20">
        <f>SUBTOTAL(103,_5월[25])</f>
        <v>0</v>
      </c>
      <c r="AB12" s="20">
        <f>SUBTOTAL(103,_5월[26])</f>
        <v>0</v>
      </c>
      <c r="AC12" s="20">
        <f>SUBTOTAL(103,_5월[27])</f>
        <v>0</v>
      </c>
      <c r="AD12" s="20">
        <f>SUBTOTAL(103,_5월[28])</f>
        <v>0</v>
      </c>
      <c r="AE12" s="20">
        <f>SUBTOTAL(103,_5월[29])</f>
        <v>0</v>
      </c>
      <c r="AF12" s="20">
        <f>SUBTOTAL(103,_5월[30])</f>
        <v>0</v>
      </c>
      <c r="AG12" s="20">
        <f>SUBTOTAL(103,_5월[31])</f>
        <v>0</v>
      </c>
      <c r="AH12" s="20">
        <f>SUBTOTAL(109,_5월[총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594" priority="2" stopIfTrue="1">
      <formula>C7=사용자지정키2</formula>
    </cfRule>
    <cfRule type="expression" dxfId="593" priority="3" stopIfTrue="1">
      <formula>C7=사용자지정키1</formula>
    </cfRule>
    <cfRule type="expression" dxfId="592" priority="4" stopIfTrue="1">
      <formula>C7=병가키</formula>
    </cfRule>
    <cfRule type="expression" dxfId="591" priority="5" stopIfTrue="1">
      <formula>C7=개인사유키</formula>
    </cfRule>
    <cfRule type="expression" dxfId="590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400-000000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400-000001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400-000002000000}"/>
    <dataValidation allowBlank="1" showInputMessage="1" showErrorMessage="1" prompt="왼쪽에 있는 사용자 지정 키를 설명하는 레이블을 입력합니다." sqref="M2:O2 R2" xr:uid="{83439F32-8810-4418-9272-C76335770372}"/>
    <dataValidation allowBlank="1" showInputMessage="1" showErrorMessage="1" prompt="문자를 입력하고 다른 중요 항목을 추가하려면 오른쪽에 있는 레이블을 사용자 지정합니다." sqref="L2 Q2" xr:uid="{E0A11B4F-4A86-4305-B869-DB2C3276B3E5}"/>
    <dataValidation allowBlank="1" showInputMessage="1" showErrorMessage="1" prompt="&quot;S&quot;는 질병으로 인한 휴가를 나타냅니다." sqref="I2" xr:uid="{A654A5DB-2903-47DC-83CF-D04C39111E08}"/>
    <dataValidation allowBlank="1" showInputMessage="1" showErrorMessage="1" prompt="&quot;P&quot;는 개인 이유로 인한 휴가를 나타냅니다." sqref="F2" xr:uid="{50CBD550-F671-4CD8-AF98-E2EE7D8386E0}"/>
    <dataValidation allowBlank="1" showInputMessage="1" showErrorMessage="1" prompt="“V”는 휴가로 인한 휴가를 나타냅니다." sqref="C2" xr:uid="{DB252FDD-7162-437F-87A9-6CFB17465592}"/>
    <dataValidation allowBlank="1" showInputMessage="1" showErrorMessage="1" prompt="이 셀에 자동으로 업데이트되는 제목이 있습니다. 제목을 수정하려면 1월 워크시트에서 B1을 업데이트하세요." sqref="B1" xr:uid="{00000000-0002-0000-0400-000008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400-000009000000}"/>
    <dataValidation allowBlank="1" showInputMessage="1" showErrorMessage="1" prompt="이 워크시트에서는 5월 휴가를 추적합니다." sqref="A1" xr:uid="{00000000-0002-0000-0400-00000A000000}"/>
    <dataValidation allowBlank="1" showInputMessage="1" showErrorMessage="1" prompt="이 열에서 이번 달 직원 휴가일 합계를 자동으로 계산합니다." sqref="AH6" xr:uid="{00000000-0002-0000-0400-00000B000000}"/>
    <dataValidation allowBlank="1" showInputMessage="1" showErrorMessage="1" prompt="1월 워크시트에 입력된 연도에 따라 자동으로 업데이트된 연도" sqref="AH4" xr:uid="{00000000-0002-0000-0400-00000C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4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57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TEXT(WEEKDAY(DATE(달력연도,6,1),1),"aaa")</f>
        <v>토</v>
      </c>
      <c r="D5" s="14" t="str">
        <f>TEXT(WEEKDAY(DATE(달력연도,6,2),1),"aaa")</f>
        <v>일</v>
      </c>
      <c r="E5" s="14" t="str">
        <f>TEXT(WEEKDAY(DATE(달력연도,6,3),1),"aaa")</f>
        <v>월</v>
      </c>
      <c r="F5" s="14" t="str">
        <f>TEXT(WEEKDAY(DATE(달력연도,6,4),1),"aaa")</f>
        <v>화</v>
      </c>
      <c r="G5" s="14" t="str">
        <f>TEXT(WEEKDAY(DATE(달력연도,6,5),1),"aaa")</f>
        <v>수</v>
      </c>
      <c r="H5" s="14" t="str">
        <f>TEXT(WEEKDAY(DATE(달력연도,6,6),1),"aaa")</f>
        <v>목</v>
      </c>
      <c r="I5" s="14" t="str">
        <f>TEXT(WEEKDAY(DATE(달력연도,6,7),1),"aaa")</f>
        <v>금</v>
      </c>
      <c r="J5" s="14" t="str">
        <f>TEXT(WEEKDAY(DATE(달력연도,6,8),1),"aaa")</f>
        <v>토</v>
      </c>
      <c r="K5" s="14" t="str">
        <f>TEXT(WEEKDAY(DATE(달력연도,6,9),1),"aaa")</f>
        <v>일</v>
      </c>
      <c r="L5" s="14" t="str">
        <f>TEXT(WEEKDAY(DATE(달력연도,6,10),1),"aaa")</f>
        <v>월</v>
      </c>
      <c r="M5" s="14" t="str">
        <f>TEXT(WEEKDAY(DATE(달력연도,6,11),1),"aaa")</f>
        <v>화</v>
      </c>
      <c r="N5" s="14" t="str">
        <f>TEXT(WEEKDAY(DATE(달력연도,6,12),1),"aaa")</f>
        <v>수</v>
      </c>
      <c r="O5" s="14" t="str">
        <f>TEXT(WEEKDAY(DATE(달력연도,6,13),1),"aaa")</f>
        <v>목</v>
      </c>
      <c r="P5" s="14" t="str">
        <f>TEXT(WEEKDAY(DATE(달력연도,6,14),1),"aaa")</f>
        <v>금</v>
      </c>
      <c r="Q5" s="14" t="str">
        <f>TEXT(WEEKDAY(DATE(달력연도,6,15),1),"aaa")</f>
        <v>토</v>
      </c>
      <c r="R5" s="14" t="str">
        <f>TEXT(WEEKDAY(DATE(달력연도,6,16),1),"aaa")</f>
        <v>일</v>
      </c>
      <c r="S5" s="14" t="str">
        <f>TEXT(WEEKDAY(DATE(달력연도,6,17),1),"aaa")</f>
        <v>월</v>
      </c>
      <c r="T5" s="14" t="str">
        <f>TEXT(WEEKDAY(DATE(달력연도,6,18),1),"aaa")</f>
        <v>화</v>
      </c>
      <c r="U5" s="14" t="str">
        <f>TEXT(WEEKDAY(DATE(달력연도,6,19),1),"aaa")</f>
        <v>수</v>
      </c>
      <c r="V5" s="14" t="str">
        <f>TEXT(WEEKDAY(DATE(달력연도,6,20),1),"aaa")</f>
        <v>목</v>
      </c>
      <c r="W5" s="14" t="str">
        <f>TEXT(WEEKDAY(DATE(달력연도,6,21),1),"aaa")</f>
        <v>금</v>
      </c>
      <c r="X5" s="14" t="str">
        <f>TEXT(WEEKDAY(DATE(달력연도,6,22),1),"aaa")</f>
        <v>토</v>
      </c>
      <c r="Y5" s="14" t="str">
        <f>TEXT(WEEKDAY(DATE(달력연도,6,23),1),"aaa")</f>
        <v>일</v>
      </c>
      <c r="Z5" s="14" t="str">
        <f>TEXT(WEEKDAY(DATE(달력연도,6,24),1),"aaa")</f>
        <v>월</v>
      </c>
      <c r="AA5" s="14" t="str">
        <f>TEXT(WEEKDAY(DATE(달력연도,6,25),1),"aaa")</f>
        <v>화</v>
      </c>
      <c r="AB5" s="14" t="str">
        <f>TEXT(WEEKDAY(DATE(달력연도,6,26),1),"aaa")</f>
        <v>수</v>
      </c>
      <c r="AC5" s="14" t="str">
        <f>TEXT(WEEKDAY(DATE(달력연도,6,27),1),"aaa")</f>
        <v>목</v>
      </c>
      <c r="AD5" s="14" t="str">
        <f>TEXT(WEEKDAY(DATE(달력연도,6,28),1),"aaa")</f>
        <v>금</v>
      </c>
      <c r="AE5" s="14" t="str">
        <f>TEXT(WEEKDAY(DATE(달력연도,6,29),1),"aaa")</f>
        <v>토</v>
      </c>
      <c r="AF5" s="14" t="str">
        <f>TEXT(WEEKDAY(DATE(달력연도,6,30),1),"aaa")</f>
        <v>일</v>
      </c>
      <c r="AG5" s="14"/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52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COUNTA(_6월[[#This Row],[1]:[30]])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COUNTA(_6월[[#This Row],[1]:[30]])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COUNTA(_6월[[#This Row],[1]:[30]])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COUNTA(_6월[[#This Row],[1]:[30]])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COUNTA(_6월[[#This Row],[1]:[30]])</f>
        <v>0</v>
      </c>
    </row>
    <row r="12" spans="2:34" ht="30" customHeight="1">
      <c r="B12" s="19" t="str">
        <f>월이름&amp;" 요약"</f>
        <v>6월 요약</v>
      </c>
      <c r="C12" s="20">
        <f>SUBTOTAL(103,_6월[1])</f>
        <v>0</v>
      </c>
      <c r="D12" s="20">
        <f>SUBTOTAL(103,_6월[2])</f>
        <v>0</v>
      </c>
      <c r="E12" s="20">
        <f>SUBTOTAL(103,_6월[3])</f>
        <v>0</v>
      </c>
      <c r="F12" s="20">
        <f>SUBTOTAL(103,_6월[4])</f>
        <v>0</v>
      </c>
      <c r="G12" s="20">
        <f>SUBTOTAL(103,_6월[5])</f>
        <v>0</v>
      </c>
      <c r="H12" s="20">
        <f>SUBTOTAL(103,_6월[6])</f>
        <v>0</v>
      </c>
      <c r="I12" s="20">
        <f>SUBTOTAL(103,_6월[7])</f>
        <v>0</v>
      </c>
      <c r="J12" s="20">
        <f>SUBTOTAL(103,_6월[8])</f>
        <v>0</v>
      </c>
      <c r="K12" s="20">
        <f>SUBTOTAL(103,_6월[9])</f>
        <v>0</v>
      </c>
      <c r="L12" s="20">
        <f>SUBTOTAL(103,_6월[10])</f>
        <v>0</v>
      </c>
      <c r="M12" s="20">
        <f>SUBTOTAL(103,_6월[11])</f>
        <v>0</v>
      </c>
      <c r="N12" s="20">
        <f>SUBTOTAL(103,_6월[12])</f>
        <v>0</v>
      </c>
      <c r="O12" s="20">
        <f>SUBTOTAL(103,_6월[13])</f>
        <v>0</v>
      </c>
      <c r="P12" s="20">
        <f>SUBTOTAL(103,_6월[14])</f>
        <v>0</v>
      </c>
      <c r="Q12" s="20">
        <f>SUBTOTAL(103,_6월[15])</f>
        <v>0</v>
      </c>
      <c r="R12" s="20">
        <f>SUBTOTAL(103,_6월[16])</f>
        <v>0</v>
      </c>
      <c r="S12" s="20">
        <f>SUBTOTAL(103,_6월[17])</f>
        <v>0</v>
      </c>
      <c r="T12" s="20">
        <f>SUBTOTAL(103,_6월[18])</f>
        <v>0</v>
      </c>
      <c r="U12" s="20">
        <f>SUBTOTAL(103,_6월[19])</f>
        <v>0</v>
      </c>
      <c r="V12" s="20">
        <f>SUBTOTAL(103,_6월[20])</f>
        <v>0</v>
      </c>
      <c r="W12" s="20">
        <f>SUBTOTAL(103,_6월[21])</f>
        <v>0</v>
      </c>
      <c r="X12" s="20">
        <f>SUBTOTAL(103,_6월[22])</f>
        <v>0</v>
      </c>
      <c r="Y12" s="20">
        <f>SUBTOTAL(103,_6월[23])</f>
        <v>0</v>
      </c>
      <c r="Z12" s="20">
        <f>SUBTOTAL(103,_6월[24])</f>
        <v>0</v>
      </c>
      <c r="AA12" s="20">
        <f>SUBTOTAL(103,_6월[25])</f>
        <v>0</v>
      </c>
      <c r="AB12" s="20">
        <f>SUBTOTAL(103,_6월[26])</f>
        <v>0</v>
      </c>
      <c r="AC12" s="20">
        <f>SUBTOTAL(103,_6월[27])</f>
        <v>0</v>
      </c>
      <c r="AD12" s="20">
        <f>SUBTOTAL(103,_6월[28])</f>
        <v>0</v>
      </c>
      <c r="AE12" s="20">
        <f>SUBTOTAL(103,_6월[29])</f>
        <v>0</v>
      </c>
      <c r="AF12" s="20">
        <f>SUBTOTAL(103,_6월[30])</f>
        <v>0</v>
      </c>
      <c r="AG12" s="20">
        <f>SUBTOTAL(103,_6월[[ ]])</f>
        <v>0</v>
      </c>
      <c r="AH12" s="20">
        <f>SUBTOTAL(109,_6월[총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520" priority="2" stopIfTrue="1">
      <formula>C7=사용자지정키2</formula>
    </cfRule>
    <cfRule type="expression" dxfId="519" priority="3" stopIfTrue="1">
      <formula>C7=사용자지정키1</formula>
    </cfRule>
    <cfRule type="expression" dxfId="518" priority="4" stopIfTrue="1">
      <formula>C7=병가키</formula>
    </cfRule>
    <cfRule type="expression" dxfId="517" priority="5" stopIfTrue="1">
      <formula>C7=개인사유키</formula>
    </cfRule>
    <cfRule type="expression" dxfId="516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500-000000000000}"/>
    <dataValidation allowBlank="1" showInputMessage="1" showErrorMessage="1" prompt="1월 워크시트에 입력된 연도에 따라 자동으로 업데이트된 연도" sqref="AH4" xr:uid="{00000000-0002-0000-0500-000001000000}"/>
    <dataValidation allowBlank="1" showInputMessage="1" showErrorMessage="1" prompt="이 열에서 이번 달 직원 휴가일 합계를 자동으로 계산합니다." sqref="AH6" xr:uid="{00000000-0002-0000-0500-000002000000}"/>
    <dataValidation allowBlank="1" showInputMessage="1" showErrorMessage="1" prompt="이 워크시트에서는 6월 휴가를 추적합니다." sqref="A1" xr:uid="{00000000-0002-0000-0500-000003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500-000004000000}"/>
    <dataValidation allowBlank="1" showInputMessage="1" showErrorMessage="1" prompt="이 셀에 자동으로 업데이트되는 제목이 있습니다. 제목을 수정하려면 1월 워크시트에서 B1을 업데이트하세요." sqref="B1" xr:uid="{00000000-0002-0000-0500-000005000000}"/>
    <dataValidation allowBlank="1" showInputMessage="1" showErrorMessage="1" prompt="“V”는 휴가로 인한 휴가를 나타냅니다." sqref="C2" xr:uid="{987A9D7B-70CD-4F95-9FF8-BAAF691872FA}"/>
    <dataValidation allowBlank="1" showInputMessage="1" showErrorMessage="1" prompt="&quot;P&quot;는 개인 이유로 인한 휴가를 나타냅니다." sqref="F2" xr:uid="{A61F1F30-F7F7-4B14-8C12-6C1708C465C2}"/>
    <dataValidation allowBlank="1" showInputMessage="1" showErrorMessage="1" prompt="&quot;S&quot;는 질병으로 인한 휴가를 나타냅니다." sqref="I2" xr:uid="{C911B8A4-A7E9-4F5E-8428-858732D9C19D}"/>
    <dataValidation allowBlank="1" showInputMessage="1" showErrorMessage="1" prompt="문자를 입력하고 다른 중요 항목을 추가하려면 오른쪽에 있는 레이블을 사용자 지정합니다." sqref="L2 Q2" xr:uid="{836CA79A-4DC7-40F2-B2CD-1532A06CECF4}"/>
    <dataValidation allowBlank="1" showInputMessage="1" showErrorMessage="1" prompt="왼쪽에 있는 사용자 지정 키를 설명하는 레이블을 입력합니다." sqref="M2:O2 R2" xr:uid="{FED1CCBA-DE8C-4724-9233-4A7A1766BDFB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500-00000B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500-00000C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5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58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TEXT(WEEKDAY(DATE(달력연도,7,1),1),"aaa")</f>
        <v>월</v>
      </c>
      <c r="D5" s="14" t="str">
        <f>TEXT(WEEKDAY(DATE(달력연도,7,2),1),"aaa")</f>
        <v>화</v>
      </c>
      <c r="E5" s="14" t="str">
        <f>TEXT(WEEKDAY(DATE(달력연도,7,3),1),"aaa")</f>
        <v>수</v>
      </c>
      <c r="F5" s="14" t="str">
        <f>TEXT(WEEKDAY(DATE(달력연도,7,4),1),"aaa")</f>
        <v>목</v>
      </c>
      <c r="G5" s="14" t="str">
        <f>TEXT(WEEKDAY(DATE(달력연도,7,5),1),"aaa")</f>
        <v>금</v>
      </c>
      <c r="H5" s="14" t="str">
        <f>TEXT(WEEKDAY(DATE(달력연도,7,6),1),"aaa")</f>
        <v>토</v>
      </c>
      <c r="I5" s="14" t="str">
        <f>TEXT(WEEKDAY(DATE(달력연도,7,7),1),"aaa")</f>
        <v>일</v>
      </c>
      <c r="J5" s="14" t="str">
        <f>TEXT(WEEKDAY(DATE(달력연도,7,8),1),"aaa")</f>
        <v>월</v>
      </c>
      <c r="K5" s="14" t="str">
        <f>TEXT(WEEKDAY(DATE(달력연도,7,9),1),"aaa")</f>
        <v>화</v>
      </c>
      <c r="L5" s="14" t="str">
        <f>TEXT(WEEKDAY(DATE(달력연도,7,10),1),"aaa")</f>
        <v>수</v>
      </c>
      <c r="M5" s="14" t="str">
        <f>TEXT(WEEKDAY(DATE(달력연도,7,11),1),"aaa")</f>
        <v>목</v>
      </c>
      <c r="N5" s="14" t="str">
        <f>TEXT(WEEKDAY(DATE(달력연도,7,12),1),"aaa")</f>
        <v>금</v>
      </c>
      <c r="O5" s="14" t="str">
        <f>TEXT(WEEKDAY(DATE(달력연도,7,13),1),"aaa")</f>
        <v>토</v>
      </c>
      <c r="P5" s="14" t="str">
        <f>TEXT(WEEKDAY(DATE(달력연도,7,14),1),"aaa")</f>
        <v>일</v>
      </c>
      <c r="Q5" s="14" t="str">
        <f>TEXT(WEEKDAY(DATE(달력연도,7,15),1),"aaa")</f>
        <v>월</v>
      </c>
      <c r="R5" s="14" t="str">
        <f>TEXT(WEEKDAY(DATE(달력연도,7,16),1),"aaa")</f>
        <v>화</v>
      </c>
      <c r="S5" s="14" t="str">
        <f>TEXT(WEEKDAY(DATE(달력연도,7,17),1),"aaa")</f>
        <v>수</v>
      </c>
      <c r="T5" s="14" t="str">
        <f>TEXT(WEEKDAY(DATE(달력연도,7,18),1),"aaa")</f>
        <v>목</v>
      </c>
      <c r="U5" s="14" t="str">
        <f>TEXT(WEEKDAY(DATE(달력연도,7,19),1),"aaa")</f>
        <v>금</v>
      </c>
      <c r="V5" s="14" t="str">
        <f>TEXT(WEEKDAY(DATE(달력연도,7,20),1),"aaa")</f>
        <v>토</v>
      </c>
      <c r="W5" s="14" t="str">
        <f>TEXT(WEEKDAY(DATE(달력연도,7,21),1),"aaa")</f>
        <v>일</v>
      </c>
      <c r="X5" s="14" t="str">
        <f>TEXT(WEEKDAY(DATE(달력연도,7,22),1),"aaa")</f>
        <v>월</v>
      </c>
      <c r="Y5" s="14" t="str">
        <f>TEXT(WEEKDAY(DATE(달력연도,7,23),1),"aaa")</f>
        <v>화</v>
      </c>
      <c r="Z5" s="14" t="str">
        <f>TEXT(WEEKDAY(DATE(달력연도,7,24),1),"aaa")</f>
        <v>수</v>
      </c>
      <c r="AA5" s="14" t="str">
        <f>TEXT(WEEKDAY(DATE(달력연도,7,25),1),"aaa")</f>
        <v>목</v>
      </c>
      <c r="AB5" s="14" t="str">
        <f>TEXT(WEEKDAY(DATE(달력연도,7,26),1),"aaa")</f>
        <v>금</v>
      </c>
      <c r="AC5" s="14" t="str">
        <f>TEXT(WEEKDAY(DATE(달력연도,7,27),1),"aaa")</f>
        <v>토</v>
      </c>
      <c r="AD5" s="14" t="str">
        <f>TEXT(WEEKDAY(DATE(달력연도,7,28),1),"aaa")</f>
        <v>일</v>
      </c>
      <c r="AE5" s="14" t="str">
        <f>TEXT(WEEKDAY(DATE(달력연도,7,29),1),"aaa")</f>
        <v>월</v>
      </c>
      <c r="AF5" s="14" t="str">
        <f>TEXT(WEEKDAY(DATE(달력연도,7,30),1),"aaa")</f>
        <v>화</v>
      </c>
      <c r="AG5" s="14" t="str">
        <f>TEXT(WEEKDAY(DATE(달력연도,7,31),1),"aaa")</f>
        <v>수</v>
      </c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COUNTA(_7월[[#This Row],[1]:[31]])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COUNTA(_7월[[#This Row],[1]:[31]])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COUNTA(_7월[[#This Row],[1]:[31]])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COUNTA(_7월[[#This Row],[1]:[31]])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COUNTA(_7월[[#This Row],[1]:[31]])</f>
        <v>0</v>
      </c>
    </row>
    <row r="12" spans="2:34" ht="30" customHeight="1">
      <c r="B12" s="19" t="str">
        <f>월이름&amp;" 요약"</f>
        <v>7월 요약</v>
      </c>
      <c r="C12" s="20">
        <f>SUBTOTAL(103,_7월[1])</f>
        <v>0</v>
      </c>
      <c r="D12" s="20">
        <f>SUBTOTAL(103,_7월[2])</f>
        <v>0</v>
      </c>
      <c r="E12" s="20">
        <f>SUBTOTAL(103,_7월[3])</f>
        <v>0</v>
      </c>
      <c r="F12" s="20">
        <f>SUBTOTAL(103,_7월[4])</f>
        <v>0</v>
      </c>
      <c r="G12" s="20">
        <f>SUBTOTAL(103,_7월[5])</f>
        <v>0</v>
      </c>
      <c r="H12" s="20">
        <f>SUBTOTAL(103,_7월[6])</f>
        <v>0</v>
      </c>
      <c r="I12" s="20">
        <f>SUBTOTAL(103,_7월[7])</f>
        <v>0</v>
      </c>
      <c r="J12" s="20">
        <f>SUBTOTAL(103,_7월[8])</f>
        <v>0</v>
      </c>
      <c r="K12" s="20">
        <f>SUBTOTAL(103,_7월[9])</f>
        <v>0</v>
      </c>
      <c r="L12" s="20">
        <f>SUBTOTAL(103,_7월[10])</f>
        <v>0</v>
      </c>
      <c r="M12" s="20">
        <f>SUBTOTAL(103,_7월[11])</f>
        <v>0</v>
      </c>
      <c r="N12" s="20">
        <f>SUBTOTAL(103,_7월[12])</f>
        <v>0</v>
      </c>
      <c r="O12" s="20">
        <f>SUBTOTAL(103,_7월[13])</f>
        <v>0</v>
      </c>
      <c r="P12" s="20">
        <f>SUBTOTAL(103,_7월[14])</f>
        <v>0</v>
      </c>
      <c r="Q12" s="20">
        <f>SUBTOTAL(103,_7월[15])</f>
        <v>0</v>
      </c>
      <c r="R12" s="20">
        <f>SUBTOTAL(103,_7월[16])</f>
        <v>0</v>
      </c>
      <c r="S12" s="20">
        <f>SUBTOTAL(103,_7월[17])</f>
        <v>0</v>
      </c>
      <c r="T12" s="20">
        <f>SUBTOTAL(103,_7월[18])</f>
        <v>0</v>
      </c>
      <c r="U12" s="20">
        <f>SUBTOTAL(103,_7월[19])</f>
        <v>0</v>
      </c>
      <c r="V12" s="20">
        <f>SUBTOTAL(103,_7월[20])</f>
        <v>0</v>
      </c>
      <c r="W12" s="20">
        <f>SUBTOTAL(103,_7월[21])</f>
        <v>0</v>
      </c>
      <c r="X12" s="20">
        <f>SUBTOTAL(103,_7월[22])</f>
        <v>0</v>
      </c>
      <c r="Y12" s="20">
        <f>SUBTOTAL(103,_7월[23])</f>
        <v>0</v>
      </c>
      <c r="Z12" s="20">
        <f>SUBTOTAL(103,_7월[24])</f>
        <v>0</v>
      </c>
      <c r="AA12" s="20">
        <f>SUBTOTAL(103,_7월[25])</f>
        <v>0</v>
      </c>
      <c r="AB12" s="20">
        <f>SUBTOTAL(103,_7월[26])</f>
        <v>0</v>
      </c>
      <c r="AC12" s="20">
        <f>SUBTOTAL(103,_7월[27])</f>
        <v>0</v>
      </c>
      <c r="AD12" s="20">
        <f>SUBTOTAL(103,_7월[28])</f>
        <v>0</v>
      </c>
      <c r="AE12" s="20">
        <f>SUBTOTAL(103,_7월[29])</f>
        <v>0</v>
      </c>
      <c r="AF12" s="20">
        <f>SUBTOTAL(103,_7월[30])</f>
        <v>0</v>
      </c>
      <c r="AG12" s="20">
        <f>SUBTOTAL(103,_7월[31])</f>
        <v>0</v>
      </c>
      <c r="AH12" s="20">
        <f>SUBTOTAL(109,_7월[총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446" priority="2" stopIfTrue="1">
      <formula>C7=사용자지정키2</formula>
    </cfRule>
    <cfRule type="expression" dxfId="445" priority="3" stopIfTrue="1">
      <formula>C7=사용자지정키1</formula>
    </cfRule>
    <cfRule type="expression" dxfId="444" priority="4" stopIfTrue="1">
      <formula>C7=병가키</formula>
    </cfRule>
    <cfRule type="expression" dxfId="443" priority="5" stopIfTrue="1">
      <formula>C7=개인사유키</formula>
    </cfRule>
    <cfRule type="expression" dxfId="442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600-000000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600-000001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600-000002000000}"/>
    <dataValidation allowBlank="1" showInputMessage="1" showErrorMessage="1" prompt="왼쪽에 있는 사용자 지정 키를 설명하는 레이블을 입력합니다." sqref="M2:O2 R2" xr:uid="{148BAD09-FA0C-46E3-B926-7147AD95C40E}"/>
    <dataValidation allowBlank="1" showInputMessage="1" showErrorMessage="1" prompt="문자를 입력하고 다른 중요 항목을 추가하려면 오른쪽에 있는 레이블을 사용자 지정합니다." sqref="L2 Q2" xr:uid="{C94E04EC-320F-4850-98FC-827A4CEAA3EE}"/>
    <dataValidation allowBlank="1" showInputMessage="1" showErrorMessage="1" prompt="&quot;S&quot;는 질병으로 인한 휴가를 나타냅니다." sqref="I2" xr:uid="{0EAB3FCE-E38E-4A67-83BA-ADBA84B0DE1F}"/>
    <dataValidation allowBlank="1" showInputMessage="1" showErrorMessage="1" prompt="&quot;P&quot;는 개인 이유로 인한 휴가를 나타냅니다." sqref="F2" xr:uid="{1854C833-574E-40B1-9D02-AF626F85FC39}"/>
    <dataValidation allowBlank="1" showInputMessage="1" showErrorMessage="1" prompt="“V”는 휴가로 인한 휴가를 나타냅니다." sqref="C2" xr:uid="{3B962D6C-5B78-4E36-93BB-DE3E089F8DFA}"/>
    <dataValidation allowBlank="1" showInputMessage="1" showErrorMessage="1" prompt="이 셀에 자동으로 업데이트되는 제목이 있습니다. 제목을 수정하려면 1월 워크시트에서 B1을 업데이트하세요." sqref="B1" xr:uid="{00000000-0002-0000-0600-000008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600-000009000000}"/>
    <dataValidation allowBlank="1" showInputMessage="1" showErrorMessage="1" prompt="이 워크시트에서는 7월 휴가를 추적합니다." sqref="A1" xr:uid="{00000000-0002-0000-0600-00000A000000}"/>
    <dataValidation allowBlank="1" showInputMessage="1" showErrorMessage="1" prompt="이 열에서 이번 달 직원 휴가일 합계를 자동으로 계산합니다." sqref="AH6" xr:uid="{00000000-0002-0000-0600-00000B000000}"/>
    <dataValidation allowBlank="1" showInputMessage="1" showErrorMessage="1" prompt="1월 워크시트에 입력된 연도에 따라 자동으로 업데이트된 연도" sqref="AH4" xr:uid="{00000000-0002-0000-0600-00000C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6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59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TEXT(WEEKDAY(DATE(달력연도,8,1),1),"aaa")</f>
        <v>목</v>
      </c>
      <c r="D5" s="14" t="str">
        <f>TEXT(WEEKDAY(DATE(달력연도,8,2),1),"aaa")</f>
        <v>금</v>
      </c>
      <c r="E5" s="14" t="str">
        <f>TEXT(WEEKDAY(DATE(달력연도,8,3),1),"aaa")</f>
        <v>토</v>
      </c>
      <c r="F5" s="14" t="str">
        <f>TEXT(WEEKDAY(DATE(달력연도,8,4),1),"aaa")</f>
        <v>일</v>
      </c>
      <c r="G5" s="14" t="str">
        <f>TEXT(WEEKDAY(DATE(달력연도,8,5),1),"aaa")</f>
        <v>월</v>
      </c>
      <c r="H5" s="14" t="str">
        <f>TEXT(WEEKDAY(DATE(달력연도,8,6),1),"aaa")</f>
        <v>화</v>
      </c>
      <c r="I5" s="14" t="str">
        <f>TEXT(WEEKDAY(DATE(달력연도,8,7),1),"aaa")</f>
        <v>수</v>
      </c>
      <c r="J5" s="14" t="str">
        <f>TEXT(WEEKDAY(DATE(달력연도,8,8),1),"aaa")</f>
        <v>목</v>
      </c>
      <c r="K5" s="14" t="str">
        <f>TEXT(WEEKDAY(DATE(달력연도,8,9),1),"aaa")</f>
        <v>금</v>
      </c>
      <c r="L5" s="14" t="str">
        <f>TEXT(WEEKDAY(DATE(달력연도,8,10),1),"aaa")</f>
        <v>토</v>
      </c>
      <c r="M5" s="14" t="str">
        <f>TEXT(WEEKDAY(DATE(달력연도,8,11),1),"aaa")</f>
        <v>일</v>
      </c>
      <c r="N5" s="14" t="str">
        <f>TEXT(WEEKDAY(DATE(달력연도,8,12),1),"aaa")</f>
        <v>월</v>
      </c>
      <c r="O5" s="14" t="str">
        <f>TEXT(WEEKDAY(DATE(달력연도,8,13),1),"aaa")</f>
        <v>화</v>
      </c>
      <c r="P5" s="14" t="str">
        <f>TEXT(WEEKDAY(DATE(달력연도,8,14),1),"aaa")</f>
        <v>수</v>
      </c>
      <c r="Q5" s="14" t="str">
        <f>TEXT(WEEKDAY(DATE(달력연도,8,15),1),"aaa")</f>
        <v>목</v>
      </c>
      <c r="R5" s="14" t="str">
        <f>TEXT(WEEKDAY(DATE(달력연도,8,16),1),"aaa")</f>
        <v>금</v>
      </c>
      <c r="S5" s="14" t="str">
        <f>TEXT(WEEKDAY(DATE(달력연도,8,17),1),"aaa")</f>
        <v>토</v>
      </c>
      <c r="T5" s="14" t="str">
        <f>TEXT(WEEKDAY(DATE(달력연도,8,18),1),"aaa")</f>
        <v>일</v>
      </c>
      <c r="U5" s="14" t="str">
        <f>TEXT(WEEKDAY(DATE(달력연도,8,19),1),"aaa")</f>
        <v>월</v>
      </c>
      <c r="V5" s="14" t="str">
        <f>TEXT(WEEKDAY(DATE(달력연도,8,20),1),"aaa")</f>
        <v>화</v>
      </c>
      <c r="W5" s="14" t="str">
        <f>TEXT(WEEKDAY(DATE(달력연도,8,21),1),"aaa")</f>
        <v>수</v>
      </c>
      <c r="X5" s="14" t="str">
        <f>TEXT(WEEKDAY(DATE(달력연도,8,22),1),"aaa")</f>
        <v>목</v>
      </c>
      <c r="Y5" s="14" t="str">
        <f>TEXT(WEEKDAY(DATE(달력연도,8,23),1),"aaa")</f>
        <v>금</v>
      </c>
      <c r="Z5" s="14" t="str">
        <f>TEXT(WEEKDAY(DATE(달력연도,8,24),1),"aaa")</f>
        <v>토</v>
      </c>
      <c r="AA5" s="14" t="str">
        <f>TEXT(WEEKDAY(DATE(달력연도,8,25),1),"aaa")</f>
        <v>일</v>
      </c>
      <c r="AB5" s="14" t="str">
        <f>TEXT(WEEKDAY(DATE(달력연도,8,26),1),"aaa")</f>
        <v>월</v>
      </c>
      <c r="AC5" s="14" t="str">
        <f>TEXT(WEEKDAY(DATE(달력연도,8,27),1),"aaa")</f>
        <v>화</v>
      </c>
      <c r="AD5" s="14" t="str">
        <f>TEXT(WEEKDAY(DATE(달력연도,8,28),1),"aaa")</f>
        <v>수</v>
      </c>
      <c r="AE5" s="14" t="str">
        <f>TEXT(WEEKDAY(DATE(달력연도,8,29),1),"aaa")</f>
        <v>목</v>
      </c>
      <c r="AF5" s="14" t="str">
        <f>TEXT(WEEKDAY(DATE(달력연도,8,30),1),"aaa")</f>
        <v>금</v>
      </c>
      <c r="AG5" s="14" t="str">
        <f>TEXT(WEEKDAY(DATE(달력연도,8,31),1),"aaa")</f>
        <v>토</v>
      </c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48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COUNTA(_8월[[#This Row],[1]:[31]])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COUNTA(_8월[[#This Row],[1]:[31]])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COUNTA(_8월[[#This Row],[1]:[31]])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COUNTA(_8월[[#This Row],[1]:[31]])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COUNTA(_8월[[#This Row],[1]:[31]])</f>
        <v>0</v>
      </c>
    </row>
    <row r="12" spans="2:34" ht="30" customHeight="1">
      <c r="B12" s="19" t="str">
        <f>월이름&amp;" 요약"</f>
        <v>8월 요약</v>
      </c>
      <c r="C12" s="20">
        <f>SUBTOTAL(103,_8월[1])</f>
        <v>0</v>
      </c>
      <c r="D12" s="20">
        <f>SUBTOTAL(103,_8월[2])</f>
        <v>0</v>
      </c>
      <c r="E12" s="20">
        <f>SUBTOTAL(103,_8월[3])</f>
        <v>0</v>
      </c>
      <c r="F12" s="20">
        <f>SUBTOTAL(103,_8월[4])</f>
        <v>0</v>
      </c>
      <c r="G12" s="20">
        <f>SUBTOTAL(103,_8월[5])</f>
        <v>0</v>
      </c>
      <c r="H12" s="20">
        <f>SUBTOTAL(103,_8월[6])</f>
        <v>0</v>
      </c>
      <c r="I12" s="20">
        <f>SUBTOTAL(103,_8월[7])</f>
        <v>0</v>
      </c>
      <c r="J12" s="20">
        <f>SUBTOTAL(103,_8월[8])</f>
        <v>0</v>
      </c>
      <c r="K12" s="20">
        <f>SUBTOTAL(103,_8월[9])</f>
        <v>0</v>
      </c>
      <c r="L12" s="20">
        <f>SUBTOTAL(103,_8월[10])</f>
        <v>0</v>
      </c>
      <c r="M12" s="20">
        <f>SUBTOTAL(103,_8월[11])</f>
        <v>0</v>
      </c>
      <c r="N12" s="20">
        <f>SUBTOTAL(103,_8월[12])</f>
        <v>0</v>
      </c>
      <c r="O12" s="20">
        <f>SUBTOTAL(103,_8월[13])</f>
        <v>0</v>
      </c>
      <c r="P12" s="20">
        <f>SUBTOTAL(103,_8월[14])</f>
        <v>0</v>
      </c>
      <c r="Q12" s="20">
        <f>SUBTOTAL(103,_8월[15])</f>
        <v>0</v>
      </c>
      <c r="R12" s="20">
        <f>SUBTOTAL(103,_8월[16])</f>
        <v>0</v>
      </c>
      <c r="S12" s="20">
        <f>SUBTOTAL(103,_8월[17])</f>
        <v>0</v>
      </c>
      <c r="T12" s="20">
        <f>SUBTOTAL(103,_8월[18])</f>
        <v>0</v>
      </c>
      <c r="U12" s="20">
        <f>SUBTOTAL(103,_8월[19])</f>
        <v>0</v>
      </c>
      <c r="V12" s="20">
        <f>SUBTOTAL(103,_8월[20])</f>
        <v>0</v>
      </c>
      <c r="W12" s="20">
        <f>SUBTOTAL(103,_8월[21])</f>
        <v>0</v>
      </c>
      <c r="X12" s="20">
        <f>SUBTOTAL(103,_8월[22])</f>
        <v>0</v>
      </c>
      <c r="Y12" s="20">
        <f>SUBTOTAL(103,_8월[23])</f>
        <v>0</v>
      </c>
      <c r="Z12" s="20">
        <f>SUBTOTAL(103,_8월[24])</f>
        <v>0</v>
      </c>
      <c r="AA12" s="20">
        <f>SUBTOTAL(103,_8월[25])</f>
        <v>0</v>
      </c>
      <c r="AB12" s="20">
        <f>SUBTOTAL(103,_8월[26])</f>
        <v>0</v>
      </c>
      <c r="AC12" s="20">
        <f>SUBTOTAL(103,_8월[27])</f>
        <v>0</v>
      </c>
      <c r="AD12" s="20">
        <f>SUBTOTAL(103,_8월[28])</f>
        <v>0</v>
      </c>
      <c r="AE12" s="20">
        <f>SUBTOTAL(103,_8월[29])</f>
        <v>0</v>
      </c>
      <c r="AF12" s="20">
        <f>SUBTOTAL(103,_8월[30])</f>
        <v>0</v>
      </c>
      <c r="AG12" s="20">
        <f>SUBTOTAL(103,_8월[31])</f>
        <v>0</v>
      </c>
      <c r="AH12" s="20">
        <f>SUBTOTAL(109,_8월[총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372" priority="2" stopIfTrue="1">
      <formula>C7=사용자지정키2</formula>
    </cfRule>
    <cfRule type="expression" dxfId="371" priority="3" stopIfTrue="1">
      <formula>C7=사용자지정키1</formula>
    </cfRule>
    <cfRule type="expression" dxfId="370" priority="4" stopIfTrue="1">
      <formula>C7=병가키</formula>
    </cfRule>
    <cfRule type="expression" dxfId="369" priority="5" stopIfTrue="1">
      <formula>C7=개인사유키</formula>
    </cfRule>
    <cfRule type="expression" dxfId="368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700-000000000000}"/>
    <dataValidation allowBlank="1" showInputMessage="1" showErrorMessage="1" prompt="1월 워크시트에 입력된 연도에 따라 자동으로 업데이트된 연도" sqref="AH4" xr:uid="{00000000-0002-0000-0700-000001000000}"/>
    <dataValidation allowBlank="1" showInputMessage="1" showErrorMessage="1" prompt="이 열에서 이번 달 직원 휴가일 합계를 자동으로 계산합니다." sqref="AH6" xr:uid="{00000000-0002-0000-0700-000002000000}"/>
    <dataValidation allowBlank="1" showInputMessage="1" showErrorMessage="1" prompt="이 워크시트에서는 8월 휴가를 추적합니다." sqref="A1" xr:uid="{00000000-0002-0000-0700-000003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700-000004000000}"/>
    <dataValidation allowBlank="1" showInputMessage="1" showErrorMessage="1" prompt="이 셀에 자동으로 업데이트되는 제목이 있습니다. 제목을 수정하려면 1월 워크시트에서 B1을 업데이트하세요." sqref="B1" xr:uid="{00000000-0002-0000-0700-000005000000}"/>
    <dataValidation allowBlank="1" showInputMessage="1" showErrorMessage="1" prompt="“V”는 휴가로 인한 휴가를 나타냅니다." sqref="C2" xr:uid="{DEF7E4EB-A2BB-4111-94C2-1538D993FD5F}"/>
    <dataValidation allowBlank="1" showInputMessage="1" showErrorMessage="1" prompt="&quot;P&quot;는 개인 이유로 인한 휴가를 나타냅니다." sqref="F2" xr:uid="{CC7FB91A-6AC4-4A0A-8A4D-CDFD3AD3C0C6}"/>
    <dataValidation allowBlank="1" showInputMessage="1" showErrorMessage="1" prompt="&quot;S&quot;는 질병으로 인한 휴가를 나타냅니다." sqref="I2" xr:uid="{E43813F5-8881-476C-9215-633DBC7001A5}"/>
    <dataValidation allowBlank="1" showInputMessage="1" showErrorMessage="1" prompt="문자를 입력하고 다른 중요 항목을 추가하려면 오른쪽에 있는 레이블을 사용자 지정합니다." sqref="L2 Q2" xr:uid="{CBC048C4-EA51-4146-B0BC-CD3C6974F062}"/>
    <dataValidation allowBlank="1" showInputMessage="1" showErrorMessage="1" prompt="왼쪽에 있는 사용자 지정 키를 설명하는 레이블을 입력합니다." sqref="M2:O2 R2" xr:uid="{CE7E497E-E0CA-4712-97D9-C48DFA784E55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700-00000B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700-00000C000000}"/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7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'직원 이름'!$B$4:$B$8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B1:AH12"/>
  <sheetViews>
    <sheetView showGridLines="0" zoomScaleNormal="100" workbookViewId="0"/>
  </sheetViews>
  <sheetFormatPr defaultRowHeight="30" customHeight="1"/>
  <cols>
    <col min="1" max="1" width="2.625" style="4" customWidth="1"/>
    <col min="2" max="2" width="25.625" style="4" customWidth="1"/>
    <col min="3" max="33" width="4.625" style="4" customWidth="1"/>
    <col min="34" max="34" width="13.5" style="4" customWidth="1"/>
    <col min="35" max="35" width="2.625" style="4" customWidth="1"/>
    <col min="36" max="16384" width="9" style="4"/>
  </cols>
  <sheetData>
    <row r="1" spans="2:34" ht="50.1" customHeight="1">
      <c r="B1" s="3" t="str">
        <f>Employee_Absence_Title</f>
        <v>직원 휴가 일정</v>
      </c>
    </row>
    <row r="2" spans="2:34" ht="15" customHeight="1">
      <c r="B2" s="5" t="s">
        <v>1</v>
      </c>
      <c r="C2" s="6" t="s">
        <v>9</v>
      </c>
      <c r="D2" s="7" t="s">
        <v>12</v>
      </c>
      <c r="E2" s="7"/>
      <c r="F2" s="8" t="s">
        <v>15</v>
      </c>
      <c r="G2" s="7" t="s">
        <v>19</v>
      </c>
      <c r="H2" s="7"/>
      <c r="I2" s="9" t="s">
        <v>17</v>
      </c>
      <c r="J2" s="7" t="s">
        <v>24</v>
      </c>
      <c r="K2" s="7"/>
      <c r="L2" s="10"/>
      <c r="M2" s="7" t="s">
        <v>28</v>
      </c>
      <c r="N2" s="7"/>
      <c r="O2" s="7"/>
      <c r="P2" s="7"/>
      <c r="Q2" s="11"/>
      <c r="R2" s="7" t="s">
        <v>33</v>
      </c>
      <c r="S2" s="7"/>
      <c r="T2" s="7"/>
    </row>
    <row r="3" spans="2:34" ht="15" customHeight="1">
      <c r="B3" s="3"/>
    </row>
    <row r="4" spans="2:34" ht="30" customHeight="1">
      <c r="B4" s="13" t="s">
        <v>60</v>
      </c>
      <c r="C4" s="22" t="s">
        <v>10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3">
        <f>달력연도</f>
        <v>2019</v>
      </c>
    </row>
    <row r="5" spans="2:34" ht="15" customHeight="1">
      <c r="B5" s="13"/>
      <c r="C5" s="14" t="str">
        <f>TEXT(WEEKDAY(DATE(달력연도,9,1),1),"aaa")</f>
        <v>일</v>
      </c>
      <c r="D5" s="14" t="str">
        <f>TEXT(WEEKDAY(DATE(달력연도,9,2),1),"aaa")</f>
        <v>월</v>
      </c>
      <c r="E5" s="14" t="str">
        <f>TEXT(WEEKDAY(DATE(달력연도,9,3),1),"aaa")</f>
        <v>화</v>
      </c>
      <c r="F5" s="14" t="str">
        <f>TEXT(WEEKDAY(DATE(달력연도,9,4),1),"aaa")</f>
        <v>수</v>
      </c>
      <c r="G5" s="14" t="str">
        <f>TEXT(WEEKDAY(DATE(달력연도,9,5),1),"aaa")</f>
        <v>목</v>
      </c>
      <c r="H5" s="14" t="str">
        <f>TEXT(WEEKDAY(DATE(달력연도,9,6),1),"aaa")</f>
        <v>금</v>
      </c>
      <c r="I5" s="14" t="str">
        <f>TEXT(WEEKDAY(DATE(달력연도,9,7),1),"aaa")</f>
        <v>토</v>
      </c>
      <c r="J5" s="14" t="str">
        <f>TEXT(WEEKDAY(DATE(달력연도,9,8),1),"aaa")</f>
        <v>일</v>
      </c>
      <c r="K5" s="14" t="str">
        <f>TEXT(WEEKDAY(DATE(달력연도,9,9),1),"aaa")</f>
        <v>월</v>
      </c>
      <c r="L5" s="14" t="str">
        <f>TEXT(WEEKDAY(DATE(달력연도,9,10),1),"aaa")</f>
        <v>화</v>
      </c>
      <c r="M5" s="14" t="str">
        <f>TEXT(WEEKDAY(DATE(달력연도,9,11),1),"aaa")</f>
        <v>수</v>
      </c>
      <c r="N5" s="14" t="str">
        <f>TEXT(WEEKDAY(DATE(달력연도,9,12),1),"aaa")</f>
        <v>목</v>
      </c>
      <c r="O5" s="14" t="str">
        <f>TEXT(WEEKDAY(DATE(달력연도,9,13),1),"aaa")</f>
        <v>금</v>
      </c>
      <c r="P5" s="14" t="str">
        <f>TEXT(WEEKDAY(DATE(달력연도,9,14),1),"aaa")</f>
        <v>토</v>
      </c>
      <c r="Q5" s="14" t="str">
        <f>TEXT(WEEKDAY(DATE(달력연도,9,15),1),"aaa")</f>
        <v>일</v>
      </c>
      <c r="R5" s="14" t="str">
        <f>TEXT(WEEKDAY(DATE(달력연도,9,16),1),"aaa")</f>
        <v>월</v>
      </c>
      <c r="S5" s="14" t="str">
        <f>TEXT(WEEKDAY(DATE(달력연도,9,17),1),"aaa")</f>
        <v>화</v>
      </c>
      <c r="T5" s="14" t="str">
        <f>TEXT(WEEKDAY(DATE(달력연도,9,18),1),"aaa")</f>
        <v>수</v>
      </c>
      <c r="U5" s="14" t="str">
        <f>TEXT(WEEKDAY(DATE(달력연도,9,19),1),"aaa")</f>
        <v>목</v>
      </c>
      <c r="V5" s="14" t="str">
        <f>TEXT(WEEKDAY(DATE(달력연도,9,20),1),"aaa")</f>
        <v>금</v>
      </c>
      <c r="W5" s="14" t="str">
        <f>TEXT(WEEKDAY(DATE(달력연도,9,21),1),"aaa")</f>
        <v>토</v>
      </c>
      <c r="X5" s="14" t="str">
        <f>TEXT(WEEKDAY(DATE(달력연도,9,22),1),"aaa")</f>
        <v>일</v>
      </c>
      <c r="Y5" s="14" t="str">
        <f>TEXT(WEEKDAY(DATE(달력연도,9,23),1),"aaa")</f>
        <v>월</v>
      </c>
      <c r="Z5" s="14" t="str">
        <f>TEXT(WEEKDAY(DATE(달력연도,9,24),1),"aaa")</f>
        <v>화</v>
      </c>
      <c r="AA5" s="14" t="str">
        <f>TEXT(WEEKDAY(DATE(달력연도,9,25),1),"aaa")</f>
        <v>수</v>
      </c>
      <c r="AB5" s="14" t="str">
        <f>TEXT(WEEKDAY(DATE(달력연도,9,26),1),"aaa")</f>
        <v>목</v>
      </c>
      <c r="AC5" s="14" t="str">
        <f>TEXT(WEEKDAY(DATE(달력연도,9,27),1),"aaa")</f>
        <v>금</v>
      </c>
      <c r="AD5" s="14" t="str">
        <f>TEXT(WEEKDAY(DATE(달력연도,9,28),1),"aaa")</f>
        <v>토</v>
      </c>
      <c r="AE5" s="14" t="str">
        <f>TEXT(WEEKDAY(DATE(달력연도,9,29),1),"aaa")</f>
        <v>일</v>
      </c>
      <c r="AF5" s="14" t="str">
        <f>TEXT(WEEKDAY(DATE(달력연도,9,30),1),"aaa")</f>
        <v>월</v>
      </c>
      <c r="AG5" s="14"/>
      <c r="AH5" s="13"/>
    </row>
    <row r="6" spans="2:34" ht="15" customHeight="1">
      <c r="B6" s="15" t="s">
        <v>3</v>
      </c>
      <c r="C6" s="14" t="s">
        <v>11</v>
      </c>
      <c r="D6" s="14" t="s">
        <v>13</v>
      </c>
      <c r="E6" s="14" t="s">
        <v>14</v>
      </c>
      <c r="F6" s="14" t="s">
        <v>16</v>
      </c>
      <c r="G6" s="14" t="s">
        <v>18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25</v>
      </c>
      <c r="M6" s="14" t="s">
        <v>26</v>
      </c>
      <c r="N6" s="14" t="s">
        <v>27</v>
      </c>
      <c r="O6" s="14" t="s">
        <v>29</v>
      </c>
      <c r="P6" s="14" t="s">
        <v>30</v>
      </c>
      <c r="Q6" s="14" t="s">
        <v>31</v>
      </c>
      <c r="R6" s="14" t="s">
        <v>32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14" t="s">
        <v>52</v>
      </c>
      <c r="AH6" s="16" t="s">
        <v>50</v>
      </c>
    </row>
    <row r="7" spans="2:34" ht="30" customHeight="1">
      <c r="B7" s="17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>COUNTA(_9월[[#This Row],[1]:[30]])</f>
        <v>0</v>
      </c>
    </row>
    <row r="8" spans="2:34" ht="30" customHeight="1">
      <c r="B8" s="17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>COUNTA(_9월[[#This Row],[1]:[30]])</f>
        <v>0</v>
      </c>
    </row>
    <row r="9" spans="2:34" ht="30" customHeight="1">
      <c r="B9" s="17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>COUNTA(_9월[[#This Row],[1]:[30]])</f>
        <v>0</v>
      </c>
    </row>
    <row r="10" spans="2:34" ht="30" customHeight="1">
      <c r="B10" s="1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>COUNTA(_9월[[#This Row],[1]:[30]])</f>
        <v>0</v>
      </c>
    </row>
    <row r="11" spans="2:34" ht="30" customHeight="1">
      <c r="B11" s="17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>COUNTA(_9월[[#This Row],[1]:[30]])</f>
        <v>0</v>
      </c>
    </row>
    <row r="12" spans="2:34" ht="30" customHeight="1">
      <c r="B12" s="19" t="str">
        <f>월이름&amp;" 요약"</f>
        <v>9월 요약</v>
      </c>
      <c r="C12" s="20">
        <f>SUBTOTAL(103,_9월[1])</f>
        <v>0</v>
      </c>
      <c r="D12" s="20">
        <f>SUBTOTAL(103,_9월[2])</f>
        <v>0</v>
      </c>
      <c r="E12" s="20">
        <f>SUBTOTAL(103,_9월[3])</f>
        <v>0</v>
      </c>
      <c r="F12" s="20">
        <f>SUBTOTAL(103,_9월[4])</f>
        <v>0</v>
      </c>
      <c r="G12" s="20">
        <f>SUBTOTAL(103,_9월[5])</f>
        <v>0</v>
      </c>
      <c r="H12" s="20">
        <f>SUBTOTAL(103,_9월[6])</f>
        <v>0</v>
      </c>
      <c r="I12" s="20">
        <f>SUBTOTAL(103,_9월[7])</f>
        <v>0</v>
      </c>
      <c r="J12" s="20">
        <f>SUBTOTAL(103,_9월[8])</f>
        <v>0</v>
      </c>
      <c r="K12" s="20">
        <f>SUBTOTAL(103,_9월[9])</f>
        <v>0</v>
      </c>
      <c r="L12" s="20">
        <f>SUBTOTAL(103,_9월[10])</f>
        <v>0</v>
      </c>
      <c r="M12" s="20">
        <f>SUBTOTAL(103,_9월[11])</f>
        <v>0</v>
      </c>
      <c r="N12" s="20">
        <f>SUBTOTAL(103,_9월[12])</f>
        <v>0</v>
      </c>
      <c r="O12" s="20">
        <f>SUBTOTAL(103,_9월[13])</f>
        <v>0</v>
      </c>
      <c r="P12" s="20">
        <f>SUBTOTAL(103,_9월[14])</f>
        <v>0</v>
      </c>
      <c r="Q12" s="20">
        <f>SUBTOTAL(103,_9월[15])</f>
        <v>0</v>
      </c>
      <c r="R12" s="20">
        <f>SUBTOTAL(103,_9월[16])</f>
        <v>0</v>
      </c>
      <c r="S12" s="20">
        <f>SUBTOTAL(103,_9월[17])</f>
        <v>0</v>
      </c>
      <c r="T12" s="20">
        <f>SUBTOTAL(103,_9월[18])</f>
        <v>0</v>
      </c>
      <c r="U12" s="20">
        <f>SUBTOTAL(103,_9월[19])</f>
        <v>0</v>
      </c>
      <c r="V12" s="20">
        <f>SUBTOTAL(103,_9월[20])</f>
        <v>0</v>
      </c>
      <c r="W12" s="20">
        <f>SUBTOTAL(103,_9월[21])</f>
        <v>0</v>
      </c>
      <c r="X12" s="20">
        <f>SUBTOTAL(103,_9월[22])</f>
        <v>0</v>
      </c>
      <c r="Y12" s="20">
        <f>SUBTOTAL(103,_9월[23])</f>
        <v>0</v>
      </c>
      <c r="Z12" s="20">
        <f>SUBTOTAL(103,_9월[24])</f>
        <v>0</v>
      </c>
      <c r="AA12" s="20">
        <f>SUBTOTAL(103,_9월[25])</f>
        <v>0</v>
      </c>
      <c r="AB12" s="20">
        <f>SUBTOTAL(103,_9월[26])</f>
        <v>0</v>
      </c>
      <c r="AC12" s="20">
        <f>SUBTOTAL(103,_9월[27])</f>
        <v>0</v>
      </c>
      <c r="AD12" s="20">
        <f>SUBTOTAL(103,_9월[28])</f>
        <v>0</v>
      </c>
      <c r="AE12" s="20">
        <f>SUBTOTAL(103,_9월[29])</f>
        <v>0</v>
      </c>
      <c r="AF12" s="20">
        <f>SUBTOTAL(103,_9월[30])</f>
        <v>0</v>
      </c>
      <c r="AG12" s="20">
        <f>SUBTOTAL(103,_9월[[ ]])</f>
        <v>0</v>
      </c>
      <c r="AH12" s="20">
        <f>SUBTOTAL(109,_9월[총 일수])</f>
        <v>0</v>
      </c>
    </row>
  </sheetData>
  <mergeCells count="1">
    <mergeCell ref="C4:AG4"/>
  </mergeCells>
  <phoneticPr fontId="1" type="noConversion"/>
  <conditionalFormatting sqref="C7:AG11">
    <cfRule type="expression" priority="1" stopIfTrue="1">
      <formula>C7=""</formula>
    </cfRule>
  </conditionalFormatting>
  <conditionalFormatting sqref="C7:AG11">
    <cfRule type="expression" dxfId="298" priority="2" stopIfTrue="1">
      <formula>C7=사용자지정키2</formula>
    </cfRule>
    <cfRule type="expression" dxfId="297" priority="3" stopIfTrue="1">
      <formula>C7=사용자지정키1</formula>
    </cfRule>
    <cfRule type="expression" dxfId="296" priority="4" stopIfTrue="1">
      <formula>C7=병가키</formula>
    </cfRule>
    <cfRule type="expression" dxfId="295" priority="5" stopIfTrue="1">
      <formula>C7=개인사유키</formula>
    </cfRule>
    <cfRule type="expression" dxfId="294" priority="6" stopIfTrue="1">
      <formula>C7=휴가키</formula>
    </cfRule>
  </conditionalFormatting>
  <conditionalFormatting sqref="AH7:AH11">
    <cfRule type="dataBar" priority="7">
      <dataBar>
        <cfvo type="min"/>
        <cfvo type="formula" val="DATEDIF(DATE(달력연도,2,1),DATE(달력연도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해당 행의 날짜가 자동으로 생성됩니다. 월의 각 날짜에 대한 각 열에 직원의 휴가 날짜와 결근 유형을 입력합니다. 비어 있는 경우 휴가가 아님을 의미합니다." sqref="C6" xr:uid="{00000000-0002-0000-0800-000000000000}"/>
    <dataValidation allowBlank="1" showInputMessage="1" showErrorMessage="1" prompt="이 셀에 이 휴가 일정의 월 이름이 있습니다. 이번 달 결근 합계는 표의 마지막 셀에 있습니다. 표의 B열에서 직원 이름을 선택하세요." sqref="B4" xr:uid="{00000000-0002-0000-0800-000001000000}"/>
    <dataValidation allowBlank="1" showInputMessage="1" showErrorMessage="1" prompt="이 행은 표에서 사용되는 키를 정의합니다. C2 셀은 휴가, F2는 개인적 사유의 휴가, I2는 병가입니다. L2 셀과 Q2 셀은 사용자 지정 가능합니다." sqref="B2" xr:uid="{00000000-0002-0000-0800-000002000000}"/>
    <dataValidation allowBlank="1" showInputMessage="1" showErrorMessage="1" prompt="왼쪽에 있는 사용자 지정 키를 설명하는 레이블을 입력합니다." sqref="M2:O2 R2" xr:uid="{970C1163-2828-4FB4-A22E-85E13AE40FFA}"/>
    <dataValidation allowBlank="1" showInputMessage="1" showErrorMessage="1" prompt="문자를 입력하고 다른 중요 항목을 추가하려면 오른쪽에 있는 레이블을 사용자 지정합니다." sqref="L2 Q2" xr:uid="{EBE7F52C-183E-445D-A4E8-83D920FB7535}"/>
    <dataValidation allowBlank="1" showInputMessage="1" showErrorMessage="1" prompt="&quot;S&quot;는 질병으로 인한 휴가를 나타냅니다." sqref="I2" xr:uid="{5E63B9BD-52C7-4A24-A03A-F7611FF0BC28}"/>
    <dataValidation allowBlank="1" showInputMessage="1" showErrorMessage="1" prompt="&quot;P&quot;는 개인 이유로 인한 휴가를 나타냅니다." sqref="F2" xr:uid="{CFCC54A8-299C-4F62-B665-3865094D55D8}"/>
    <dataValidation allowBlank="1" showInputMessage="1" showErrorMessage="1" prompt="“V”는 휴가로 인한 휴가를 나타냅니다." sqref="C2" xr:uid="{2A9FE23F-A7C5-42F0-9B45-EF09F91FC7DC}"/>
    <dataValidation allowBlank="1" showInputMessage="1" showErrorMessage="1" prompt="이 셀에 자동으로 업데이트되는 제목이 있습니다. 제목을 수정하려면 1월 워크시트에서 B1을 업데이트하세요." sqref="B1" xr:uid="{00000000-0002-0000-0800-000008000000}"/>
    <dataValidation errorStyle="warning" allowBlank="1" showInputMessage="1" showErrorMessage="1" error="목록에서 이름을 선택합니다. [취소]를 선택하고 ALT + 아래쪽 화살표를 누른 다음 ENTER 키를 눌러 이름을 선택합니다." prompt="직원 이름 워크시트에 직원 이름을 입력한 다음,열의 목록에서 해당 이름 중 하나를 선택합니다. ALT + 아래쪽 화살표를 누른 다음 ENTER 키를 눌러 이름을 선택합니다." sqref="B6" xr:uid="{00000000-0002-0000-0800-000009000000}"/>
    <dataValidation allowBlank="1" showInputMessage="1" showErrorMessage="1" prompt="이 워크시트에서는 9월 휴가를 추적합니다." sqref="A1" xr:uid="{00000000-0002-0000-0800-00000A000000}"/>
    <dataValidation allowBlank="1" showInputMessage="1" showErrorMessage="1" prompt="이 열에서 이번 달 직원 휴가일 합계를 자동으로 계산합니다." sqref="AH6" xr:uid="{00000000-0002-0000-0800-00000B000000}"/>
    <dataValidation allowBlank="1" showInputMessage="1" showErrorMessage="1" prompt="1월 워크시트에 입력된 연도에 따라 자동으로 업데이트된 연도" sqref="AH4" xr:uid="{00000000-0002-0000-0800-00000C000000}"/>
    <dataValidation allowBlank="1" showInputMessage="1" showErrorMessage="1" prompt="이 행의 평일 수는 AH4에 입력된 연도에 따라 해당 달에 맞게 자동으로 업데이트됩니다. 해당 월의 각 날짜는 직원의 휴가 및 결근 유형을 기록하는 열입니다." sqref="C5" xr:uid="{00000000-0002-0000-0800-00000D000000}"/>
  </dataValidations>
  <printOptions horizontalCentered="1"/>
  <pageMargins left="0.25" right="0.25" top="0.75" bottom="0.75" header="0.3" footer="0.3"/>
  <pageSetup paperSize="9" scale="70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DATEDIF(DATE(달력연도,2,1),DATE(달력연도,3,1),"d")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'직원 이름'!$B$4:$B$8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50</vt:i4>
      </vt:variant>
    </vt:vector>
  </HeadingPairs>
  <TitlesOfParts>
    <vt:vector size="63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직원 이름</vt:lpstr>
      <vt:lpstr>Employee_Absence_Title</vt:lpstr>
      <vt:lpstr>Key_name</vt:lpstr>
      <vt:lpstr>'10월'!Print_Titles</vt:lpstr>
      <vt:lpstr>'11월'!Print_Titles</vt:lpstr>
      <vt:lpstr>'12월'!Print_Titles</vt:lpstr>
      <vt:lpstr>'1월'!Print_Titles</vt:lpstr>
      <vt:lpstr>'2월'!Print_Titles</vt:lpstr>
      <vt:lpstr>'3월'!Print_Titles</vt:lpstr>
      <vt:lpstr>'4월'!Print_Titles</vt:lpstr>
      <vt:lpstr>'5월'!Print_Titles</vt:lpstr>
      <vt:lpstr>'6월'!Print_Titles</vt:lpstr>
      <vt:lpstr>'7월'!Print_Titles</vt:lpstr>
      <vt:lpstr>'8월'!Print_Titles</vt:lpstr>
      <vt:lpstr>'9월'!Print_Titles</vt:lpstr>
      <vt:lpstr>개인사유키</vt:lpstr>
      <vt:lpstr>개인사유키레이블</vt:lpstr>
      <vt:lpstr>달력연도</vt:lpstr>
      <vt:lpstr>병가키</vt:lpstr>
      <vt:lpstr>병가키레이블</vt:lpstr>
      <vt:lpstr>사용자지정키1</vt:lpstr>
      <vt:lpstr>사용자지정키1레이블</vt:lpstr>
      <vt:lpstr>사용자지정키2</vt:lpstr>
      <vt:lpstr>사용자지정키2레이블</vt:lpstr>
      <vt:lpstr>열제목13</vt:lpstr>
      <vt:lpstr>'10월'!월이름</vt:lpstr>
      <vt:lpstr>'11월'!월이름</vt:lpstr>
      <vt:lpstr>'12월'!월이름</vt:lpstr>
      <vt:lpstr>'1월'!월이름</vt:lpstr>
      <vt:lpstr>'2월'!월이름</vt:lpstr>
      <vt:lpstr>'3월'!월이름</vt:lpstr>
      <vt:lpstr>'4월'!월이름</vt:lpstr>
      <vt:lpstr>'5월'!월이름</vt:lpstr>
      <vt:lpstr>'6월'!월이름</vt:lpstr>
      <vt:lpstr>'7월'!월이름</vt:lpstr>
      <vt:lpstr>'8월'!월이름</vt:lpstr>
      <vt:lpstr>'9월'!월이름</vt:lpstr>
      <vt:lpstr>제목1</vt:lpstr>
      <vt:lpstr>제목10</vt:lpstr>
      <vt:lpstr>제목11</vt:lpstr>
      <vt:lpstr>제목12</vt:lpstr>
      <vt:lpstr>제목2</vt:lpstr>
      <vt:lpstr>제목3</vt:lpstr>
      <vt:lpstr>제목4</vt:lpstr>
      <vt:lpstr>제목5</vt:lpstr>
      <vt:lpstr>제목6</vt:lpstr>
      <vt:lpstr>제목7</vt:lpstr>
      <vt:lpstr>제목8</vt:lpstr>
      <vt:lpstr>제목9</vt:lpstr>
      <vt:lpstr>휴가키</vt:lpstr>
      <vt:lpstr>휴가키레이블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2016-12-06T04:52:27Z</dcterms:created>
  <dcterms:modified xsi:type="dcterms:W3CDTF">2019-09-02T06:09:09Z</dcterms:modified>
</cp:coreProperties>
</file>