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139.xml" ContentType="application/vnd.openxmlformats-officedocument.spreadsheetml.table+xml"/>
  <Override PartName="/xl/tables/table810.xml" ContentType="application/vnd.openxmlformats-officedocument.spreadsheetml.table+xml"/>
  <Override PartName="/xl/tables/table211.xml" ContentType="application/vnd.openxmlformats-officedocument.spreadsheetml.table+xml"/>
  <Override PartName="/xl/tables/table712.xml" ContentType="application/vnd.openxmlformats-officedocument.spreadsheetml.table+xml"/>
  <Override PartName="/xl/tables/table1213.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codeName="ThisWorkbook"/>
  <mc:AlternateContent xmlns:mc="http://schemas.openxmlformats.org/markup-compatibility/2006">
    <mc:Choice Requires="x15">
      <x15ac:absPath xmlns:x15ac="http://schemas.microsoft.com/office/spreadsheetml/2010/11/ac" url="C:\Users\admin\Desktop\ja-JP\"/>
    </mc:Choice>
  </mc:AlternateContent>
  <bookViews>
    <workbookView xWindow="-120" yWindow="-120" windowWidth="28890" windowHeight="16110" xr2:uid="{00000000-000D-0000-FFFF-FFFF00000000}"/>
  </bookViews>
  <sheets>
    <sheet name="開始" sheetId="2" r:id="rId1"/>
    <sheet name="個人予算" sheetId="1" r:id="rId2"/>
  </sheets>
  <definedNames>
    <definedName name="印刷領域_設定">OFFSET(個人予算!$C$2,,,MATCH(REPT("z",255),個人予算!$C:$C),最後の列)</definedName>
    <definedName name="最後の列">COUNTA(個人予算!$4:$4)+1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6" i="1" l="1"/>
  <c r="P107" i="1"/>
  <c r="Q2" i="1"/>
  <c r="P17" i="1"/>
  <c r="P16" i="1"/>
  <c r="P13" i="1"/>
  <c r="P15" i="1"/>
  <c r="P14" i="1"/>
  <c r="E103" i="1"/>
  <c r="F103" i="1"/>
  <c r="G103" i="1"/>
  <c r="H103" i="1"/>
  <c r="I103" i="1"/>
  <c r="J103" i="1"/>
  <c r="K103" i="1"/>
  <c r="L103" i="1"/>
  <c r="M103" i="1"/>
  <c r="N103" i="1"/>
  <c r="O103" i="1"/>
  <c r="D103" i="1"/>
  <c r="E95" i="1"/>
  <c r="F95" i="1"/>
  <c r="G95" i="1"/>
  <c r="H95" i="1"/>
  <c r="I95" i="1"/>
  <c r="J95" i="1"/>
  <c r="K95" i="1"/>
  <c r="L95" i="1"/>
  <c r="M95" i="1"/>
  <c r="N95" i="1"/>
  <c r="O95" i="1"/>
  <c r="D95" i="1"/>
  <c r="E87" i="1"/>
  <c r="F87" i="1"/>
  <c r="G87" i="1"/>
  <c r="H87" i="1"/>
  <c r="I87" i="1"/>
  <c r="J87" i="1"/>
  <c r="K87" i="1"/>
  <c r="L87" i="1"/>
  <c r="M87" i="1"/>
  <c r="N87" i="1"/>
  <c r="O87" i="1"/>
  <c r="D87" i="1"/>
  <c r="E79" i="1"/>
  <c r="F79" i="1"/>
  <c r="G79" i="1"/>
  <c r="H79" i="1"/>
  <c r="I79" i="1"/>
  <c r="J79" i="1"/>
  <c r="K79" i="1"/>
  <c r="L79" i="1"/>
  <c r="M79" i="1"/>
  <c r="N79" i="1"/>
  <c r="O79" i="1"/>
  <c r="D79" i="1"/>
  <c r="E69" i="1"/>
  <c r="F69" i="1"/>
  <c r="G69" i="1"/>
  <c r="H69" i="1"/>
  <c r="I69" i="1"/>
  <c r="J69" i="1"/>
  <c r="K69" i="1"/>
  <c r="L69" i="1"/>
  <c r="M69" i="1"/>
  <c r="N69" i="1"/>
  <c r="O69" i="1"/>
  <c r="D69" i="1"/>
  <c r="E62" i="1"/>
  <c r="F62" i="1"/>
  <c r="G62" i="1"/>
  <c r="H62" i="1"/>
  <c r="I62" i="1"/>
  <c r="J62" i="1"/>
  <c r="K62" i="1"/>
  <c r="L62" i="1"/>
  <c r="M62" i="1"/>
  <c r="N62" i="1"/>
  <c r="O62" i="1"/>
  <c r="D62" i="1"/>
  <c r="E53" i="1"/>
  <c r="F53" i="1"/>
  <c r="G53" i="1"/>
  <c r="H53" i="1"/>
  <c r="I53" i="1"/>
  <c r="J53" i="1"/>
  <c r="K53" i="1"/>
  <c r="L53" i="1"/>
  <c r="M53" i="1"/>
  <c r="N53" i="1"/>
  <c r="O53" i="1"/>
  <c r="D53" i="1"/>
  <c r="P99" i="1"/>
  <c r="P100" i="1"/>
  <c r="P101" i="1"/>
  <c r="P102" i="1"/>
  <c r="P98" i="1"/>
  <c r="P91" i="1"/>
  <c r="P92" i="1"/>
  <c r="P93" i="1"/>
  <c r="P94" i="1"/>
  <c r="P90" i="1"/>
  <c r="P83" i="1"/>
  <c r="P84" i="1"/>
  <c r="P85" i="1"/>
  <c r="P86" i="1"/>
  <c r="P82" i="1"/>
  <c r="P73" i="1"/>
  <c r="P74" i="1"/>
  <c r="P75" i="1"/>
  <c r="P76" i="1"/>
  <c r="P77" i="1"/>
  <c r="P78" i="1"/>
  <c r="P72" i="1"/>
  <c r="P66" i="1"/>
  <c r="P67" i="1"/>
  <c r="P68" i="1"/>
  <c r="P65" i="1"/>
  <c r="P57" i="1"/>
  <c r="P58" i="1"/>
  <c r="P59" i="1"/>
  <c r="P60" i="1"/>
  <c r="P61" i="1"/>
  <c r="P56" i="1"/>
  <c r="P47" i="1"/>
  <c r="P48" i="1"/>
  <c r="P49" i="1"/>
  <c r="P50" i="1"/>
  <c r="P51" i="1"/>
  <c r="P52" i="1"/>
  <c r="P46" i="1"/>
  <c r="E43" i="1"/>
  <c r="F43" i="1"/>
  <c r="G43" i="1"/>
  <c r="H43" i="1"/>
  <c r="I43" i="1"/>
  <c r="J43" i="1"/>
  <c r="K43" i="1"/>
  <c r="L43" i="1"/>
  <c r="M43" i="1"/>
  <c r="N43" i="1"/>
  <c r="O43" i="1"/>
  <c r="D43" i="1"/>
  <c r="P40" i="1"/>
  <c r="P41" i="1"/>
  <c r="P42" i="1"/>
  <c r="P39" i="1"/>
  <c r="E36" i="1"/>
  <c r="F36" i="1"/>
  <c r="G36" i="1"/>
  <c r="H36" i="1"/>
  <c r="I36" i="1"/>
  <c r="J36" i="1"/>
  <c r="K36" i="1"/>
  <c r="L36" i="1"/>
  <c r="M36" i="1"/>
  <c r="N36" i="1"/>
  <c r="O36" i="1"/>
  <c r="D36" i="1"/>
  <c r="P31" i="1"/>
  <c r="P32" i="1"/>
  <c r="P33" i="1"/>
  <c r="P34" i="1"/>
  <c r="P35" i="1"/>
  <c r="P30" i="1"/>
  <c r="E27" i="1"/>
  <c r="F27" i="1"/>
  <c r="G27" i="1"/>
  <c r="H27" i="1"/>
  <c r="I27" i="1"/>
  <c r="J27" i="1"/>
  <c r="K27" i="1"/>
  <c r="L27" i="1"/>
  <c r="M27" i="1"/>
  <c r="N27" i="1"/>
  <c r="O27" i="1"/>
  <c r="D27" i="1"/>
  <c r="P22" i="1"/>
  <c r="P23" i="1"/>
  <c r="P24" i="1"/>
  <c r="P25" i="1"/>
  <c r="P26" i="1"/>
  <c r="P21" i="1"/>
  <c r="E18" i="1"/>
  <c r="F18" i="1"/>
  <c r="G18" i="1"/>
  <c r="H18" i="1"/>
  <c r="I18" i="1"/>
  <c r="J18" i="1"/>
  <c r="K18" i="1"/>
  <c r="L18" i="1"/>
  <c r="M18" i="1"/>
  <c r="N18" i="1"/>
  <c r="O18" i="1"/>
  <c r="D18" i="1"/>
  <c r="P43" i="1"/>
  <c r="P95" i="1"/>
  <c r="P87" i="1"/>
  <c r="P79" i="1"/>
  <c r="P69" i="1"/>
  <c r="P62" i="1"/>
  <c r="P53" i="1"/>
  <c r="L106" i="1"/>
  <c r="P36" i="1"/>
  <c r="P27" i="1"/>
  <c r="P18" i="1"/>
  <c r="K106" i="1"/>
  <c r="J106" i="1"/>
  <c r="I106" i="1"/>
  <c r="D106" i="1"/>
  <c r="H106" i="1"/>
  <c r="O106" i="1"/>
  <c r="N106" i="1"/>
  <c r="M106" i="1"/>
  <c r="E106" i="1"/>
  <c r="G106" i="1"/>
  <c r="F106" i="1"/>
  <c r="P103" i="1"/>
  <c r="O9" i="1"/>
  <c r="G9" i="1"/>
  <c r="L9" i="1"/>
  <c r="N9" i="1"/>
  <c r="F9" i="1"/>
  <c r="E9" i="1"/>
  <c r="I9" i="1"/>
  <c r="H9" i="1"/>
  <c r="D9" i="1"/>
  <c r="M9" i="1"/>
  <c r="K9" i="1"/>
  <c r="P8" i="1"/>
  <c r="P7" i="1"/>
  <c r="J9" i="1"/>
  <c r="P6" i="1"/>
  <c r="D107" i="1"/>
  <c r="L107" i="1"/>
  <c r="J107" i="1"/>
  <c r="I107" i="1"/>
  <c r="F107" i="1"/>
  <c r="N107" i="1"/>
  <c r="H107" i="1"/>
  <c r="K107" i="1"/>
  <c r="M107" i="1"/>
  <c r="G107" i="1"/>
  <c r="O107" i="1"/>
  <c r="E107" i="1"/>
  <c r="P9" i="1"/>
</calcChain>
</file>

<file path=xl/sharedStrings.xml><?xml version="1.0" encoding="utf-8"?>
<sst xmlns="http://schemas.openxmlformats.org/spreadsheetml/2006/main" count="325" uniqueCount="115">
  <si>
    <t>テンプレートについて</t>
  </si>
  <si>
    <t>このテンプレートを使用し、月間と年間の予算を管理します。</t>
  </si>
  <si>
    <t>各テーブルでスパークライン​​が自動的に更新されます。</t>
  </si>
  <si>
    <t>注: </t>
  </si>
  <si>
    <t>個人予算ワークシートの列 A に詳細な指示が記載されています。このテキストは意図的に表示されません。テキストを削除するには、列 A を選択し、[削除] を選択します。テキストを再表示するには、列 A を選択し、フォントの色を変更します。</t>
  </si>
  <si>
    <t>テーブルの詳細については、テーブル内で Shift キーを押し、F10 キーを押して、[テーブル] オプションを選択し、[代替テキスト] を選択します。</t>
  </si>
  <si>
    <t>このワークシートでは、単純な個人予算を作成します。このワークシートの使用方法に関する役立つ説明がこの列にある各セルに表示されます。下向き矢印で開始します。</t>
  </si>
  <si>
    <t>このワークシートのタイトルが右のセルに表示されます。セル Q2 に年を入力します。次の指示はセル A4 に表示されます。</t>
  </si>
  <si>
    <t>ラベルはセル C4 から P4 に表示されます。</t>
  </si>
  <si>
    <t>セル C5 から順に、詳細を収入のテーブルに入力します。次の指示はセル A11 に表示されます。</t>
  </si>
  <si>
    <t>ラベルはセル C11 から P11 までに表示されます。</t>
  </si>
  <si>
    <t>セル C12 から順に、自宅の経費をテーブルに入力します。次の指示はセル A20 に表示されます。</t>
  </si>
  <si>
    <t>セル C20 から順に、毎日の支出をテーブルに入力します。次の指示はセル A29 に表示されます。</t>
  </si>
  <si>
    <t>セル C29 から順に、交通費をテーブルに入力します。次の指示はセル A38 に表示されます。</t>
  </si>
  <si>
    <t>セル C38 から順に、娯楽費をテーブルに入力します。次の指示がセル A45 に表示されます。</t>
  </si>
  <si>
    <t>セル C12 から順に、医療費をテーブルに入力します。次の指示はセル A55 に表示されます。</t>
  </si>
  <si>
    <t>セル C55 から順に、休暇の支出をテーブルに入力します。次の指示はセル A64 に表示されます。</t>
  </si>
  <si>
    <t>セル C64 から順に、レクリエーションの支出をテーブルに入力します。次の指示はセル A71 に表示されます。</t>
  </si>
  <si>
    <t>セル C71 から順に、会費と購読料のテーブルに経費を入力します。次の指示はセル A81 に表示されます。</t>
  </si>
  <si>
    <t>セル C81 から順に、個人経費をテーブルに入力します。次の指示はセル A89 に表示されます。</t>
  </si>
  <si>
    <t>セル C89 から順に、金融債務をテーブルに入力します。次の指示はセル A97 に表示されます。</t>
  </si>
  <si>
    <t>セル C97 から順に、雑費を入力します。次の指示はセル A105 に表示されます。</t>
  </si>
  <si>
    <t>収益</t>
  </si>
  <si>
    <t>収入</t>
  </si>
  <si>
    <t>給料</t>
  </si>
  <si>
    <t>利息/配当金</t>
  </si>
  <si>
    <t>その他</t>
  </si>
  <si>
    <t>合計</t>
  </si>
  <si>
    <t>自宅</t>
  </si>
  <si>
    <t>住宅ローン</t>
  </si>
  <si>
    <t>保険</t>
  </si>
  <si>
    <t>修理費</t>
  </si>
  <si>
    <t>点検費</t>
  </si>
  <si>
    <t>水道光熱費</t>
  </si>
  <si>
    <t>生活費</t>
  </si>
  <si>
    <t xml:space="preserve">食料品 </t>
  </si>
  <si>
    <t>保育</t>
  </si>
  <si>
    <t>ドライ クリーニング</t>
  </si>
  <si>
    <t>外食</t>
  </si>
  <si>
    <t>ハウスクリーニング サービス</t>
  </si>
  <si>
    <t>犬の散歩代行</t>
  </si>
  <si>
    <t>交通費</t>
  </si>
  <si>
    <t>光熱費</t>
  </si>
  <si>
    <t>保険料</t>
  </si>
  <si>
    <t>修繕費</t>
  </si>
  <si>
    <t>洗車/整備サービス</t>
  </si>
  <si>
    <t>駐車場</t>
  </si>
  <si>
    <t>公共交通費</t>
  </si>
  <si>
    <t>娯楽</t>
  </si>
  <si>
    <t>ケーブル TV</t>
  </si>
  <si>
    <t>ビデオ/DVD レンタル</t>
  </si>
  <si>
    <t>映画/演劇</t>
  </si>
  <si>
    <t>コンサート/クラブ</t>
  </si>
  <si>
    <t>医療保険</t>
  </si>
  <si>
    <t>スポーツ クラブ会費</t>
  </si>
  <si>
    <t>処方薬</t>
  </si>
  <si>
    <t>市販薬</t>
  </si>
  <si>
    <t>患者負担金/自己負担費</t>
  </si>
  <si>
    <t>獣医/ペット医薬品</t>
  </si>
  <si>
    <t>生命保険</t>
  </si>
  <si>
    <t>休暇</t>
  </si>
  <si>
    <t>航空運賃</t>
  </si>
  <si>
    <t>宿泊費</t>
  </si>
  <si>
    <t>食費</t>
  </si>
  <si>
    <t>お土産</t>
  </si>
  <si>
    <t>ペット ホテル</t>
  </si>
  <si>
    <t>レンタカー</t>
  </si>
  <si>
    <t>レクリエーション</t>
  </si>
  <si>
    <t>ジム費</t>
  </si>
  <si>
    <t>スポーツ用品</t>
  </si>
  <si>
    <t>チーム会費</t>
  </si>
  <si>
    <t>玩具/子供用品</t>
  </si>
  <si>
    <t>会費/購読料</t>
  </si>
  <si>
    <t>雑誌</t>
  </si>
  <si>
    <t>新聞</t>
  </si>
  <si>
    <t>インターネット接続</t>
  </si>
  <si>
    <t>公共ラジオ</t>
  </si>
  <si>
    <t>公共テレビ</t>
  </si>
  <si>
    <t>宗教団体</t>
  </si>
  <si>
    <t>募金/寄付</t>
  </si>
  <si>
    <t>私用</t>
  </si>
  <si>
    <t>衣料品</t>
  </si>
  <si>
    <t>贈答品</t>
  </si>
  <si>
    <t>美容/理容費</t>
  </si>
  <si>
    <t>書籍</t>
  </si>
  <si>
    <t>音楽 (CD など)</t>
  </si>
  <si>
    <t>金融債務</t>
  </si>
  <si>
    <t>定期預金</t>
  </si>
  <si>
    <t>年金 (401k、ロスIRA)</t>
  </si>
  <si>
    <t>クレジット カード支払</t>
  </si>
  <si>
    <t>所得税 (追加)</t>
  </si>
  <si>
    <t>その他の債務</t>
  </si>
  <si>
    <t>雑支払</t>
  </si>
  <si>
    <t>支出合計</t>
  </si>
  <si>
    <t>現金の不足/余剰</t>
  </si>
  <si>
    <t>1 月</t>
  </si>
  <si>
    <t>2 月</t>
  </si>
  <si>
    <t>3 月</t>
  </si>
  <si>
    <t>4 月</t>
  </si>
  <si>
    <t>5 月</t>
  </si>
  <si>
    <t>6 月</t>
  </si>
  <si>
    <t>7 月</t>
  </si>
  <si>
    <t>8 月</t>
  </si>
  <si>
    <t>9 月</t>
  </si>
  <si>
    <t>10 月</t>
  </si>
  <si>
    <t>11 月</t>
  </si>
  <si>
    <t>12 月</t>
  </si>
  <si>
    <t>年</t>
  </si>
  <si>
    <t>年度</t>
  </si>
  <si>
    <t>スパークライン</t>
  </si>
  <si>
    <t>集計</t>
    <phoneticPr fontId="24"/>
  </si>
  <si>
    <t>支出</t>
    <phoneticPr fontId="24"/>
  </si>
  <si>
    <t>収益と支出をそれぞれのテーブルに入力し、毎月や毎年の現金の不足や余剰を計算します。</t>
    <phoneticPr fontId="24"/>
  </si>
  <si>
    <t>セル C105 から始まるテーブルで合計が自動計算されます。毎月と年間に対して、支出合計と現金の不足または余剰が計算され、スパークラインが更新されます。</t>
    <phoneticPr fontId="24"/>
  </si>
  <si>
    <t>個人予算</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</si>
</sst>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8" x14ac:knownFonts="1">
    <font>
      <sz val="10"/>
      <color theme="1" tint="0.14993743705557422"/>
      <name val="Meiryo UI"/>
      <family val="2"/>
    </font>
    <font>
      <b/>
      <sz val="10"/>
      <color theme="1" tint="0.14990691854609822"/>
      <name val="Gill Sans MT"/>
      <family val="2"/>
      <scheme val="maj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color theme="1" tint="0.14993743705557422"/>
      <name val="Meiryo UI"/>
      <family val="2"/>
    </font>
    <font>
      <i/>
      <sz val="11"/>
      <color rgb="FF7F7F7F"/>
      <name val="Meiryo UI"/>
      <family val="2"/>
    </font>
    <font>
      <sz val="11"/>
      <color rgb="FF006100"/>
      <name val="Meiryo UI"/>
      <family val="2"/>
    </font>
    <font>
      <sz val="22"/>
      <color theme="1" tint="0.14993743705557422"/>
      <name val="Meiryo UI"/>
      <family val="2"/>
    </font>
    <font>
      <sz val="11"/>
      <color theme="1" tint="0.14993743705557422"/>
      <name val="Meiryo UI"/>
      <family val="2"/>
    </font>
    <font>
      <b/>
      <sz val="10"/>
      <color theme="1" tint="0.1499069185460982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6"/>
      <color theme="0"/>
      <name val="Meiryo UI"/>
      <family val="2"/>
    </font>
    <font>
      <sz val="10"/>
      <color theme="1" tint="0.14993743705557422"/>
      <name val="Meiryo UI"/>
      <family val="3"/>
      <charset val="128"/>
    </font>
    <font>
      <sz val="11"/>
      <color theme="1" tint="0.14993743705557422"/>
      <name val="Meiryo UI"/>
      <family val="3"/>
      <charset val="128"/>
    </font>
    <font>
      <b/>
      <sz val="11"/>
      <color theme="1" tint="0.14993743705557422"/>
      <name val="Meiryo UI"/>
      <family val="3"/>
      <charset val="128"/>
    </font>
    <font>
      <sz val="6"/>
      <name val="ＭＳ Ｐゴシック"/>
      <family val="3"/>
      <charset val="128"/>
    </font>
    <font>
      <sz val="10"/>
      <color rgb="FFF7F7F7"/>
      <name val="Meiryo UI"/>
      <family val="3"/>
      <charset val="128"/>
    </font>
    <font>
      <sz val="11"/>
      <color rgb="FFF7F7F7"/>
      <name val="Meiryo UI"/>
      <family val="3"/>
      <charset val="128"/>
    </font>
    <font>
      <b/>
      <sz val="25"/>
      <color rgb="FF000000"/>
      <name val="Meiryo UI"/>
      <family val="3"/>
      <charset val="128"/>
    </font>
    <font>
      <sz val="10"/>
      <color theme="0"/>
      <name val="Meiryo UI"/>
      <family val="3"/>
      <charset val="128"/>
    </font>
    <font>
      <sz val="11"/>
      <color theme="1" tint="0.34998626667073579"/>
      <name val="Meiryo UI"/>
      <family val="3"/>
      <charset val="128"/>
    </font>
    <font>
      <b/>
      <sz val="10"/>
      <color theme="4"/>
      <name val="Meiryo UI"/>
      <family val="3"/>
      <charset val="128"/>
    </font>
    <font>
      <sz val="10"/>
      <color theme="4" tint="-0.499984740745262"/>
      <name val="Meiryo UI"/>
      <family val="3"/>
      <charset val="128"/>
    </font>
    <font>
      <b/>
      <sz val="10"/>
      <color theme="5"/>
      <name val="Meiryo UI"/>
      <family val="3"/>
      <charset val="128"/>
    </font>
    <font>
      <sz val="10"/>
      <color theme="5" tint="-0.499984740745262"/>
      <name val="Meiryo UI"/>
      <family val="3"/>
      <charset val="128"/>
    </font>
    <font>
      <sz val="10"/>
      <color theme="4" tint="0.79998168889431442"/>
      <name val="Meiryo UI"/>
      <family val="3"/>
      <charset val="128"/>
    </font>
    <font>
      <sz val="10"/>
      <color theme="5" tint="0.79998168889431442"/>
      <name val="Meiryo UI"/>
      <family val="3"/>
      <charset val="128"/>
    </font>
    <font>
      <b/>
      <sz val="10"/>
      <color theme="0"/>
      <name val="Meiryo UI"/>
      <family val="3"/>
      <charset val="128"/>
    </font>
    <font>
      <b/>
      <sz val="10"/>
      <color theme="1"/>
      <name val="Meiryo UI"/>
      <family val="3"/>
      <charset val="128"/>
    </font>
  </fonts>
  <fills count="47">
    <fill>
      <patternFill patternType="none"/>
    </fill>
    <fill>
      <patternFill patternType="gray125"/>
    </fill>
    <fill>
      <gradientFill degree="90">
        <stop position="0">
          <color theme="0"/>
        </stop>
        <stop position="1">
          <color theme="5" tint="0.80001220740379042"/>
        </stop>
      </gradientFill>
    </fill>
    <fill>
      <patternFill patternType="solid">
        <fgColor theme="4" tint="0.79998168889431442"/>
        <bgColor indexed="64"/>
      </patternFill>
    </fill>
    <fill>
      <patternFill patternType="solid">
        <fgColor theme="5"/>
        <bgColor indexed="64"/>
      </patternFill>
    </fill>
    <fill>
      <patternFill patternType="solid">
        <fgColor theme="4"/>
        <bgColor indexed="64"/>
      </patternFill>
    </fill>
    <fill>
      <patternFill patternType="solid">
        <fgColor theme="0"/>
        <bgColor auto="1"/>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rgb="FFF7F7F7"/>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24994659260841701"/>
      </bottom>
      <diagonal/>
    </border>
    <border>
      <left/>
      <right/>
      <top style="medium">
        <color theme="1"/>
      </top>
      <bottom/>
      <diagonal/>
    </border>
    <border>
      <left/>
      <right/>
      <top/>
      <bottom style="medium">
        <color theme="1"/>
      </bottom>
      <diagonal/>
    </border>
    <border>
      <left/>
      <right style="thick">
        <color theme="4"/>
      </right>
      <top/>
      <bottom/>
      <diagonal/>
    </border>
    <border>
      <left/>
      <right style="thick">
        <color theme="5"/>
      </right>
      <top/>
      <bottom/>
      <diagonal/>
    </border>
    <border>
      <left style="thick">
        <color theme="5"/>
      </left>
      <right/>
      <top/>
      <bottom/>
      <diagonal/>
    </border>
    <border>
      <left style="thick">
        <color theme="4"/>
      </left>
      <right/>
      <top/>
      <bottom/>
      <diagonal/>
    </border>
    <border>
      <left style="medium">
        <color theme="4"/>
      </left>
      <right/>
      <top/>
      <bottom style="thick">
        <color theme="0"/>
      </bottom>
      <diagonal/>
    </border>
    <border>
      <left/>
      <right/>
      <top/>
      <bottom style="thick">
        <color theme="0"/>
      </bottom>
      <diagonal/>
    </border>
    <border>
      <left/>
      <right style="medium">
        <color theme="4" tint="0.79998168889431442"/>
      </right>
      <top/>
      <bottom/>
      <diagonal/>
    </border>
    <border>
      <left/>
      <right style="medium">
        <color theme="5" tint="0.79998168889431442"/>
      </right>
      <top/>
      <bottom/>
      <diagonal/>
    </border>
    <border>
      <left style="thin">
        <color theme="5"/>
      </left>
      <right/>
      <top/>
      <bottom style="thick">
        <color theme="0"/>
      </bottom>
      <diagonal/>
    </border>
    <border>
      <left style="thick">
        <color theme="4"/>
      </left>
      <right/>
      <top/>
      <bottom style="thick">
        <color theme="0"/>
      </bottom>
      <diagonal/>
    </border>
    <border>
      <left style="thick">
        <color theme="5"/>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4" borderId="0">
      <alignment vertical="center"/>
    </xf>
    <xf numFmtId="0" fontId="10" fillId="0" borderId="0" applyNumberFormat="0" applyFill="0" applyProtection="0">
      <alignment vertical="center"/>
    </xf>
    <xf numFmtId="0" fontId="11" fillId="0" borderId="1" applyNumberFormat="0" applyFill="0" applyProtection="0">
      <alignment vertical="center"/>
    </xf>
    <xf numFmtId="0" fontId="12" fillId="6" borderId="0" applyNumberFormat="0" applyProtection="0">
      <alignment horizontal="left" vertical="center" indent="1"/>
    </xf>
    <xf numFmtId="0" fontId="1" fillId="2" borderId="0" applyNumberFormat="0" applyProtection="0">
      <alignment vertical="center"/>
    </xf>
    <xf numFmtId="177"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9" fillId="16" borderId="0" applyNumberFormat="0" applyBorder="0" applyAlignment="0" applyProtection="0"/>
    <xf numFmtId="0" fontId="4" fillId="17" borderId="0" applyNumberFormat="0" applyBorder="0" applyAlignment="0" applyProtection="0"/>
    <xf numFmtId="0" fontId="15" fillId="18" borderId="0" applyNumberFormat="0" applyBorder="0" applyAlignment="0" applyProtection="0"/>
    <xf numFmtId="0" fontId="13" fillId="19" borderId="15" applyNumberFormat="0" applyAlignment="0" applyProtection="0"/>
    <xf numFmtId="0" fontId="16" fillId="20" borderId="16" applyNumberFormat="0" applyAlignment="0" applyProtection="0"/>
    <xf numFmtId="0" fontId="5" fillId="20" borderId="15" applyNumberFormat="0" applyAlignment="0" applyProtection="0"/>
    <xf numFmtId="0" fontId="14" fillId="0" borderId="17" applyNumberFormat="0" applyFill="0" applyAlignment="0" applyProtection="0"/>
    <xf numFmtId="0" fontId="6" fillId="21" borderId="18" applyNumberFormat="0" applyAlignment="0" applyProtection="0"/>
    <xf numFmtId="0" fontId="19" fillId="0" borderId="0" applyNumberFormat="0" applyFill="0" applyBorder="0" applyAlignment="0" applyProtection="0"/>
    <xf numFmtId="0" fontId="7" fillId="22" borderId="19" applyNumberFormat="0" applyFont="0" applyAlignment="0" applyProtection="0"/>
    <xf numFmtId="0" fontId="8" fillId="0" borderId="0" applyNumberFormat="0" applyFill="0" applyBorder="0" applyAlignment="0" applyProtection="0"/>
    <xf numFmtId="0" fontId="18" fillId="0" borderId="20" applyNumberFormat="0" applyFill="0" applyAlignment="0" applyProtection="0"/>
    <xf numFmtId="0" fontId="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3"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cellStyleXfs>
  <cellXfs count="69">
    <xf numFmtId="0" fontId="0" fillId="14" borderId="0" xfId="0">
      <alignment vertical="center"/>
    </xf>
    <xf numFmtId="0" fontId="20" fillId="15" borderId="0" xfId="0" applyFont="1" applyFill="1" applyAlignment="1">
      <alignment horizontal="center" vertical="center"/>
    </xf>
    <xf numFmtId="0" fontId="21" fillId="14" borderId="0" xfId="0" applyFont="1">
      <alignment vertical="center"/>
    </xf>
    <xf numFmtId="0" fontId="22" fillId="14" borderId="0" xfId="0" applyFont="1" applyAlignment="1">
      <alignment vertical="center" wrapText="1"/>
    </xf>
    <xf numFmtId="0" fontId="23" fillId="14" borderId="0" xfId="0" applyFont="1" applyAlignment="1">
      <alignment vertical="center" wrapText="1"/>
    </xf>
    <xf numFmtId="0" fontId="25" fillId="14" borderId="0" xfId="0" applyFont="1" applyAlignment="1">
      <alignment wrapText="1"/>
    </xf>
    <xf numFmtId="0" fontId="21" fillId="14" borderId="0" xfId="0" applyFont="1" applyAlignment="1">
      <alignment horizontal="right" vertical="center"/>
    </xf>
    <xf numFmtId="0" fontId="26" fillId="14" borderId="0" xfId="0" applyFont="1" applyAlignment="1">
      <alignment vertical="center" wrapText="1"/>
    </xf>
    <xf numFmtId="0" fontId="28" fillId="14" borderId="3" xfId="0" applyFont="1" applyBorder="1">
      <alignment vertical="center"/>
    </xf>
    <xf numFmtId="0" fontId="21" fillId="14" borderId="2" xfId="0" applyFont="1" applyBorder="1" applyAlignment="1">
      <alignment horizontal="right" vertical="center"/>
    </xf>
    <xf numFmtId="0" fontId="21" fillId="5" borderId="0" xfId="0" applyFont="1" applyFill="1">
      <alignment vertical="center"/>
    </xf>
    <xf numFmtId="0" fontId="29" fillId="0" borderId="0" xfId="2" applyFont="1" applyBorder="1" applyAlignment="1">
      <alignment horizontal="left" vertical="center" indent="1"/>
    </xf>
    <xf numFmtId="0" fontId="29" fillId="0" borderId="0" xfId="2" applyFont="1" applyBorder="1" applyAlignment="1">
      <alignment horizontal="right" vertical="center"/>
    </xf>
    <xf numFmtId="0" fontId="30" fillId="0" borderId="0" xfId="3" applyFont="1" applyFill="1">
      <alignment horizontal="left" vertical="center" indent="1"/>
    </xf>
    <xf numFmtId="0" fontId="28" fillId="12" borderId="0" xfId="0" applyFont="1" applyFill="1">
      <alignment vertical="center"/>
    </xf>
    <xf numFmtId="0" fontId="31" fillId="0" borderId="0" xfId="0" applyFont="1" applyFill="1" applyAlignment="1">
      <alignment horizontal="left" vertical="center" indent="1"/>
    </xf>
    <xf numFmtId="7" fontId="31" fillId="0" borderId="0" xfId="0" applyNumberFormat="1" applyFont="1" applyFill="1" applyAlignment="1">
      <alignment horizontal="right" vertical="center"/>
    </xf>
    <xf numFmtId="7" fontId="31" fillId="7" borderId="0" xfId="0" applyNumberFormat="1" applyFont="1" applyFill="1" applyAlignment="1">
      <alignment horizontal="right" vertical="center"/>
    </xf>
    <xf numFmtId="0" fontId="31" fillId="7" borderId="8" xfId="0" applyFont="1" applyFill="1" applyBorder="1" applyAlignment="1">
      <alignment horizontal="left" vertical="center" indent="1"/>
    </xf>
    <xf numFmtId="7" fontId="31" fillId="7" borderId="9" xfId="0" applyNumberFormat="1" applyFont="1" applyFill="1" applyBorder="1" applyAlignment="1">
      <alignment horizontal="right" vertical="center"/>
    </xf>
    <xf numFmtId="0" fontId="31" fillId="7" borderId="9" xfId="0" applyFont="1" applyFill="1" applyBorder="1" applyAlignment="1">
      <alignment horizontal="right" vertical="center"/>
    </xf>
    <xf numFmtId="0" fontId="21" fillId="4" borderId="0" xfId="0" applyFont="1" applyFill="1">
      <alignment vertical="center"/>
    </xf>
    <xf numFmtId="0" fontId="32" fillId="0" borderId="0" xfId="3" applyFont="1" applyFill="1">
      <alignment horizontal="left" vertical="center" indent="1"/>
    </xf>
    <xf numFmtId="0" fontId="33" fillId="0" borderId="0" xfId="0" applyFont="1" applyFill="1" applyAlignment="1">
      <alignment horizontal="left" vertical="center" indent="1"/>
    </xf>
    <xf numFmtId="7" fontId="33" fillId="0" borderId="0" xfId="0" applyNumberFormat="1" applyFont="1" applyFill="1" applyAlignment="1">
      <alignment horizontal="right" vertical="center"/>
    </xf>
    <xf numFmtId="7" fontId="33" fillId="7" borderId="0" xfId="0" applyNumberFormat="1" applyFont="1" applyFill="1" applyAlignment="1">
      <alignment horizontal="right" vertical="center"/>
    </xf>
    <xf numFmtId="0" fontId="25" fillId="14" borderId="0" xfId="0" applyFont="1" applyAlignment="1">
      <alignment vertical="center" wrapText="1"/>
    </xf>
    <xf numFmtId="0" fontId="33" fillId="7" borderId="12" xfId="0" applyFont="1" applyFill="1" applyBorder="1" applyAlignment="1">
      <alignment horizontal="left" vertical="center" indent="1"/>
    </xf>
    <xf numFmtId="7" fontId="33" fillId="7" borderId="9" xfId="0" applyNumberFormat="1" applyFont="1" applyFill="1" applyBorder="1" applyAlignment="1">
      <alignment horizontal="right" vertical="center"/>
    </xf>
    <xf numFmtId="0" fontId="33" fillId="7" borderId="9" xfId="0" applyFont="1" applyFill="1" applyBorder="1" applyAlignment="1">
      <alignment horizontal="right" vertical="center"/>
    </xf>
    <xf numFmtId="0" fontId="21" fillId="14" borderId="4" xfId="0" applyFont="1" applyBorder="1">
      <alignment vertical="center"/>
    </xf>
    <xf numFmtId="0" fontId="30" fillId="12" borderId="0" xfId="0" applyFont="1" applyFill="1" applyAlignment="1">
      <alignment horizontal="left" vertical="center" indent="1"/>
    </xf>
    <xf numFmtId="0" fontId="34" fillId="3" borderId="0" xfId="0" applyFont="1" applyFill="1">
      <alignment vertical="center"/>
    </xf>
    <xf numFmtId="0" fontId="21" fillId="12" borderId="0" xfId="0" applyFont="1" applyFill="1" applyAlignment="1">
      <alignment horizontal="left" vertical="center" indent="1"/>
    </xf>
    <xf numFmtId="7" fontId="21" fillId="3" borderId="0" xfId="0" applyNumberFormat="1" applyFont="1" applyFill="1" applyAlignment="1">
      <alignment horizontal="right" vertical="center"/>
    </xf>
    <xf numFmtId="7" fontId="21" fillId="12" borderId="0" xfId="0" applyNumberFormat="1" applyFont="1" applyFill="1" applyAlignment="1">
      <alignment horizontal="right" vertical="center"/>
    </xf>
    <xf numFmtId="7" fontId="21" fillId="7" borderId="0" xfId="0" applyNumberFormat="1" applyFont="1" applyFill="1" applyAlignment="1">
      <alignment horizontal="right" vertical="center"/>
    </xf>
    <xf numFmtId="0" fontId="21" fillId="7" borderId="13" xfId="0" applyFont="1" applyFill="1" applyBorder="1" applyAlignment="1">
      <alignment horizontal="left" vertical="center" indent="1"/>
    </xf>
    <xf numFmtId="7" fontId="21" fillId="8" borderId="9" xfId="0" applyNumberFormat="1" applyFont="1" applyFill="1" applyBorder="1" applyAlignment="1">
      <alignment horizontal="right" vertical="center"/>
    </xf>
    <xf numFmtId="7" fontId="21" fillId="7" borderId="9" xfId="0" applyNumberFormat="1" applyFont="1" applyFill="1" applyBorder="1" applyAlignment="1">
      <alignment horizontal="right" vertical="center"/>
    </xf>
    <xf numFmtId="0" fontId="21" fillId="7" borderId="9" xfId="0" applyFont="1" applyFill="1" applyBorder="1" applyAlignment="1">
      <alignment horizontal="right" vertical="center"/>
    </xf>
    <xf numFmtId="0" fontId="30" fillId="0" borderId="0" xfId="0" applyFont="1" applyFill="1" applyAlignment="1">
      <alignment horizontal="left" vertical="center" indent="1"/>
    </xf>
    <xf numFmtId="0" fontId="34" fillId="3" borderId="10" xfId="0" applyFont="1" applyFill="1" applyBorder="1" applyAlignment="1">
      <alignment horizontal="right" vertical="center"/>
    </xf>
    <xf numFmtId="0" fontId="21" fillId="0" borderId="0" xfId="0" applyFont="1" applyFill="1" applyAlignment="1">
      <alignment horizontal="left" vertical="center" indent="1"/>
    </xf>
    <xf numFmtId="7" fontId="21" fillId="0" borderId="0" xfId="0" applyNumberFormat="1" applyFont="1" applyFill="1" applyAlignment="1">
      <alignment horizontal="right" vertical="center"/>
    </xf>
    <xf numFmtId="0" fontId="21" fillId="14" borderId="5" xfId="0" applyFont="1" applyBorder="1">
      <alignment vertical="center"/>
    </xf>
    <xf numFmtId="0" fontId="32" fillId="0" borderId="0" xfId="0" applyFont="1" applyFill="1" applyAlignment="1">
      <alignment horizontal="left" vertical="center" indent="1"/>
    </xf>
    <xf numFmtId="0" fontId="35" fillId="9" borderId="11" xfId="0" applyFont="1" applyFill="1" applyBorder="1" applyAlignment="1">
      <alignment horizontal="right" vertical="center"/>
    </xf>
    <xf numFmtId="7" fontId="21" fillId="9" borderId="0" xfId="0" applyNumberFormat="1" applyFont="1" applyFill="1" applyAlignment="1">
      <alignment horizontal="right" vertical="center"/>
    </xf>
    <xf numFmtId="0" fontId="21" fillId="7" borderId="14" xfId="0" applyFont="1" applyFill="1" applyBorder="1" applyAlignment="1">
      <alignment horizontal="left" vertical="center" indent="1"/>
    </xf>
    <xf numFmtId="7" fontId="21" fillId="13" borderId="9" xfId="0" applyNumberFormat="1" applyFont="1" applyFill="1" applyBorder="1" applyAlignment="1">
      <alignment horizontal="right" vertical="center"/>
    </xf>
    <xf numFmtId="0" fontId="21" fillId="0" borderId="6" xfId="0" applyFont="1" applyFill="1" applyBorder="1" applyAlignment="1">
      <alignment horizontal="left" vertical="center" indent="1"/>
    </xf>
    <xf numFmtId="0" fontId="34" fillId="3" borderId="10" xfId="0" applyFont="1" applyFill="1" applyBorder="1">
      <alignment vertical="center"/>
    </xf>
    <xf numFmtId="0" fontId="21" fillId="0" borderId="7" xfId="0" applyFont="1" applyFill="1" applyBorder="1" applyAlignment="1">
      <alignment horizontal="left" vertical="center" indent="1"/>
    </xf>
    <xf numFmtId="0" fontId="34" fillId="3" borderId="0" xfId="0" applyFont="1" applyFill="1" applyAlignment="1">
      <alignment horizontal="right" vertical="center"/>
    </xf>
    <xf numFmtId="0" fontId="28" fillId="0" borderId="0" xfId="0" applyFont="1" applyFill="1" applyAlignment="1">
      <alignment horizontal="right" vertical="center"/>
    </xf>
    <xf numFmtId="0" fontId="35" fillId="9" borderId="0" xfId="0" applyFont="1" applyFill="1" applyAlignment="1">
      <alignment horizontal="right" vertical="center"/>
    </xf>
    <xf numFmtId="0" fontId="36" fillId="10" borderId="0" xfId="3" applyFont="1" applyFill="1">
      <alignment horizontal="left" vertical="center" indent="1"/>
    </xf>
    <xf numFmtId="0" fontId="36" fillId="11" borderId="0" xfId="3" applyFont="1" applyFill="1" applyAlignment="1">
      <alignment horizontal="right" vertical="center"/>
    </xf>
    <xf numFmtId="0" fontId="36" fillId="10" borderId="0" xfId="3" applyFont="1" applyFill="1" applyAlignment="1">
      <alignment horizontal="right" vertical="center"/>
    </xf>
    <xf numFmtId="0" fontId="37" fillId="10" borderId="0" xfId="3" applyFont="1" applyFill="1">
      <alignment horizontal="left" vertical="center" indent="1"/>
    </xf>
    <xf numFmtId="0" fontId="28" fillId="10" borderId="0" xfId="0" applyFont="1" applyFill="1" applyAlignment="1">
      <alignment horizontal="left" vertical="center" indent="1"/>
    </xf>
    <xf numFmtId="7" fontId="28" fillId="11" borderId="0" xfId="0" applyNumberFormat="1" applyFont="1" applyFill="1" applyAlignment="1">
      <alignment horizontal="right" vertical="center"/>
    </xf>
    <xf numFmtId="7" fontId="28" fillId="10" borderId="0" xfId="0" applyNumberFormat="1" applyFont="1" applyFill="1" applyAlignment="1">
      <alignment horizontal="right" vertical="center"/>
    </xf>
    <xf numFmtId="0" fontId="28" fillId="10" borderId="0" xfId="0" applyFont="1" applyFill="1">
      <alignment vertical="center"/>
    </xf>
    <xf numFmtId="0" fontId="28" fillId="11" borderId="0" xfId="0" applyFont="1" applyFill="1">
      <alignment vertical="center"/>
    </xf>
    <xf numFmtId="0" fontId="27" fillId="14" borderId="0" xfId="0" applyFont="1" applyAlignment="1"/>
    <xf numFmtId="0" fontId="21" fillId="14" borderId="3" xfId="0" applyFont="1" applyBorder="1" applyAlignment="1">
      <alignment horizontal="center" vertical="center"/>
    </xf>
    <xf numFmtId="0" fontId="21" fillId="14" borderId="0" xfId="0" applyFont="1">
      <alignment vertical="center"/>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hidden="1"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441">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fill>
        <patternFill patternType="solid">
          <fgColor indexed="64"/>
          <bgColor theme="1"/>
        </patternFill>
      </fill>
      <alignment horizontal="left" vertical="center" textRotation="0" wrapText="0" relativeIndent="1" justifyLastLine="0" shrinkToFit="0" readingOrder="0"/>
    </dxf>
    <dxf>
      <font>
        <strike val="0"/>
        <outline val="0"/>
        <shadow val="0"/>
        <u val="none"/>
        <vertAlign val="baseline"/>
        <sz val="10"/>
        <color theme="0"/>
        <name val="Meiryo UI"/>
        <family val="3"/>
        <charset val="128"/>
        <scheme val="none"/>
      </font>
      <fill>
        <patternFill patternType="solid">
          <fgColor indexed="64"/>
          <bgColor theme="1"/>
        </patternFill>
      </fill>
    </dxf>
    <dxf>
      <font>
        <strike val="0"/>
        <outline val="0"/>
        <shadow val="0"/>
        <u val="none"/>
        <vertAlign val="baseline"/>
        <sz val="10"/>
        <color theme="0"/>
        <name val="Meiryo UI"/>
        <family val="3"/>
        <charset val="128"/>
        <scheme val="none"/>
      </font>
      <fill>
        <patternFill patternType="solid">
          <fgColor indexed="64"/>
          <bgColor theme="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fgColor indexed="64"/>
          <bgColor theme="0"/>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5" tint="-0.49998474074526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sz val="10"/>
        <color theme="5" tint="-0.499984740745262"/>
        <name val="Meiryo UI"/>
        <family val="3"/>
        <charset val="128"/>
        <scheme val="none"/>
      </font>
      <fill>
        <patternFill patternType="none">
          <bgColor auto="1"/>
        </patternFill>
      </fill>
    </dxf>
    <dxf>
      <font>
        <strike val="0"/>
        <outline val="0"/>
        <shadow val="0"/>
        <u val="none"/>
        <vertAlign val="baseline"/>
        <sz val="10"/>
        <color theme="5" tint="-0.499984740745262"/>
        <name val="Meiryo UI"/>
        <family val="3"/>
        <charset val="128"/>
        <scheme val="none"/>
      </font>
      <fill>
        <patternFill patternType="none">
          <bgColor auto="1"/>
        </patternFill>
      </fill>
    </dxf>
    <dxf>
      <font>
        <strike val="0"/>
        <outline val="0"/>
        <shadow val="0"/>
        <u val="none"/>
        <vertAlign val="baseline"/>
        <sz val="10"/>
        <color theme="5" tint="-0.499984740745262"/>
        <name val="Meiryo UI"/>
        <family val="3"/>
        <charset val="128"/>
        <scheme val="none"/>
      </font>
      <fill>
        <patternFill patternType="none">
          <bgColor auto="1"/>
        </patternFill>
      </fill>
    </dxf>
    <dxf>
      <font>
        <b val="0"/>
        <i val="0"/>
        <strike val="0"/>
        <condense val="0"/>
        <extend val="0"/>
        <outline val="0"/>
        <shadow val="0"/>
        <u val="none"/>
        <vertAlign val="baseline"/>
        <sz val="10"/>
        <color theme="4" tint="-0.49998474074526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medium">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sz val="10"/>
        <color theme="4" tint="-0.499984740745262"/>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color rgb="FF9C0006"/>
      </font>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s>
  <tableStyles count="3" defaultTableStyle="個人予算表 - 支出" defaultPivotStyle="PivotStyleLight16">
    <tableStyle name="個人予算表 - 合計" pivot="0" count="9" xr9:uid="{00000000-0011-0000-FFFF-FFFF02000000}">
      <tableStyleElement type="wholeTable" dxfId="440"/>
      <tableStyleElement type="headerRow" dxfId="439"/>
      <tableStyleElement type="totalRow" dxfId="438"/>
      <tableStyleElement type="firstColumn" dxfId="437"/>
      <tableStyleElement type="lastColumn" dxfId="436"/>
      <tableStyleElement type="firstRowStripe" dxfId="435"/>
      <tableStyleElement type="firstColumnStripe" dxfId="434"/>
      <tableStyleElement type="firstTotalCell" dxfId="433"/>
      <tableStyleElement type="lastTotalCell" dxfId="432"/>
    </tableStyle>
    <tableStyle name="個人予算表 - 支出" pivot="0" count="9" xr9:uid="{00000000-0011-0000-FFFF-FFFF01000000}">
      <tableStyleElement type="wholeTable" dxfId="431"/>
      <tableStyleElement type="headerRow" dxfId="430"/>
      <tableStyleElement type="totalRow" dxfId="429"/>
      <tableStyleElement type="firstColumn" dxfId="428"/>
      <tableStyleElement type="lastColumn" dxfId="427"/>
      <tableStyleElement type="firstRowStripe" dxfId="426"/>
      <tableStyleElement type="firstColumnStripe" dxfId="425"/>
      <tableStyleElement type="firstTotalCell" dxfId="424"/>
      <tableStyleElement type="lastTotalCell" dxfId="423"/>
    </tableStyle>
    <tableStyle name="個人予算表 - 収益" pivot="0" count="9" xr9:uid="{00000000-0011-0000-FFFF-FFFF00000000}">
      <tableStyleElement type="wholeTable" dxfId="422"/>
      <tableStyleElement type="headerRow" dxfId="421"/>
      <tableStyleElement type="totalRow" dxfId="420"/>
      <tableStyleElement type="firstColumn" dxfId="419"/>
      <tableStyleElement type="lastColumn" dxfId="418"/>
      <tableStyleElement type="firstRowStripe" dxfId="417"/>
      <tableStyleElement type="firstColumnStripe" dxfId="416"/>
      <tableStyleElement type="firstTotalCell" dxfId="415"/>
      <tableStyleElement type="lastTotalCell" dxfId="414"/>
    </tableStyle>
  </tableStyles>
  <colors>
    <mruColors>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editAs="oneCell">
    <xdr:from>
      <xdr:col>16</xdr:col>
      <xdr:colOff>29765</xdr:colOff>
      <xdr:row>1</xdr:row>
      <xdr:rowOff>188141</xdr:rowOff>
    </xdr:from>
    <xdr:to>
      <xdr:col>17</xdr:col>
      <xdr:colOff>19843</xdr:colOff>
      <xdr:row>2</xdr:row>
      <xdr:rowOff>9526</xdr:rowOff>
    </xdr:to>
    <xdr:sp macro="" textlink="$Q$2">
      <xdr:nvSpPr>
        <xdr:cNvPr id="3" name="長方形 2" descr="年">
          <a:extLst>
            <a:ext uri="{FF2B5EF4-FFF2-40B4-BE49-F238E27FC236}">
              <a16:creationId xmlns:a16="http://schemas.microsoft.com/office/drawing/2014/main" id="{38DB6D2F-4C80-408C-A4C7-B9C2F6BEA823}"/>
            </a:ext>
          </a:extLst>
        </xdr:cNvPr>
        <xdr:cNvSpPr/>
      </xdr:nvSpPr>
      <xdr:spPr>
        <a:xfrm flipH="1">
          <a:off x="15111015" y="346891"/>
          <a:ext cx="932656" cy="26786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5844B8A-4141-4FF4-9316-6625FB86BF57}" type="TxLink">
            <a:rPr lang="en-US" sz="1000" b="1" i="0" u="none" strike="noStrike">
              <a:solidFill>
                <a:schemeClr val="bg1"/>
              </a:solidFill>
              <a:latin typeface="Meiryo UI" panose="020B0604030504040204" pitchFamily="34" charset="-128"/>
              <a:ea typeface="Meiryo UI" panose="020B0604030504040204" pitchFamily="34" charset="-128"/>
              <a:cs typeface="verdana"/>
            </a:rPr>
            <a:pPr algn="ctr" rtl="0"/>
            <a:t>2019</a:t>
          </a:fld>
          <a:endParaRPr lang="en-US" sz="1200" b="1">
            <a:solidFill>
              <a:schemeClr val="bg1"/>
            </a:solidFill>
            <a:latin typeface="Meiryo UI" panose="020B0604030504040204" pitchFamily="34" charset="-128"/>
            <a:ea typeface="Meiryo UI" panose="020B0604030504040204" pitchFamily="34" charset="-128"/>
          </a:endParaRPr>
        </a:p>
      </xdr:txBody>
    </xdr: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個人" displayName="個人" ref="C81:Q87" totalsRowCount="1" headerRowDxfId="115" dataDxfId="114" totalsRowDxfId="113">
  <autoFilter ref="C81:Q86"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900-000001000000}" name="私用" totalsRowLabel="集計" dataDxfId="112" totalsRowDxfId="111"/>
    <tableColumn id="2" xr3:uid="{00000000-0010-0000-0900-000002000000}" name="1 月" totalsRowFunction="sum" dataDxfId="110" totalsRowDxfId="109"/>
    <tableColumn id="3" xr3:uid="{00000000-0010-0000-0900-000003000000}" name="2 月" totalsRowFunction="sum" dataDxfId="108" totalsRowDxfId="107"/>
    <tableColumn id="4" xr3:uid="{00000000-0010-0000-0900-000004000000}" name="3 月" totalsRowFunction="sum" dataDxfId="106" totalsRowDxfId="105"/>
    <tableColumn id="5" xr3:uid="{00000000-0010-0000-0900-000005000000}" name="4 月" totalsRowFunction="sum" dataDxfId="104" totalsRowDxfId="103"/>
    <tableColumn id="6" xr3:uid="{00000000-0010-0000-0900-000006000000}" name="5 月" totalsRowFunction="sum" dataDxfId="102" totalsRowDxfId="101"/>
    <tableColumn id="7" xr3:uid="{00000000-0010-0000-0900-000007000000}" name="6 月" totalsRowFunction="sum" dataDxfId="100" totalsRowDxfId="99"/>
    <tableColumn id="8" xr3:uid="{00000000-0010-0000-0900-000008000000}" name="7 月" totalsRowFunction="sum" dataDxfId="98" totalsRowDxfId="97"/>
    <tableColumn id="9" xr3:uid="{00000000-0010-0000-0900-000009000000}" name="8 月" totalsRowFunction="sum" dataDxfId="96" totalsRowDxfId="95"/>
    <tableColumn id="10" xr3:uid="{00000000-0010-0000-0900-00000A000000}" name="9 月" totalsRowFunction="sum" dataDxfId="94" totalsRowDxfId="93"/>
    <tableColumn id="11" xr3:uid="{00000000-0010-0000-0900-00000B000000}" name="10 月" totalsRowFunction="sum" dataDxfId="92" totalsRowDxfId="91"/>
    <tableColumn id="12" xr3:uid="{00000000-0010-0000-0900-00000C000000}" name="11 月" totalsRowFunction="sum" dataDxfId="90" totalsRowDxfId="89"/>
    <tableColumn id="13" xr3:uid="{00000000-0010-0000-0900-00000D000000}" name="12 月" totalsRowFunction="sum" dataDxfId="88" totalsRowDxfId="87"/>
    <tableColumn id="14" xr3:uid="{00000000-0010-0000-0900-00000E000000}" name="年度" totalsRowFunction="sum" dataDxfId="86" totalsRowDxfId="85">
      <calculatedColumnFormula>SUM(個人[[#This Row],[1 月]:[12 月]])</calculatedColumnFormula>
    </tableColumn>
    <tableColumn id="15" xr3:uid="{00000000-0010-0000-0900-00000F000000}" name="スパークライン" dataDxfId="84" totalsRowDxfId="83"/>
  </tableColumns>
  <tableStyleInfo showFirstColumn="1" showLastColumn="0" showRowStripes="0" showColumnStripes="1"/>
  <extLst>
    <ext xmlns:x14="http://schemas.microsoft.com/office/spreadsheetml/2009/9/main" uri="{504A1905-F514-4f6f-8877-14C23A59335A}">
      <x14:table altTextSummary="このテーブルに個人経費項目と毎月の金額を入力します。年額と毎月の合計は自動的に計算され、スパークラインが更新されます"/>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金融​​" displayName="金融​​" ref="C89:Q95" totalsRowCount="1" headerRowDxfId="82" dataDxfId="81" totalsRowDxfId="80">
  <autoFilter ref="C89:Q9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A00-000001000000}" name="金融債務" totalsRowLabel="集計" dataDxfId="79" totalsRowDxfId="78"/>
    <tableColumn id="2" xr3:uid="{00000000-0010-0000-0A00-000002000000}" name="1 月" totalsRowFunction="sum" dataDxfId="77" totalsRowDxfId="76"/>
    <tableColumn id="3" xr3:uid="{00000000-0010-0000-0A00-000003000000}" name="2 月" totalsRowFunction="sum" dataDxfId="75" totalsRowDxfId="74"/>
    <tableColumn id="4" xr3:uid="{00000000-0010-0000-0A00-000004000000}" name="3 月" totalsRowFunction="sum" dataDxfId="73" totalsRowDxfId="72"/>
    <tableColumn id="5" xr3:uid="{00000000-0010-0000-0A00-000005000000}" name="4 月" totalsRowFunction="sum" dataDxfId="71" totalsRowDxfId="70"/>
    <tableColumn id="6" xr3:uid="{00000000-0010-0000-0A00-000006000000}" name="5 月" totalsRowFunction="sum" dataDxfId="69" totalsRowDxfId="68"/>
    <tableColumn id="7" xr3:uid="{00000000-0010-0000-0A00-000007000000}" name="6 月" totalsRowFunction="sum" dataDxfId="67" totalsRowDxfId="66"/>
    <tableColumn id="8" xr3:uid="{00000000-0010-0000-0A00-000008000000}" name="7 月" totalsRowFunction="sum" dataDxfId="65" totalsRowDxfId="64"/>
    <tableColumn id="9" xr3:uid="{00000000-0010-0000-0A00-000009000000}" name="8 月" totalsRowFunction="sum" dataDxfId="63" totalsRowDxfId="62"/>
    <tableColumn id="10" xr3:uid="{00000000-0010-0000-0A00-00000A000000}" name="9 月" totalsRowFunction="sum" dataDxfId="61" totalsRowDxfId="60"/>
    <tableColumn id="11" xr3:uid="{00000000-0010-0000-0A00-00000B000000}" name="10 月" totalsRowFunction="sum" dataDxfId="59" totalsRowDxfId="58"/>
    <tableColumn id="12" xr3:uid="{00000000-0010-0000-0A00-00000C000000}" name="11 月" totalsRowFunction="sum" dataDxfId="57" totalsRowDxfId="56"/>
    <tableColumn id="13" xr3:uid="{00000000-0010-0000-0A00-00000D000000}" name="12 月" totalsRowFunction="sum" dataDxfId="55" totalsRowDxfId="54"/>
    <tableColumn id="14" xr3:uid="{00000000-0010-0000-0A00-00000E000000}" name="年度" totalsRowFunction="sum" dataDxfId="53" totalsRowDxfId="52">
      <calculatedColumnFormula>SUM(金融​​[[#This Row],[1 月]:[12 月]])</calculatedColumnFormula>
    </tableColumn>
    <tableColumn id="15" xr3:uid="{00000000-0010-0000-0A00-00000F000000}" name="スパークライン" dataDxfId="51" totalsRowDxfId="50"/>
  </tableColumns>
  <tableStyleInfo showFirstColumn="1" showLastColumn="0" showRowStripes="0" showColumnStripes="1"/>
  <extLst>
    <ext xmlns:x14="http://schemas.microsoft.com/office/spreadsheetml/2009/9/main" uri="{504A1905-F514-4f6f-8877-14C23A59335A}">
      <x14:table altTextSummary="このテーブルに金融債務項目と毎月の金額を入力します。年額と毎月の合計は自動的に計算され、スパークラインが更新されます"/>
    </ext>
  </extLst>
</table>
</file>

<file path=xl/tables/table1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雑費" displayName="雑費" ref="C97:Q103" totalsRowCount="1" headerRowDxfId="49" dataDxfId="48" totalsRowDxfId="47">
  <autoFilter ref="C97:Q10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B00-000001000000}" name="雑支払" totalsRowLabel="集計" dataDxfId="46" totalsRowDxfId="45"/>
    <tableColumn id="2" xr3:uid="{00000000-0010-0000-0B00-000002000000}" name="1 月" totalsRowFunction="sum" dataDxfId="44" totalsRowDxfId="43"/>
    <tableColumn id="3" xr3:uid="{00000000-0010-0000-0B00-000003000000}" name="2 月" totalsRowFunction="sum" dataDxfId="42" totalsRowDxfId="41"/>
    <tableColumn id="4" xr3:uid="{00000000-0010-0000-0B00-000004000000}" name="3 月" totalsRowFunction="sum" dataDxfId="40" totalsRowDxfId="39"/>
    <tableColumn id="5" xr3:uid="{00000000-0010-0000-0B00-000005000000}" name="4 月" totalsRowFunction="sum" dataDxfId="38" totalsRowDxfId="37"/>
    <tableColumn id="6" xr3:uid="{00000000-0010-0000-0B00-000006000000}" name="5 月" totalsRowFunction="sum" dataDxfId="36" totalsRowDxfId="35"/>
    <tableColumn id="7" xr3:uid="{00000000-0010-0000-0B00-000007000000}" name="6 月" totalsRowFunction="sum" dataDxfId="34" totalsRowDxfId="33"/>
    <tableColumn id="8" xr3:uid="{00000000-0010-0000-0B00-000008000000}" name="7 月" totalsRowFunction="sum" dataDxfId="32" totalsRowDxfId="31"/>
    <tableColumn id="9" xr3:uid="{00000000-0010-0000-0B00-000009000000}" name="8 月" totalsRowFunction="sum" dataDxfId="30" totalsRowDxfId="29"/>
    <tableColumn id="10" xr3:uid="{00000000-0010-0000-0B00-00000A000000}" name="9 月" totalsRowFunction="sum" dataDxfId="28" totalsRowDxfId="27"/>
    <tableColumn id="11" xr3:uid="{00000000-0010-0000-0B00-00000B000000}" name="10 月" totalsRowFunction="sum" dataDxfId="26" totalsRowDxfId="25"/>
    <tableColumn id="12" xr3:uid="{00000000-0010-0000-0B00-00000C000000}" name="11 月" totalsRowFunction="sum" dataDxfId="24" totalsRowDxfId="23"/>
    <tableColumn id="13" xr3:uid="{00000000-0010-0000-0B00-00000D000000}" name="12 月" totalsRowFunction="sum" dataDxfId="22" totalsRowDxfId="21"/>
    <tableColumn id="14" xr3:uid="{00000000-0010-0000-0B00-00000E000000}" name="年" totalsRowFunction="sum" dataDxfId="20" totalsRowDxfId="19">
      <calculatedColumnFormula>SUM(雑費[[#This Row],[1 月]:[12 月]])</calculatedColumnFormula>
    </tableColumn>
    <tableColumn id="15" xr3:uid="{00000000-0010-0000-0B00-00000F000000}" name="スパークライン" dataDxfId="18" totalsRowDxfId="17"/>
  </tableColumns>
  <tableStyleInfo showFirstColumn="1" showLastColumn="0" showRowStripes="0" showColumnStripes="1"/>
  <extLst>
    <ext xmlns:x14="http://schemas.microsoft.com/office/spreadsheetml/2009/9/main" uri="{504A1905-F514-4f6f-8877-14C23A59335A}">
      <x14:table altTextSummary="このテーブルに雑費項目と支払を入力します。年額と毎月の合計は自動的に計算され、スパークラインが更新されます"/>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収入" displayName="収入" ref="C5:Q9" totalsRowCount="1" headerRowDxfId="412" dataDxfId="411" totalsRowDxfId="410">
  <autoFilter ref="C5:Q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収入" totalsRowLabel="集計" dataDxfId="409" totalsRowDxfId="408"/>
    <tableColumn id="2" xr3:uid="{00000000-0010-0000-0000-000002000000}" name="1 月" totalsRowFunction="sum" dataDxfId="407" totalsRowDxfId="406"/>
    <tableColumn id="3" xr3:uid="{00000000-0010-0000-0000-000003000000}" name="2 月" totalsRowFunction="sum" dataDxfId="405" totalsRowDxfId="404"/>
    <tableColumn id="4" xr3:uid="{00000000-0010-0000-0000-000004000000}" name="3 月" totalsRowFunction="sum" dataDxfId="403" totalsRowDxfId="402"/>
    <tableColumn id="5" xr3:uid="{00000000-0010-0000-0000-000005000000}" name="4 月" totalsRowFunction="sum" dataDxfId="401" totalsRowDxfId="400"/>
    <tableColumn id="6" xr3:uid="{00000000-0010-0000-0000-000006000000}" name="5 月" totalsRowFunction="sum" dataDxfId="399" totalsRowDxfId="398"/>
    <tableColumn id="7" xr3:uid="{00000000-0010-0000-0000-000007000000}" name="6 月" totalsRowFunction="sum" dataDxfId="397" totalsRowDxfId="396"/>
    <tableColumn id="8" xr3:uid="{00000000-0010-0000-0000-000008000000}" name="7 月" totalsRowFunction="sum" dataDxfId="395" totalsRowDxfId="394"/>
    <tableColumn id="9" xr3:uid="{00000000-0010-0000-0000-000009000000}" name="8 月" totalsRowFunction="sum" dataDxfId="393" totalsRowDxfId="392"/>
    <tableColumn id="10" xr3:uid="{00000000-0010-0000-0000-00000A000000}" name="9 月" totalsRowFunction="sum" dataDxfId="391" totalsRowDxfId="390"/>
    <tableColumn id="11" xr3:uid="{00000000-0010-0000-0000-00000B000000}" name="10 月" totalsRowFunction="sum" dataDxfId="389" totalsRowDxfId="388"/>
    <tableColumn id="12" xr3:uid="{00000000-0010-0000-0000-00000C000000}" name="11 月" totalsRowFunction="sum" dataDxfId="387" totalsRowDxfId="386"/>
    <tableColumn id="13" xr3:uid="{00000000-0010-0000-0000-00000D000000}" name="12 月" totalsRowFunction="sum" dataDxfId="385" totalsRowDxfId="384"/>
    <tableColumn id="14" xr3:uid="{00000000-0010-0000-0000-00000E000000}" name="年" totalsRowFunction="sum" dataDxfId="383" totalsRowDxfId="382">
      <calculatedColumnFormula>SUM(収入[[#This Row],[1 月]:[12 月]])</calculatedColumnFormula>
    </tableColumn>
    <tableColumn id="15" xr3:uid="{00000000-0010-0000-0000-00000F000000}" name="スパークライン" dataDxfId="381" totalsRowDxfId="380"/>
  </tableColumns>
  <tableStyleInfo showFirstColumn="1" showLastColumn="0" showRowStripes="0" showColumnStripes="1"/>
  <extLst>
    <ext xmlns:x14="http://schemas.microsoft.com/office/spreadsheetml/2009/9/main" uri="{504A1905-F514-4f6f-8877-14C23A59335A}">
      <x14:table altTextSummary="このテーブルに収入項目と毎月の金額を入力します。年額と毎月の合計は自動的に計算され、スパークラインが更新されます"/>
    </ext>
  </extLst>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合計" displayName="合計" ref="C105:Q107" totalsRowShown="0" headerRowDxfId="16" dataDxfId="15">
  <tableColumns count="15">
    <tableColumn id="1" xr3:uid="{00000000-0010-0000-0C00-000001000000}" name="合計" dataDxfId="14"/>
    <tableColumn id="2" xr3:uid="{00000000-0010-0000-0C00-000002000000}" name="1 月" dataDxfId="13">
      <calculatedColumnFormula>収入[[#Totals],[1 月]]-D105</calculatedColumnFormula>
    </tableColumn>
    <tableColumn id="3" xr3:uid="{00000000-0010-0000-0C00-000003000000}" name="2 月" dataDxfId="12">
      <calculatedColumnFormula>収入[[#Totals],[2 月]]-E105</calculatedColumnFormula>
    </tableColumn>
    <tableColumn id="4" xr3:uid="{00000000-0010-0000-0C00-000004000000}" name="3 月" dataDxfId="11">
      <calculatedColumnFormula>収入[[#Totals],[3 月]]-F105</calculatedColumnFormula>
    </tableColumn>
    <tableColumn id="5" xr3:uid="{00000000-0010-0000-0C00-000005000000}" name="4 月" dataDxfId="10">
      <calculatedColumnFormula>収入[[#Totals],[4 月]]-G105</calculatedColumnFormula>
    </tableColumn>
    <tableColumn id="6" xr3:uid="{00000000-0010-0000-0C00-000006000000}" name="5 月" dataDxfId="9">
      <calculatedColumnFormula>収入[[#Totals],[5 月]]-H105</calculatedColumnFormula>
    </tableColumn>
    <tableColumn id="7" xr3:uid="{00000000-0010-0000-0C00-000007000000}" name="6 月" dataDxfId="8">
      <calculatedColumnFormula>収入[[#Totals],[6 月]]-I105</calculatedColumnFormula>
    </tableColumn>
    <tableColumn id="8" xr3:uid="{00000000-0010-0000-0C00-000008000000}" name="7 月" dataDxfId="7">
      <calculatedColumnFormula>収入[[#Totals],[7 月]]-J105</calculatedColumnFormula>
    </tableColumn>
    <tableColumn id="9" xr3:uid="{00000000-0010-0000-0C00-000009000000}" name="8 月" dataDxfId="6">
      <calculatedColumnFormula>収入[[#Totals],[8 月]]-K105</calculatedColumnFormula>
    </tableColumn>
    <tableColumn id="10" xr3:uid="{00000000-0010-0000-0C00-00000A000000}" name="9 月" dataDxfId="5">
      <calculatedColumnFormula>収入[[#Totals],[9 月]]-L105</calculatedColumnFormula>
    </tableColumn>
    <tableColumn id="11" xr3:uid="{00000000-0010-0000-0C00-00000B000000}" name="10 月" dataDxfId="4">
      <calculatedColumnFormula>収入[[#Totals],[10 月]]-M105</calculatedColumnFormula>
    </tableColumn>
    <tableColumn id="12" xr3:uid="{00000000-0010-0000-0C00-00000C000000}" name="11 月" dataDxfId="3">
      <calculatedColumnFormula>収入[[#Totals],[11 月]]-N105</calculatedColumnFormula>
    </tableColumn>
    <tableColumn id="13" xr3:uid="{00000000-0010-0000-0C00-00000D000000}" name="12 月" dataDxfId="2">
      <calculatedColumnFormula>収入[[#Totals],[12 月]]-O105</calculatedColumnFormula>
    </tableColumn>
    <tableColumn id="14" xr3:uid="{00000000-0010-0000-0C00-00000E000000}" name="年" dataDxfId="1">
      <calculatedColumnFormula>収入[[#Totals],[年]]-P105</calculatedColumnFormula>
    </tableColumn>
    <tableColumn id="15" xr3:uid="{00000000-0010-0000-0C00-00000F000000}" name="スパークライン" dataDxfId="0"/>
  </tableColumns>
  <tableStyleInfo showFirstColumn="1" showLastColumn="0" showRowStripes="0" showColumnStripes="1"/>
  <extLst>
    <ext xmlns:x14="http://schemas.microsoft.com/office/spreadsheetml/2009/9/main" uri="{504A1905-F514-4f6f-8877-14C23A59335A}">
      <x14:table altTextSummary="毎月と年間に対して、合計支出と現金の不足または余剰が計算されます。このテーブルでスパークラインが更新されます。"/>
    </ext>
  </extLst>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自宅" displayName="自宅" ref="C12:Q18" totalsRowCount="1" headerRowDxfId="379" dataDxfId="378" totalsRowDxfId="377">
  <autoFilter ref="C12:Q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100-000001000000}" name="自宅" totalsRowLabel="集計" dataDxfId="376" totalsRowDxfId="375"/>
    <tableColumn id="2" xr3:uid="{00000000-0010-0000-0100-000002000000}" name="1 月" totalsRowFunction="sum" dataDxfId="374" totalsRowDxfId="373"/>
    <tableColumn id="3" xr3:uid="{00000000-0010-0000-0100-000003000000}" name="2 月" totalsRowFunction="sum" dataDxfId="372" totalsRowDxfId="371"/>
    <tableColumn id="4" xr3:uid="{00000000-0010-0000-0100-000004000000}" name="3 月" totalsRowFunction="sum" dataDxfId="370" totalsRowDxfId="369"/>
    <tableColumn id="5" xr3:uid="{00000000-0010-0000-0100-000005000000}" name="4 月" totalsRowFunction="sum" dataDxfId="368" totalsRowDxfId="367"/>
    <tableColumn id="6" xr3:uid="{00000000-0010-0000-0100-000006000000}" name="5 月" totalsRowFunction="sum" dataDxfId="366" totalsRowDxfId="365"/>
    <tableColumn id="7" xr3:uid="{00000000-0010-0000-0100-000007000000}" name="6 月" totalsRowFunction="sum" dataDxfId="364" totalsRowDxfId="363"/>
    <tableColumn id="8" xr3:uid="{00000000-0010-0000-0100-000008000000}" name="7 月" totalsRowFunction="sum" dataDxfId="362" totalsRowDxfId="361"/>
    <tableColumn id="9" xr3:uid="{00000000-0010-0000-0100-000009000000}" name="8 月" totalsRowFunction="sum" dataDxfId="360" totalsRowDxfId="359"/>
    <tableColumn id="10" xr3:uid="{00000000-0010-0000-0100-00000A000000}" name="9 月" totalsRowFunction="sum" dataDxfId="358" totalsRowDxfId="357"/>
    <tableColumn id="11" xr3:uid="{00000000-0010-0000-0100-00000B000000}" name="10 月" totalsRowFunction="sum" dataDxfId="356" totalsRowDxfId="355"/>
    <tableColumn id="12" xr3:uid="{00000000-0010-0000-0100-00000C000000}" name="11 月" totalsRowFunction="sum" dataDxfId="354" totalsRowDxfId="353"/>
    <tableColumn id="13" xr3:uid="{00000000-0010-0000-0100-00000D000000}" name="12 月" totalsRowFunction="sum" dataDxfId="352" totalsRowDxfId="351"/>
    <tableColumn id="14" xr3:uid="{00000000-0010-0000-0100-00000E000000}" name="年" totalsRowFunction="sum" dataDxfId="350" totalsRowDxfId="349">
      <calculatedColumnFormula>SUM(自宅[[#This Row],[1 月]:[12 月]])</calculatedColumnFormula>
    </tableColumn>
    <tableColumn id="15" xr3:uid="{00000000-0010-0000-0100-00000F000000}" name="スパークライン" dataDxfId="348" totalsRowDxfId="347"/>
  </tableColumns>
  <tableStyleInfo showFirstColumn="1" showLastColumn="0" showRowStripes="0" showColumnStripes="1"/>
  <extLst>
    <ext xmlns:x14="http://schemas.microsoft.com/office/spreadsheetml/2009/9/main" uri="{504A1905-F514-4f6f-8877-14C23A59335A}">
      <x14:table altTextSummary="このテーブルに自宅経費項目と毎月の金額を入力します。年額と毎月の合計は自動的に計算され、スパークラインが更新されます"/>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毎日" displayName="毎日" ref="C20:Q27" totalsRowCount="1" headerRowDxfId="346" dataDxfId="345" totalsRowDxfId="344">
  <autoFilter ref="C20:Q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生活費" totalsRowLabel="集計" dataDxfId="343" totalsRowDxfId="342"/>
    <tableColumn id="2" xr3:uid="{00000000-0010-0000-0200-000002000000}" name="1 月" totalsRowFunction="sum" dataDxfId="341" totalsRowDxfId="340"/>
    <tableColumn id="3" xr3:uid="{00000000-0010-0000-0200-000003000000}" name="2 月" totalsRowFunction="sum" dataDxfId="339" totalsRowDxfId="338"/>
    <tableColumn id="4" xr3:uid="{00000000-0010-0000-0200-000004000000}" name="3 月" totalsRowFunction="sum" dataDxfId="337" totalsRowDxfId="336"/>
    <tableColumn id="5" xr3:uid="{00000000-0010-0000-0200-000005000000}" name="4 月" totalsRowFunction="sum" dataDxfId="335" totalsRowDxfId="334"/>
    <tableColumn id="6" xr3:uid="{00000000-0010-0000-0200-000006000000}" name="5 月" totalsRowFunction="sum" dataDxfId="333" totalsRowDxfId="332"/>
    <tableColumn id="7" xr3:uid="{00000000-0010-0000-0200-000007000000}" name="6 月" totalsRowFunction="sum" dataDxfId="331" totalsRowDxfId="330"/>
    <tableColumn id="8" xr3:uid="{00000000-0010-0000-0200-000008000000}" name="7 月" totalsRowFunction="sum" dataDxfId="329" totalsRowDxfId="328"/>
    <tableColumn id="9" xr3:uid="{00000000-0010-0000-0200-000009000000}" name="8 月" totalsRowFunction="sum" dataDxfId="327" totalsRowDxfId="326"/>
    <tableColumn id="10" xr3:uid="{00000000-0010-0000-0200-00000A000000}" name="9 月" totalsRowFunction="sum" dataDxfId="325" totalsRowDxfId="324"/>
    <tableColumn id="11" xr3:uid="{00000000-0010-0000-0200-00000B000000}" name="10 月" totalsRowFunction="sum" dataDxfId="323" totalsRowDxfId="322"/>
    <tableColumn id="12" xr3:uid="{00000000-0010-0000-0200-00000C000000}" name="11 月" totalsRowFunction="sum" dataDxfId="321" totalsRowDxfId="320"/>
    <tableColumn id="13" xr3:uid="{00000000-0010-0000-0200-00000D000000}" name="12 月" totalsRowFunction="sum" dataDxfId="319" totalsRowDxfId="318"/>
    <tableColumn id="14" xr3:uid="{00000000-0010-0000-0200-00000E000000}" name="年度" totalsRowFunction="sum" dataDxfId="317" totalsRowDxfId="316">
      <calculatedColumnFormula>SUM(毎日[[#This Row],[1 月]:[12 月]])</calculatedColumnFormula>
    </tableColumn>
    <tableColumn id="15" xr3:uid="{00000000-0010-0000-0200-00000F000000}" name="スパークライン" dataDxfId="315" totalsRowDxfId="314"/>
  </tableColumns>
  <tableStyleInfo showFirstColumn="1" showLastColumn="0" showRowStripes="0" showColumnStripes="1"/>
  <extLst>
    <ext xmlns:x14="http://schemas.microsoft.com/office/spreadsheetml/2009/9/main" uri="{504A1905-F514-4f6f-8877-14C23A59335A}">
      <x14:table altTextSummary="このテーブルに毎日の経費項目と毎月の金額を入力します。年額と毎月の合計は自動的に計算され、スパークラインが更新されます"/>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交通" displayName="交通" ref="C29:Q36" totalsRowCount="1" headerRowDxfId="313" dataDxfId="312" totalsRowDxfId="311">
  <autoFilter ref="C29:Q3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交通費" totalsRowLabel="集計" dataDxfId="310" totalsRowDxfId="309"/>
    <tableColumn id="2" xr3:uid="{00000000-0010-0000-0300-000002000000}" name="1 月" totalsRowFunction="sum" dataDxfId="308" totalsRowDxfId="307"/>
    <tableColumn id="3" xr3:uid="{00000000-0010-0000-0300-000003000000}" name="2 月" totalsRowFunction="sum" dataDxfId="306" totalsRowDxfId="305"/>
    <tableColumn id="4" xr3:uid="{00000000-0010-0000-0300-000004000000}" name="3 月" totalsRowFunction="sum" dataDxfId="304" totalsRowDxfId="303"/>
    <tableColumn id="5" xr3:uid="{00000000-0010-0000-0300-000005000000}" name="4 月" totalsRowFunction="sum" dataDxfId="302" totalsRowDxfId="301"/>
    <tableColumn id="6" xr3:uid="{00000000-0010-0000-0300-000006000000}" name="5 月" totalsRowFunction="sum" dataDxfId="300" totalsRowDxfId="299"/>
    <tableColumn id="7" xr3:uid="{00000000-0010-0000-0300-000007000000}" name="6 月" totalsRowFunction="sum" dataDxfId="298" totalsRowDxfId="297"/>
    <tableColumn id="8" xr3:uid="{00000000-0010-0000-0300-000008000000}" name="7 月" totalsRowFunction="sum" dataDxfId="296" totalsRowDxfId="295"/>
    <tableColumn id="9" xr3:uid="{00000000-0010-0000-0300-000009000000}" name="8 月" totalsRowFunction="sum" dataDxfId="294" totalsRowDxfId="293"/>
    <tableColumn id="10" xr3:uid="{00000000-0010-0000-0300-00000A000000}" name="9 月" totalsRowFunction="sum" dataDxfId="292" totalsRowDxfId="291"/>
    <tableColumn id="11" xr3:uid="{00000000-0010-0000-0300-00000B000000}" name="10 月" totalsRowFunction="sum" dataDxfId="290" totalsRowDxfId="289"/>
    <tableColumn id="12" xr3:uid="{00000000-0010-0000-0300-00000C000000}" name="11 月" totalsRowFunction="sum" dataDxfId="288" totalsRowDxfId="287"/>
    <tableColumn id="13" xr3:uid="{00000000-0010-0000-0300-00000D000000}" name="12 月" totalsRowFunction="sum" dataDxfId="286" totalsRowDxfId="285"/>
    <tableColumn id="14" xr3:uid="{00000000-0010-0000-0300-00000E000000}" name="年度" totalsRowFunction="sum" dataDxfId="284" totalsRowDxfId="283">
      <calculatedColumnFormula>SUM(交通[[#This Row],[1 月]:[12 月]])</calculatedColumnFormula>
    </tableColumn>
    <tableColumn id="15" xr3:uid="{00000000-0010-0000-0300-00000F000000}" name="スパークライン" dataDxfId="282" totalsRowDxfId="281"/>
  </tableColumns>
  <tableStyleInfo showFirstColumn="1" showLastColumn="0" showRowStripes="0" showColumnStripes="1"/>
  <extLst>
    <ext xmlns:x14="http://schemas.microsoft.com/office/spreadsheetml/2009/9/main" uri="{504A1905-F514-4f6f-8877-14C23A59335A}">
      <x14:table altTextSummary="このテーブルに交通費項目と毎月の金額を入力します。年額と毎月の合計は自動的に計算され、スパークラインが更新されます"/>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娯楽" displayName="娯楽" ref="C38:Q43" totalsRowCount="1" headerRowDxfId="280" dataDxfId="279" totalsRowDxfId="278">
  <autoFilter ref="C38:Q4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娯楽" totalsRowLabel="集計" dataDxfId="277" totalsRowDxfId="276"/>
    <tableColumn id="2" xr3:uid="{00000000-0010-0000-0400-000002000000}" name="1 月" totalsRowFunction="sum" dataDxfId="275" totalsRowDxfId="274"/>
    <tableColumn id="3" xr3:uid="{00000000-0010-0000-0400-000003000000}" name="2 月" totalsRowFunction="sum" dataDxfId="273" totalsRowDxfId="272"/>
    <tableColumn id="4" xr3:uid="{00000000-0010-0000-0400-000004000000}" name="3 月" totalsRowFunction="sum" dataDxfId="271" totalsRowDxfId="270"/>
    <tableColumn id="5" xr3:uid="{00000000-0010-0000-0400-000005000000}" name="4 月" totalsRowFunction="sum" dataDxfId="269" totalsRowDxfId="268"/>
    <tableColumn id="6" xr3:uid="{00000000-0010-0000-0400-000006000000}" name="5 月" totalsRowFunction="sum" dataDxfId="267" totalsRowDxfId="266"/>
    <tableColumn id="7" xr3:uid="{00000000-0010-0000-0400-000007000000}" name="6 月" totalsRowFunction="sum" dataDxfId="265" totalsRowDxfId="264"/>
    <tableColumn id="8" xr3:uid="{00000000-0010-0000-0400-000008000000}" name="7 月" totalsRowFunction="sum" dataDxfId="263" totalsRowDxfId="262"/>
    <tableColumn id="9" xr3:uid="{00000000-0010-0000-0400-000009000000}" name="8 月" totalsRowFunction="sum" dataDxfId="261" totalsRowDxfId="260"/>
    <tableColumn id="10" xr3:uid="{00000000-0010-0000-0400-00000A000000}" name="9 月" totalsRowFunction="sum" dataDxfId="259" totalsRowDxfId="258"/>
    <tableColumn id="11" xr3:uid="{00000000-0010-0000-0400-00000B000000}" name="10 月" totalsRowFunction="sum" dataDxfId="257" totalsRowDxfId="256"/>
    <tableColumn id="12" xr3:uid="{00000000-0010-0000-0400-00000C000000}" name="11 月" totalsRowFunction="sum" dataDxfId="255" totalsRowDxfId="254"/>
    <tableColumn id="13" xr3:uid="{00000000-0010-0000-0400-00000D000000}" name="12 月" totalsRowFunction="sum" dataDxfId="253" totalsRowDxfId="252"/>
    <tableColumn id="14" xr3:uid="{00000000-0010-0000-0400-00000E000000}" name="年度" totalsRowFunction="sum" dataDxfId="251" totalsRowDxfId="250">
      <calculatedColumnFormula>SUM(娯楽[[#This Row],[1 月]:[12 月]])</calculatedColumnFormula>
    </tableColumn>
    <tableColumn id="15" xr3:uid="{00000000-0010-0000-0400-00000F000000}" name="スパークライン" dataDxfId="249" totalsRowDxfId="248"/>
  </tableColumns>
  <tableStyleInfo showFirstColumn="1" showLastColumn="0" showRowStripes="0" showColumnStripes="1"/>
  <extLst>
    <ext xmlns:x14="http://schemas.microsoft.com/office/spreadsheetml/2009/9/main" uri="{504A1905-F514-4f6f-8877-14C23A59335A}">
      <x14:table altTextSummary="このテーブルに娯楽項目と毎月の金額を入力します。年額と毎月の合計は自動的に計算され、スパークラインが更新されます"/>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医療保険" displayName="医療保険" ref="C45:Q53" totalsRowCount="1" headerRowDxfId="247" dataDxfId="246" totalsRowDxfId="245">
  <autoFilter ref="C45:Q5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500-000001000000}" name="医療保険" totalsRowLabel="集計" dataDxfId="244" totalsRowDxfId="243"/>
    <tableColumn id="2" xr3:uid="{00000000-0010-0000-0500-000002000000}" name="1 月" totalsRowFunction="sum" dataDxfId="242" totalsRowDxfId="241"/>
    <tableColumn id="3" xr3:uid="{00000000-0010-0000-0500-000003000000}" name="2 月" totalsRowFunction="sum" dataDxfId="240" totalsRowDxfId="239"/>
    <tableColumn id="4" xr3:uid="{00000000-0010-0000-0500-000004000000}" name="3 月" totalsRowFunction="sum" dataDxfId="238" totalsRowDxfId="237"/>
    <tableColumn id="5" xr3:uid="{00000000-0010-0000-0500-000005000000}" name="4 月" totalsRowFunction="sum" dataDxfId="236" totalsRowDxfId="235"/>
    <tableColumn id="6" xr3:uid="{00000000-0010-0000-0500-000006000000}" name="5 月" totalsRowFunction="sum" dataDxfId="234" totalsRowDxfId="233"/>
    <tableColumn id="7" xr3:uid="{00000000-0010-0000-0500-000007000000}" name="6 月" totalsRowFunction="sum" dataDxfId="232" totalsRowDxfId="231"/>
    <tableColumn id="8" xr3:uid="{00000000-0010-0000-0500-000008000000}" name="7 月" totalsRowFunction="sum" dataDxfId="230" totalsRowDxfId="229"/>
    <tableColumn id="9" xr3:uid="{00000000-0010-0000-0500-000009000000}" name="8 月" totalsRowFunction="sum" dataDxfId="228" totalsRowDxfId="227"/>
    <tableColumn id="10" xr3:uid="{00000000-0010-0000-0500-00000A000000}" name="9 月" totalsRowFunction="sum" dataDxfId="226" totalsRowDxfId="225"/>
    <tableColumn id="11" xr3:uid="{00000000-0010-0000-0500-00000B000000}" name="10 月" totalsRowFunction="sum" dataDxfId="224" totalsRowDxfId="223"/>
    <tableColumn id="12" xr3:uid="{00000000-0010-0000-0500-00000C000000}" name="11 月" totalsRowFunction="sum" dataDxfId="222" totalsRowDxfId="221"/>
    <tableColumn id="13" xr3:uid="{00000000-0010-0000-0500-00000D000000}" name="12 月" totalsRowFunction="sum" dataDxfId="220" totalsRowDxfId="219"/>
    <tableColumn id="14" xr3:uid="{00000000-0010-0000-0500-00000E000000}" name="年度" totalsRowFunction="sum" dataDxfId="218" totalsRowDxfId="217">
      <calculatedColumnFormula>SUM(医療保険[[#This Row],[1 月]:[12 月]])</calculatedColumnFormula>
    </tableColumn>
    <tableColumn id="15" xr3:uid="{00000000-0010-0000-0500-00000F000000}" name="スパークライン" dataDxfId="216" totalsRowDxfId="215"/>
  </tableColumns>
  <tableStyleInfo showFirstColumn="1" showLastColumn="0" showRowStripes="0" showColumnStripes="1"/>
  <extLst>
    <ext xmlns:x14="http://schemas.microsoft.com/office/spreadsheetml/2009/9/main" uri="{504A1905-F514-4f6f-8877-14C23A59335A}">
      <x14:table altTextSummary="このテーブルに医療保険項目と毎月の金額を入力します。年額と毎月の合計は自動的に計算され、スパークラインが更新されます"/>
    </ext>
  </extLst>
</table>
</file>

<file path=xl/tables/table7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休暇" displayName="休暇" ref="C55:Q62" totalsRowCount="1" headerRowDxfId="214" dataDxfId="213" totalsRowDxfId="212">
  <autoFilter ref="C55:Q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600-000001000000}" name="休暇" totalsRowLabel="集計" dataDxfId="211" totalsRowDxfId="210"/>
    <tableColumn id="2" xr3:uid="{00000000-0010-0000-0600-000002000000}" name="1 月" totalsRowFunction="sum" dataDxfId="209" totalsRowDxfId="208"/>
    <tableColumn id="3" xr3:uid="{00000000-0010-0000-0600-000003000000}" name="2 月" totalsRowFunction="sum" dataDxfId="207" totalsRowDxfId="206"/>
    <tableColumn id="4" xr3:uid="{00000000-0010-0000-0600-000004000000}" name="3 月" totalsRowFunction="sum" dataDxfId="205" totalsRowDxfId="204"/>
    <tableColumn id="5" xr3:uid="{00000000-0010-0000-0600-000005000000}" name="4 月" totalsRowFunction="sum" dataDxfId="203" totalsRowDxfId="202"/>
    <tableColumn id="6" xr3:uid="{00000000-0010-0000-0600-000006000000}" name="5 月" totalsRowFunction="sum" dataDxfId="201" totalsRowDxfId="200"/>
    <tableColumn id="7" xr3:uid="{00000000-0010-0000-0600-000007000000}" name="6 月" totalsRowFunction="sum" dataDxfId="199" totalsRowDxfId="198"/>
    <tableColumn id="8" xr3:uid="{00000000-0010-0000-0600-000008000000}" name="7 月" totalsRowFunction="sum" dataDxfId="197" totalsRowDxfId="196"/>
    <tableColumn id="9" xr3:uid="{00000000-0010-0000-0600-000009000000}" name="8 月" totalsRowFunction="sum" dataDxfId="195" totalsRowDxfId="194"/>
    <tableColumn id="10" xr3:uid="{00000000-0010-0000-0600-00000A000000}" name="9 月" totalsRowFunction="sum" dataDxfId="193" totalsRowDxfId="192"/>
    <tableColumn id="11" xr3:uid="{00000000-0010-0000-0600-00000B000000}" name="10 月" totalsRowFunction="sum" dataDxfId="191" totalsRowDxfId="190"/>
    <tableColumn id="12" xr3:uid="{00000000-0010-0000-0600-00000C000000}" name="11 月" totalsRowFunction="sum" dataDxfId="189" totalsRowDxfId="188"/>
    <tableColumn id="13" xr3:uid="{00000000-0010-0000-0600-00000D000000}" name="12 月" totalsRowFunction="sum" dataDxfId="187" totalsRowDxfId="186"/>
    <tableColumn id="14" xr3:uid="{00000000-0010-0000-0600-00000E000000}" name="年度" totalsRowFunction="sum" dataDxfId="185" totalsRowDxfId="184">
      <calculatedColumnFormula>SUM(休暇[[#This Row],[1 月]:[12 月]])</calculatedColumnFormula>
    </tableColumn>
    <tableColumn id="15" xr3:uid="{00000000-0010-0000-0600-00000F000000}" name="スパークライン" dataDxfId="183" totalsRowDxfId="182"/>
  </tableColumns>
  <tableStyleInfo showFirstColumn="1" showLastColumn="0" showRowStripes="0" showColumnStripes="1"/>
  <extLst>
    <ext xmlns:x14="http://schemas.microsoft.com/office/spreadsheetml/2009/9/main" uri="{504A1905-F514-4f6f-8877-14C23A59335A}">
      <x14:table altTextSummary="このテーブルに休暇項目と毎月の金額を入力します。年額と毎月の合計は自動的に計算され、スパークラインが更新されます"/>
    </ext>
  </extLst>
</table>
</file>

<file path=xl/tables/table8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レクリエーション" displayName="レクリエーション" ref="C64:Q69" totalsRowCount="1" headerRowDxfId="181" dataDxfId="180" totalsRowDxfId="179">
  <autoFilter ref="C64:Q6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700-000001000000}" name="レクリエーション" totalsRowLabel="集計" dataDxfId="178" totalsRowDxfId="177"/>
    <tableColumn id="2" xr3:uid="{00000000-0010-0000-0700-000002000000}" name="1 月" totalsRowFunction="sum" dataDxfId="176" totalsRowDxfId="175"/>
    <tableColumn id="3" xr3:uid="{00000000-0010-0000-0700-000003000000}" name="2 月" totalsRowFunction="sum" dataDxfId="174" totalsRowDxfId="173"/>
    <tableColumn id="4" xr3:uid="{00000000-0010-0000-0700-000004000000}" name="3 月" totalsRowFunction="sum" dataDxfId="172" totalsRowDxfId="171"/>
    <tableColumn id="5" xr3:uid="{00000000-0010-0000-0700-000005000000}" name="4 月" totalsRowFunction="sum" dataDxfId="170" totalsRowDxfId="169"/>
    <tableColumn id="6" xr3:uid="{00000000-0010-0000-0700-000006000000}" name="5 月" totalsRowFunction="sum" dataDxfId="168" totalsRowDxfId="167"/>
    <tableColumn id="7" xr3:uid="{00000000-0010-0000-0700-000007000000}" name="6 月" totalsRowFunction="sum" dataDxfId="166" totalsRowDxfId="165"/>
    <tableColumn id="8" xr3:uid="{00000000-0010-0000-0700-000008000000}" name="7 月" totalsRowFunction="sum" dataDxfId="164" totalsRowDxfId="163"/>
    <tableColumn id="9" xr3:uid="{00000000-0010-0000-0700-000009000000}" name="8 月" totalsRowFunction="sum" dataDxfId="162" totalsRowDxfId="161"/>
    <tableColumn id="10" xr3:uid="{00000000-0010-0000-0700-00000A000000}" name="9 月" totalsRowFunction="sum" dataDxfId="160" totalsRowDxfId="159"/>
    <tableColumn id="11" xr3:uid="{00000000-0010-0000-0700-00000B000000}" name="10 月" totalsRowFunction="sum" dataDxfId="158" totalsRowDxfId="157"/>
    <tableColumn id="12" xr3:uid="{00000000-0010-0000-0700-00000C000000}" name="11 月" totalsRowFunction="sum" dataDxfId="156" totalsRowDxfId="155"/>
    <tableColumn id="13" xr3:uid="{00000000-0010-0000-0700-00000D000000}" name="12 月" totalsRowFunction="sum" dataDxfId="154" totalsRowDxfId="153"/>
    <tableColumn id="14" xr3:uid="{00000000-0010-0000-0700-00000E000000}" name="年度" totalsRowFunction="sum" dataDxfId="152" totalsRowDxfId="151">
      <calculatedColumnFormula>SUM(レクリエーション[[#This Row],[1 月]:[12 月]])</calculatedColumnFormula>
    </tableColumn>
    <tableColumn id="15" xr3:uid="{00000000-0010-0000-0700-00000F000000}" name="スパークライン" dataDxfId="150" totalsRowDxfId="149"/>
  </tableColumns>
  <tableStyleInfo showFirstColumn="1" showLastColumn="0" showRowStripes="0" showColumnStripes="1"/>
  <extLst>
    <ext xmlns:x14="http://schemas.microsoft.com/office/spreadsheetml/2009/9/main" uri="{504A1905-F514-4f6f-8877-14C23A59335A}">
      <x14:table altTextSummary="このテーブルにレクリエーション項目と毎月の金額を入力します。年額と毎月の合計は自動的に計算され、スパークラインが更新されます"/>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会費と購読料" displayName="会費と購読料" ref="C71:Q79" totalsRowCount="1" headerRowDxfId="148" dataDxfId="147" totalsRowDxfId="146">
  <autoFilter ref="C71:Q7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800-000001000000}" name="会費/購読料" totalsRowLabel="集計" dataDxfId="145" totalsRowDxfId="144"/>
    <tableColumn id="2" xr3:uid="{00000000-0010-0000-0800-000002000000}" name="1 月" totalsRowFunction="sum" dataDxfId="143" totalsRowDxfId="142"/>
    <tableColumn id="3" xr3:uid="{00000000-0010-0000-0800-000003000000}" name="2 月" totalsRowFunction="sum" dataDxfId="141" totalsRowDxfId="140"/>
    <tableColumn id="4" xr3:uid="{00000000-0010-0000-0800-000004000000}" name="3 月" totalsRowFunction="sum" dataDxfId="139" totalsRowDxfId="138"/>
    <tableColumn id="5" xr3:uid="{00000000-0010-0000-0800-000005000000}" name="4 月" totalsRowFunction="sum" dataDxfId="137" totalsRowDxfId="136"/>
    <tableColumn id="6" xr3:uid="{00000000-0010-0000-0800-000006000000}" name="5 月" totalsRowFunction="sum" dataDxfId="135" totalsRowDxfId="134"/>
    <tableColumn id="7" xr3:uid="{00000000-0010-0000-0800-000007000000}" name="6 月" totalsRowFunction="sum" dataDxfId="133" totalsRowDxfId="132"/>
    <tableColumn id="8" xr3:uid="{00000000-0010-0000-0800-000008000000}" name="7 月" totalsRowFunction="sum" dataDxfId="131" totalsRowDxfId="130"/>
    <tableColumn id="9" xr3:uid="{00000000-0010-0000-0800-000009000000}" name="8 月" totalsRowFunction="sum" dataDxfId="129" totalsRowDxfId="128"/>
    <tableColumn id="10" xr3:uid="{00000000-0010-0000-0800-00000A000000}" name="9 月" totalsRowFunction="sum" dataDxfId="127" totalsRowDxfId="126"/>
    <tableColumn id="11" xr3:uid="{00000000-0010-0000-0800-00000B000000}" name="10 月" totalsRowFunction="sum" dataDxfId="125" totalsRowDxfId="124"/>
    <tableColumn id="12" xr3:uid="{00000000-0010-0000-0800-00000C000000}" name="11 月" totalsRowFunction="sum" dataDxfId="123" totalsRowDxfId="122"/>
    <tableColumn id="13" xr3:uid="{00000000-0010-0000-0800-00000D000000}" name="12 月" totalsRowFunction="sum" dataDxfId="121" totalsRowDxfId="120"/>
    <tableColumn id="14" xr3:uid="{00000000-0010-0000-0800-00000E000000}" name="年度" totalsRowFunction="sum" dataDxfId="119" totalsRowDxfId="118">
      <calculatedColumnFormula>SUM(会費と購読料[[#This Row],[1 月]:[12 月]])</calculatedColumnFormula>
    </tableColumn>
    <tableColumn id="15" xr3:uid="{00000000-0010-0000-0800-00000F000000}" name="スパークライン" dataDxfId="117" totalsRowDxfId="116"/>
  </tableColumns>
  <tableStyleInfo showFirstColumn="1" showLastColumn="0" showRowStripes="0" showColumnStripes="1"/>
  <extLst>
    <ext xmlns:x14="http://schemas.microsoft.com/office/spreadsheetml/2009/9/main" uri="{504A1905-F514-4f6f-8877-14C23A59335A}">
      <x14:table altTextSummary="このテーブルに会費と購読料項目と毎月の金額を入力します。年額と毎月の合計は自動的に計算され、スパークラインが更新されます"/>
    </ext>
  </extLst>
</table>
</file>

<file path=xl/theme/theme11.xml><?xml version="1.0" encoding="utf-8"?>
<a:theme xmlns:a="http://schemas.openxmlformats.org/drawingml/2006/main" name="Office Theme">
  <a:themeElements>
    <a:clrScheme name="Custom 23">
      <a:dk1>
        <a:sysClr val="windowText" lastClr="000000"/>
      </a:dk1>
      <a:lt1>
        <a:sysClr val="window" lastClr="FFFFFF"/>
      </a:lt1>
      <a:dk2>
        <a:srgbClr val="304157"/>
      </a:dk2>
      <a:lt2>
        <a:srgbClr val="E7E6E6"/>
      </a:lt2>
      <a:accent1>
        <a:srgbClr val="1B79AD"/>
      </a:accent1>
      <a:accent2>
        <a:srgbClr val="1D7B7D"/>
      </a:accent2>
      <a:accent3>
        <a:srgbClr val="EF4755"/>
      </a:accent3>
      <a:accent4>
        <a:srgbClr val="FFC000"/>
      </a:accent4>
      <a:accent5>
        <a:srgbClr val="176795"/>
      </a:accent5>
      <a:accent6>
        <a:srgbClr val="4D81BF"/>
      </a:accent6>
      <a:hlink>
        <a:srgbClr val="F78F2F"/>
      </a:hlink>
      <a:folHlink>
        <a:srgbClr val="F78F2F"/>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139.xml" Id="rId15" /><Relationship Type="http://schemas.openxmlformats.org/officeDocument/2006/relationships/table" Target="/xl/tables/table810.xml" Id="rId10" /><Relationship Type="http://schemas.openxmlformats.org/officeDocument/2006/relationships/table" Target="/xl/tables/table211.xml" Id="rId4" /><Relationship Type="http://schemas.openxmlformats.org/officeDocument/2006/relationships/table" Target="/xl/tables/table712.xml" Id="rId9" /><Relationship Type="http://schemas.openxmlformats.org/officeDocument/2006/relationships/table" Target="/xl/tables/table1213.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B1:B7"/>
  <sheetViews>
    <sheetView tabSelected="1" workbookViewId="0"/>
  </sheetViews>
  <sheetFormatPr defaultRowHeight="14.25" x14ac:dyDescent="0.25"/>
  <cols>
    <col min="1" max="1" width="2.625" style="2" customWidth="1"/>
    <col min="2" max="2" width="80.625" style="2" customWidth="1"/>
    <col min="3" max="3" width="2.625" style="2" customWidth="1"/>
    <col min="4" max="16384" width="9" style="2"/>
  </cols>
  <sheetData>
    <row r="1" spans="2:2" ht="30" customHeight="1" x14ac:dyDescent="0.25">
      <c r="B1" s="1" t="s">
        <v>0</v>
      </c>
    </row>
    <row r="2" spans="2:2" ht="30" customHeight="1" x14ac:dyDescent="0.25">
      <c r="B2" s="3" t="s">
        <v>1</v>
      </c>
    </row>
    <row r="3" spans="2:2" ht="30" customHeight="1" x14ac:dyDescent="0.25">
      <c r="B3" s="3" t="s">
        <v>112</v>
      </c>
    </row>
    <row r="4" spans="2:2" ht="30" customHeight="1" x14ac:dyDescent="0.25">
      <c r="B4" s="3" t="s">
        <v>2</v>
      </c>
    </row>
    <row r="5" spans="2:2" ht="30" customHeight="1" x14ac:dyDescent="0.25">
      <c r="B5" s="4" t="s">
        <v>3</v>
      </c>
    </row>
    <row r="6" spans="2:2" ht="61.5" customHeight="1" x14ac:dyDescent="0.25">
      <c r="B6" s="3" t="s">
        <v>4</v>
      </c>
    </row>
    <row r="7" spans="2:2" ht="42.75" customHeight="1" x14ac:dyDescent="0.25">
      <c r="B7" s="3" t="s">
        <v>5</v>
      </c>
    </row>
  </sheetData>
  <phoneticPr fontId="2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Q108"/>
  <sheetViews>
    <sheetView showGridLines="0" zoomScale="96" zoomScaleNormal="96" workbookViewId="0"/>
  </sheetViews>
  <sheetFormatPr defaultRowHeight="30" customHeight="1" x14ac:dyDescent="0.25"/>
  <cols>
    <col min="1" max="1" width="4.75" style="5" customWidth="1"/>
    <col min="2" max="2" width="1.875" style="2" customWidth="1"/>
    <col min="3" max="3" width="22" style="2" bestFit="1" customWidth="1"/>
    <col min="4" max="16" width="12.375" style="6" customWidth="1"/>
    <col min="17" max="17" width="12.375" style="2" customWidth="1"/>
    <col min="18" max="18" width="2.625" style="2" customWidth="1"/>
    <col min="19" max="16384" width="9" style="2"/>
  </cols>
  <sheetData>
    <row r="1" spans="1:17" ht="12.75" customHeight="1" x14ac:dyDescent="0.25">
      <c r="A1" s="5" t="s">
        <v>6</v>
      </c>
    </row>
    <row r="2" spans="1:17" ht="35.25" customHeight="1" thickBot="1" x14ac:dyDescent="0.55000000000000004">
      <c r="A2" s="7" t="s">
        <v>7</v>
      </c>
      <c r="B2" s="66" t="s">
        <v>114</v>
      </c>
      <c r="C2" s="66"/>
      <c r="D2" s="66"/>
      <c r="E2" s="67"/>
      <c r="F2" s="67"/>
      <c r="G2" s="67"/>
      <c r="H2" s="67"/>
      <c r="I2" s="67"/>
      <c r="J2" s="67"/>
      <c r="K2" s="67"/>
      <c r="L2" s="67"/>
      <c r="M2" s="67"/>
      <c r="N2" s="67"/>
      <c r="O2" s="67"/>
      <c r="P2" s="67"/>
      <c r="Q2" s="8">
        <f ca="1">YEAR(TODAY())</f>
        <v>2019</v>
      </c>
    </row>
    <row r="3" spans="1:17" ht="26.25" customHeight="1" x14ac:dyDescent="0.25">
      <c r="E3" s="9"/>
    </row>
    <row r="4" spans="1:17" ht="21" customHeight="1" x14ac:dyDescent="0.25">
      <c r="A4" s="5" t="s">
        <v>8</v>
      </c>
      <c r="B4" s="10"/>
      <c r="C4" s="11" t="s">
        <v>22</v>
      </c>
      <c r="D4" s="12" t="s">
        <v>95</v>
      </c>
      <c r="E4" s="12" t="s">
        <v>96</v>
      </c>
      <c r="F4" s="12" t="s">
        <v>97</v>
      </c>
      <c r="G4" s="12" t="s">
        <v>98</v>
      </c>
      <c r="H4" s="12" t="s">
        <v>99</v>
      </c>
      <c r="I4" s="12" t="s">
        <v>100</v>
      </c>
      <c r="J4" s="12" t="s">
        <v>101</v>
      </c>
      <c r="K4" s="12" t="s">
        <v>102</v>
      </c>
      <c r="L4" s="12" t="s">
        <v>103</v>
      </c>
      <c r="M4" s="12" t="s">
        <v>104</v>
      </c>
      <c r="N4" s="12" t="s">
        <v>105</v>
      </c>
      <c r="O4" s="12" t="s">
        <v>106</v>
      </c>
      <c r="P4" s="12" t="s">
        <v>107</v>
      </c>
      <c r="Q4" s="12"/>
    </row>
    <row r="5" spans="1:17" ht="15.95" customHeight="1" x14ac:dyDescent="0.25">
      <c r="A5" s="7" t="s">
        <v>9</v>
      </c>
      <c r="B5" s="10"/>
      <c r="C5" s="13" t="s">
        <v>23</v>
      </c>
      <c r="D5" s="14" t="s">
        <v>95</v>
      </c>
      <c r="E5" s="14" t="s">
        <v>96</v>
      </c>
      <c r="F5" s="14" t="s">
        <v>97</v>
      </c>
      <c r="G5" s="14" t="s">
        <v>98</v>
      </c>
      <c r="H5" s="14" t="s">
        <v>99</v>
      </c>
      <c r="I5" s="14" t="s">
        <v>100</v>
      </c>
      <c r="J5" s="14" t="s">
        <v>101</v>
      </c>
      <c r="K5" s="14" t="s">
        <v>102</v>
      </c>
      <c r="L5" s="14" t="s">
        <v>103</v>
      </c>
      <c r="M5" s="14" t="s">
        <v>104</v>
      </c>
      <c r="N5" s="14" t="s">
        <v>105</v>
      </c>
      <c r="O5" s="14" t="s">
        <v>106</v>
      </c>
      <c r="P5" s="14" t="s">
        <v>107</v>
      </c>
      <c r="Q5" s="14" t="s">
        <v>109</v>
      </c>
    </row>
    <row r="6" spans="1:17" ht="15.95" customHeight="1" x14ac:dyDescent="0.25">
      <c r="B6" s="10"/>
      <c r="C6" s="15" t="s">
        <v>24</v>
      </c>
      <c r="D6" s="16">
        <v>2600</v>
      </c>
      <c r="E6" s="16">
        <v>2600</v>
      </c>
      <c r="F6" s="16">
        <v>2600</v>
      </c>
      <c r="G6" s="16"/>
      <c r="H6" s="16"/>
      <c r="I6" s="16"/>
      <c r="J6" s="16"/>
      <c r="K6" s="16"/>
      <c r="L6" s="16"/>
      <c r="M6" s="16"/>
      <c r="N6" s="16"/>
      <c r="O6" s="16"/>
      <c r="P6" s="16">
        <f>SUM(収入[[#This Row],[1 月]:[12 月]])</f>
        <v>7800</v>
      </c>
      <c r="Q6" s="16"/>
    </row>
    <row r="7" spans="1:17" ht="15.95" customHeight="1" x14ac:dyDescent="0.25">
      <c r="B7" s="10"/>
      <c r="C7" s="15" t="s">
        <v>25</v>
      </c>
      <c r="D7" s="16">
        <v>649</v>
      </c>
      <c r="E7" s="16">
        <v>313</v>
      </c>
      <c r="F7" s="16">
        <v>664</v>
      </c>
      <c r="G7" s="16"/>
      <c r="H7" s="16"/>
      <c r="I7" s="16"/>
      <c r="J7" s="16"/>
      <c r="K7" s="16"/>
      <c r="L7" s="16"/>
      <c r="M7" s="16"/>
      <c r="N7" s="16"/>
      <c r="O7" s="16"/>
      <c r="P7" s="16">
        <f>SUM(収入[[#This Row],[1 月]:[12 月]])</f>
        <v>1626</v>
      </c>
      <c r="Q7" s="17"/>
    </row>
    <row r="8" spans="1:17" ht="15.95" customHeight="1" x14ac:dyDescent="0.25">
      <c r="B8" s="10"/>
      <c r="C8" s="15" t="s">
        <v>26</v>
      </c>
      <c r="D8" s="16">
        <v>474</v>
      </c>
      <c r="E8" s="16">
        <v>643</v>
      </c>
      <c r="F8" s="16">
        <v>380</v>
      </c>
      <c r="G8" s="16"/>
      <c r="H8" s="16"/>
      <c r="I8" s="16"/>
      <c r="J8" s="16"/>
      <c r="K8" s="16"/>
      <c r="L8" s="16"/>
      <c r="M8" s="16"/>
      <c r="N8" s="16"/>
      <c r="O8" s="16"/>
      <c r="P8" s="16">
        <f>SUM(収入[[#This Row],[1 月]:[12 月]])</f>
        <v>1497</v>
      </c>
      <c r="Q8" s="16"/>
    </row>
    <row r="9" spans="1:17" ht="21" customHeight="1" thickBot="1" x14ac:dyDescent="0.3">
      <c r="B9" s="10"/>
      <c r="C9" s="18" t="s">
        <v>110</v>
      </c>
      <c r="D9" s="19">
        <f>SUBTOTAL(109,収入[1 月])</f>
        <v>3723</v>
      </c>
      <c r="E9" s="19">
        <f>SUBTOTAL(109,収入[2 月])</f>
        <v>3556</v>
      </c>
      <c r="F9" s="19">
        <f>SUBTOTAL(109,収入[3 月])</f>
        <v>3644</v>
      </c>
      <c r="G9" s="19">
        <f>SUBTOTAL(109,収入[4 月])</f>
        <v>0</v>
      </c>
      <c r="H9" s="19">
        <f>SUBTOTAL(109,収入[5 月])</f>
        <v>0</v>
      </c>
      <c r="I9" s="19">
        <f>SUBTOTAL(109,収入[6 月])</f>
        <v>0</v>
      </c>
      <c r="J9" s="19">
        <f>SUBTOTAL(109,収入[7 月])</f>
        <v>0</v>
      </c>
      <c r="K9" s="19">
        <f>SUBTOTAL(109,収入[8 月])</f>
        <v>0</v>
      </c>
      <c r="L9" s="19">
        <f>SUBTOTAL(109,収入[9 月])</f>
        <v>0</v>
      </c>
      <c r="M9" s="19">
        <f>SUBTOTAL(109,収入[10 月])</f>
        <v>0</v>
      </c>
      <c r="N9" s="19">
        <f>SUBTOTAL(109,収入[11 月])</f>
        <v>0</v>
      </c>
      <c r="O9" s="19">
        <f>SUBTOTAL(109,収入[12 月])</f>
        <v>0</v>
      </c>
      <c r="P9" s="19">
        <f>SUBTOTAL(109,収入[年])</f>
        <v>10923</v>
      </c>
      <c r="Q9" s="20"/>
    </row>
    <row r="10" spans="1:17" ht="24" customHeight="1" thickTop="1" x14ac:dyDescent="0.25">
      <c r="D10" s="2"/>
      <c r="E10" s="2"/>
      <c r="F10" s="2"/>
      <c r="G10" s="2"/>
      <c r="H10" s="2"/>
      <c r="I10" s="2"/>
      <c r="J10" s="2"/>
      <c r="K10" s="2"/>
      <c r="L10" s="2"/>
      <c r="M10" s="2"/>
      <c r="N10" s="2"/>
      <c r="O10" s="2"/>
      <c r="P10" s="2"/>
    </row>
    <row r="11" spans="1:17" ht="21" customHeight="1" x14ac:dyDescent="0.25">
      <c r="A11" s="5" t="s">
        <v>10</v>
      </c>
      <c r="B11" s="21"/>
      <c r="C11" s="11" t="s">
        <v>111</v>
      </c>
      <c r="D11" s="12" t="s">
        <v>95</v>
      </c>
      <c r="E11" s="12" t="s">
        <v>96</v>
      </c>
      <c r="F11" s="12" t="s">
        <v>97</v>
      </c>
      <c r="G11" s="12" t="s">
        <v>98</v>
      </c>
      <c r="H11" s="12" t="s">
        <v>99</v>
      </c>
      <c r="I11" s="12" t="s">
        <v>100</v>
      </c>
      <c r="J11" s="12" t="s">
        <v>101</v>
      </c>
      <c r="K11" s="12" t="s">
        <v>102</v>
      </c>
      <c r="L11" s="12" t="s">
        <v>103</v>
      </c>
      <c r="M11" s="12" t="s">
        <v>104</v>
      </c>
      <c r="N11" s="12" t="s">
        <v>105</v>
      </c>
      <c r="O11" s="12" t="s">
        <v>106</v>
      </c>
      <c r="P11" s="12" t="s">
        <v>107</v>
      </c>
      <c r="Q11" s="12"/>
    </row>
    <row r="12" spans="1:17" ht="15.95" customHeight="1" x14ac:dyDescent="0.25">
      <c r="A12" s="5" t="s">
        <v>11</v>
      </c>
      <c r="B12" s="21"/>
      <c r="C12" s="22" t="s">
        <v>28</v>
      </c>
      <c r="D12" s="14" t="s">
        <v>95</v>
      </c>
      <c r="E12" s="14" t="s">
        <v>96</v>
      </c>
      <c r="F12" s="14" t="s">
        <v>97</v>
      </c>
      <c r="G12" s="14" t="s">
        <v>98</v>
      </c>
      <c r="H12" s="14" t="s">
        <v>99</v>
      </c>
      <c r="I12" s="14" t="s">
        <v>100</v>
      </c>
      <c r="J12" s="14" t="s">
        <v>101</v>
      </c>
      <c r="K12" s="14" t="s">
        <v>102</v>
      </c>
      <c r="L12" s="14" t="s">
        <v>103</v>
      </c>
      <c r="M12" s="14" t="s">
        <v>104</v>
      </c>
      <c r="N12" s="14" t="s">
        <v>105</v>
      </c>
      <c r="O12" s="14" t="s">
        <v>106</v>
      </c>
      <c r="P12" s="14" t="s">
        <v>107</v>
      </c>
      <c r="Q12" s="14" t="s">
        <v>109</v>
      </c>
    </row>
    <row r="13" spans="1:17" ht="15.95" customHeight="1" x14ac:dyDescent="0.25">
      <c r="B13" s="21"/>
      <c r="C13" s="23" t="s">
        <v>29</v>
      </c>
      <c r="D13" s="24">
        <v>750</v>
      </c>
      <c r="E13" s="24">
        <v>750</v>
      </c>
      <c r="F13" s="24">
        <v>750</v>
      </c>
      <c r="G13" s="24"/>
      <c r="H13" s="24"/>
      <c r="I13" s="24"/>
      <c r="J13" s="24"/>
      <c r="K13" s="24"/>
      <c r="L13" s="24"/>
      <c r="M13" s="24"/>
      <c r="N13" s="24"/>
      <c r="O13" s="24"/>
      <c r="P13" s="24">
        <f>SUM(自宅[[#This Row],[1 月]:[12 月]])</f>
        <v>2250</v>
      </c>
      <c r="Q13" s="24"/>
    </row>
    <row r="14" spans="1:17" ht="15.95" customHeight="1" x14ac:dyDescent="0.25">
      <c r="B14" s="21"/>
      <c r="C14" s="23" t="s">
        <v>30</v>
      </c>
      <c r="D14" s="24"/>
      <c r="E14" s="24"/>
      <c r="F14" s="24"/>
      <c r="G14" s="24"/>
      <c r="H14" s="24"/>
      <c r="I14" s="24"/>
      <c r="J14" s="24"/>
      <c r="K14" s="24"/>
      <c r="L14" s="24"/>
      <c r="M14" s="24"/>
      <c r="N14" s="24"/>
      <c r="O14" s="24"/>
      <c r="P14" s="24">
        <f>SUM(自宅[[#This Row],[1 月]:[12 月]])</f>
        <v>0</v>
      </c>
      <c r="Q14" s="25"/>
    </row>
    <row r="15" spans="1:17" ht="15.95" customHeight="1" x14ac:dyDescent="0.25">
      <c r="B15" s="21"/>
      <c r="C15" s="23" t="s">
        <v>31</v>
      </c>
      <c r="D15" s="24"/>
      <c r="E15" s="24"/>
      <c r="F15" s="24">
        <v>75</v>
      </c>
      <c r="G15" s="24"/>
      <c r="H15" s="24"/>
      <c r="I15" s="24"/>
      <c r="J15" s="24"/>
      <c r="K15" s="24"/>
      <c r="L15" s="24"/>
      <c r="M15" s="24"/>
      <c r="N15" s="24"/>
      <c r="O15" s="24"/>
      <c r="P15" s="24">
        <f>SUM(自宅[[#This Row],[1 月]:[12 月]])</f>
        <v>75</v>
      </c>
      <c r="Q15" s="24"/>
    </row>
    <row r="16" spans="1:17" ht="15.95" customHeight="1" x14ac:dyDescent="0.25">
      <c r="B16" s="21"/>
      <c r="C16" s="23" t="s">
        <v>32</v>
      </c>
      <c r="D16" s="24">
        <v>35</v>
      </c>
      <c r="E16" s="24">
        <v>35</v>
      </c>
      <c r="F16" s="24">
        <v>35</v>
      </c>
      <c r="G16" s="24"/>
      <c r="H16" s="24"/>
      <c r="I16" s="24"/>
      <c r="J16" s="24"/>
      <c r="K16" s="24"/>
      <c r="L16" s="24"/>
      <c r="M16" s="24"/>
      <c r="N16" s="24"/>
      <c r="O16" s="24"/>
      <c r="P16" s="24">
        <f>SUM(自宅[[#This Row],[1 月]:[12 月]])</f>
        <v>105</v>
      </c>
      <c r="Q16" s="25"/>
    </row>
    <row r="17" spans="1:17" ht="15.95" customHeight="1" x14ac:dyDescent="0.25">
      <c r="B17" s="21"/>
      <c r="C17" s="23" t="s">
        <v>33</v>
      </c>
      <c r="D17" s="24">
        <v>165</v>
      </c>
      <c r="E17" s="24">
        <v>165</v>
      </c>
      <c r="F17" s="24">
        <v>165</v>
      </c>
      <c r="G17" s="24"/>
      <c r="H17" s="24"/>
      <c r="I17" s="24"/>
      <c r="J17" s="24"/>
      <c r="K17" s="24"/>
      <c r="L17" s="24"/>
      <c r="M17" s="24"/>
      <c r="N17" s="24"/>
      <c r="O17" s="24"/>
      <c r="P17" s="24">
        <f>SUM(自宅[[#This Row],[1 月]:[12 月]])</f>
        <v>495</v>
      </c>
      <c r="Q17" s="24"/>
    </row>
    <row r="18" spans="1:17" ht="21" customHeight="1" thickBot="1" x14ac:dyDescent="0.3">
      <c r="A18" s="26"/>
      <c r="B18" s="21"/>
      <c r="C18" s="27" t="s">
        <v>110</v>
      </c>
      <c r="D18" s="28">
        <f>SUBTOTAL(109,自宅[1 月])</f>
        <v>950</v>
      </c>
      <c r="E18" s="28">
        <f>SUBTOTAL(109,自宅[2 月])</f>
        <v>950</v>
      </c>
      <c r="F18" s="28">
        <f>SUBTOTAL(109,自宅[3 月])</f>
        <v>1025</v>
      </c>
      <c r="G18" s="28">
        <f>SUBTOTAL(109,自宅[4 月])</f>
        <v>0</v>
      </c>
      <c r="H18" s="28">
        <f>SUBTOTAL(109,自宅[5 月])</f>
        <v>0</v>
      </c>
      <c r="I18" s="28">
        <f>SUBTOTAL(109,自宅[6 月])</f>
        <v>0</v>
      </c>
      <c r="J18" s="28">
        <f>SUBTOTAL(109,自宅[7 月])</f>
        <v>0</v>
      </c>
      <c r="K18" s="28">
        <f>SUBTOTAL(109,自宅[8 月])</f>
        <v>0</v>
      </c>
      <c r="L18" s="28">
        <f>SUBTOTAL(109,自宅[9 月])</f>
        <v>0</v>
      </c>
      <c r="M18" s="28">
        <f>SUBTOTAL(109,自宅[10 月])</f>
        <v>0</v>
      </c>
      <c r="N18" s="28">
        <f>SUBTOTAL(109,自宅[11 月])</f>
        <v>0</v>
      </c>
      <c r="O18" s="28">
        <f>SUBTOTAL(109,自宅[12 月])</f>
        <v>0</v>
      </c>
      <c r="P18" s="28">
        <f>SUBTOTAL(109,自宅[年])</f>
        <v>2925</v>
      </c>
      <c r="Q18" s="29"/>
    </row>
    <row r="19" spans="1:17" ht="24" customHeight="1" thickTop="1" x14ac:dyDescent="0.25">
      <c r="D19" s="2"/>
      <c r="E19" s="2"/>
      <c r="F19" s="2"/>
      <c r="G19" s="2"/>
      <c r="H19" s="2"/>
      <c r="I19" s="2"/>
      <c r="J19" s="2"/>
      <c r="K19" s="2"/>
      <c r="L19" s="2"/>
      <c r="M19" s="2"/>
      <c r="N19" s="2"/>
      <c r="O19" s="2"/>
      <c r="P19" s="2"/>
    </row>
    <row r="20" spans="1:17" ht="15.95" customHeight="1" x14ac:dyDescent="0.25">
      <c r="A20" s="5" t="s">
        <v>12</v>
      </c>
      <c r="B20" s="30"/>
      <c r="C20" s="31" t="s">
        <v>34</v>
      </c>
      <c r="D20" s="32" t="s">
        <v>95</v>
      </c>
      <c r="E20" s="14" t="s">
        <v>96</v>
      </c>
      <c r="F20" s="32" t="s">
        <v>97</v>
      </c>
      <c r="G20" s="14" t="s">
        <v>98</v>
      </c>
      <c r="H20" s="32" t="s">
        <v>99</v>
      </c>
      <c r="I20" s="14" t="s">
        <v>100</v>
      </c>
      <c r="J20" s="32" t="s">
        <v>101</v>
      </c>
      <c r="K20" s="14" t="s">
        <v>102</v>
      </c>
      <c r="L20" s="32" t="s">
        <v>103</v>
      </c>
      <c r="M20" s="14" t="s">
        <v>104</v>
      </c>
      <c r="N20" s="32" t="s">
        <v>105</v>
      </c>
      <c r="O20" s="14" t="s">
        <v>106</v>
      </c>
      <c r="P20" s="32" t="s">
        <v>108</v>
      </c>
      <c r="Q20" s="14" t="s">
        <v>109</v>
      </c>
    </row>
    <row r="21" spans="1:17" ht="15.95" customHeight="1" x14ac:dyDescent="0.25">
      <c r="B21" s="30"/>
      <c r="C21" s="33" t="s">
        <v>35</v>
      </c>
      <c r="D21" s="34">
        <v>191</v>
      </c>
      <c r="E21" s="35">
        <v>152</v>
      </c>
      <c r="F21" s="34">
        <v>145</v>
      </c>
      <c r="G21" s="35"/>
      <c r="H21" s="34"/>
      <c r="I21" s="35"/>
      <c r="J21" s="34"/>
      <c r="K21" s="35"/>
      <c r="L21" s="34"/>
      <c r="M21" s="35"/>
      <c r="N21" s="34"/>
      <c r="O21" s="35"/>
      <c r="P21" s="34">
        <f>SUM(毎日[[#This Row],[1 月]:[12 月]])</f>
        <v>488</v>
      </c>
      <c r="Q21" s="36"/>
    </row>
    <row r="22" spans="1:17" ht="15.95" customHeight="1" x14ac:dyDescent="0.25">
      <c r="B22" s="30"/>
      <c r="C22" s="33" t="s">
        <v>36</v>
      </c>
      <c r="D22" s="34">
        <v>200</v>
      </c>
      <c r="E22" s="35">
        <v>200</v>
      </c>
      <c r="F22" s="34">
        <v>200</v>
      </c>
      <c r="G22" s="35"/>
      <c r="H22" s="34"/>
      <c r="I22" s="35"/>
      <c r="J22" s="34"/>
      <c r="K22" s="35"/>
      <c r="L22" s="34"/>
      <c r="M22" s="35"/>
      <c r="N22" s="34"/>
      <c r="O22" s="35"/>
      <c r="P22" s="34">
        <f>SUM(毎日[[#This Row],[1 月]:[12 月]])</f>
        <v>600</v>
      </c>
      <c r="Q22" s="35"/>
    </row>
    <row r="23" spans="1:17" ht="15.95" customHeight="1" x14ac:dyDescent="0.25">
      <c r="B23" s="30"/>
      <c r="C23" s="33" t="s">
        <v>37</v>
      </c>
      <c r="D23" s="34">
        <v>20</v>
      </c>
      <c r="E23" s="35"/>
      <c r="F23" s="34">
        <v>20</v>
      </c>
      <c r="G23" s="35"/>
      <c r="H23" s="34"/>
      <c r="I23" s="35"/>
      <c r="J23" s="34"/>
      <c r="K23" s="35"/>
      <c r="L23" s="34"/>
      <c r="M23" s="35"/>
      <c r="N23" s="34"/>
      <c r="O23" s="35"/>
      <c r="P23" s="34">
        <f>SUM(毎日[[#This Row],[1 月]:[12 月]])</f>
        <v>40</v>
      </c>
      <c r="Q23" s="36"/>
    </row>
    <row r="24" spans="1:17" ht="15.95" customHeight="1" x14ac:dyDescent="0.25">
      <c r="B24" s="30"/>
      <c r="C24" s="33" t="s">
        <v>38</v>
      </c>
      <c r="D24" s="34">
        <v>55</v>
      </c>
      <c r="E24" s="35"/>
      <c r="F24" s="34">
        <v>56</v>
      </c>
      <c r="G24" s="35"/>
      <c r="H24" s="34"/>
      <c r="I24" s="35"/>
      <c r="J24" s="34"/>
      <c r="K24" s="35"/>
      <c r="L24" s="34"/>
      <c r="M24" s="35"/>
      <c r="N24" s="34"/>
      <c r="O24" s="35"/>
      <c r="P24" s="34">
        <f>SUM(毎日[[#This Row],[1 月]:[12 月]])</f>
        <v>111</v>
      </c>
      <c r="Q24" s="35"/>
    </row>
    <row r="25" spans="1:17" ht="15.95" customHeight="1" x14ac:dyDescent="0.25">
      <c r="B25" s="30"/>
      <c r="C25" s="33" t="s">
        <v>39</v>
      </c>
      <c r="D25" s="34">
        <v>25</v>
      </c>
      <c r="E25" s="35">
        <v>17</v>
      </c>
      <c r="F25" s="34">
        <v>7</v>
      </c>
      <c r="G25" s="35"/>
      <c r="H25" s="34"/>
      <c r="I25" s="35"/>
      <c r="J25" s="34"/>
      <c r="K25" s="35"/>
      <c r="L25" s="34"/>
      <c r="M25" s="35"/>
      <c r="N25" s="34"/>
      <c r="O25" s="35"/>
      <c r="P25" s="34">
        <f>SUM(毎日[[#This Row],[1 月]:[12 月]])</f>
        <v>49</v>
      </c>
      <c r="Q25" s="36"/>
    </row>
    <row r="26" spans="1:17" ht="15.95" customHeight="1" x14ac:dyDescent="0.25">
      <c r="A26" s="26"/>
      <c r="B26" s="30"/>
      <c r="C26" s="33" t="s">
        <v>40</v>
      </c>
      <c r="D26" s="34">
        <v>10</v>
      </c>
      <c r="E26" s="35">
        <v>5</v>
      </c>
      <c r="F26" s="34">
        <v>7</v>
      </c>
      <c r="G26" s="35"/>
      <c r="H26" s="34"/>
      <c r="I26" s="35"/>
      <c r="J26" s="34"/>
      <c r="K26" s="35"/>
      <c r="L26" s="34"/>
      <c r="M26" s="35"/>
      <c r="N26" s="34"/>
      <c r="O26" s="35"/>
      <c r="P26" s="34">
        <f>SUM(毎日[[#This Row],[1 月]:[12 月]])</f>
        <v>22</v>
      </c>
      <c r="Q26" s="35"/>
    </row>
    <row r="27" spans="1:17" ht="21" customHeight="1" thickBot="1" x14ac:dyDescent="0.3">
      <c r="B27" s="30"/>
      <c r="C27" s="37" t="s">
        <v>110</v>
      </c>
      <c r="D27" s="38">
        <f>SUBTOTAL(109,毎日[1 月])</f>
        <v>501</v>
      </c>
      <c r="E27" s="39">
        <f>SUBTOTAL(109,毎日[2 月])</f>
        <v>374</v>
      </c>
      <c r="F27" s="38">
        <f>SUBTOTAL(109,毎日[3 月])</f>
        <v>435</v>
      </c>
      <c r="G27" s="39">
        <f>SUBTOTAL(109,毎日[4 月])</f>
        <v>0</v>
      </c>
      <c r="H27" s="38">
        <f>SUBTOTAL(109,毎日[5 月])</f>
        <v>0</v>
      </c>
      <c r="I27" s="39">
        <f>SUBTOTAL(109,毎日[6 月])</f>
        <v>0</v>
      </c>
      <c r="J27" s="38">
        <f>SUBTOTAL(109,毎日[7 月])</f>
        <v>0</v>
      </c>
      <c r="K27" s="39">
        <f>SUBTOTAL(109,毎日[8 月])</f>
        <v>0</v>
      </c>
      <c r="L27" s="38">
        <f>SUBTOTAL(109,毎日[9 月])</f>
        <v>0</v>
      </c>
      <c r="M27" s="39">
        <f>SUBTOTAL(109,毎日[10 月])</f>
        <v>0</v>
      </c>
      <c r="N27" s="38">
        <f>SUBTOTAL(109,毎日[11 月])</f>
        <v>0</v>
      </c>
      <c r="O27" s="39">
        <f>SUBTOTAL(109,毎日[12 月])</f>
        <v>0</v>
      </c>
      <c r="P27" s="38">
        <f>SUBTOTAL(109,毎日[年度])</f>
        <v>1310</v>
      </c>
      <c r="Q27" s="40"/>
    </row>
    <row r="28" spans="1:17" ht="20.100000000000001" customHeight="1" thickTop="1" x14ac:dyDescent="0.25">
      <c r="C28" s="68"/>
      <c r="D28" s="68"/>
      <c r="E28" s="68"/>
      <c r="F28" s="68"/>
      <c r="G28" s="68"/>
      <c r="H28" s="68"/>
      <c r="I28" s="68"/>
      <c r="J28" s="68"/>
      <c r="K28" s="68"/>
      <c r="L28" s="68"/>
      <c r="M28" s="68"/>
      <c r="N28" s="68"/>
      <c r="O28" s="68"/>
      <c r="P28" s="68"/>
      <c r="Q28" s="68"/>
    </row>
    <row r="29" spans="1:17" ht="15.95" customHeight="1" x14ac:dyDescent="0.25">
      <c r="A29" s="7" t="s">
        <v>13</v>
      </c>
      <c r="B29" s="30"/>
      <c r="C29" s="41" t="s">
        <v>41</v>
      </c>
      <c r="D29" s="42" t="s">
        <v>95</v>
      </c>
      <c r="E29" s="14" t="s">
        <v>96</v>
      </c>
      <c r="F29" s="42" t="s">
        <v>97</v>
      </c>
      <c r="G29" s="14" t="s">
        <v>98</v>
      </c>
      <c r="H29" s="42" t="s">
        <v>99</v>
      </c>
      <c r="I29" s="14" t="s">
        <v>100</v>
      </c>
      <c r="J29" s="42" t="s">
        <v>101</v>
      </c>
      <c r="K29" s="14" t="s">
        <v>102</v>
      </c>
      <c r="L29" s="42" t="s">
        <v>103</v>
      </c>
      <c r="M29" s="14" t="s">
        <v>104</v>
      </c>
      <c r="N29" s="42" t="s">
        <v>105</v>
      </c>
      <c r="O29" s="14" t="s">
        <v>106</v>
      </c>
      <c r="P29" s="42" t="s">
        <v>108</v>
      </c>
      <c r="Q29" s="14" t="s">
        <v>109</v>
      </c>
    </row>
    <row r="30" spans="1:17" ht="15.95" customHeight="1" x14ac:dyDescent="0.25">
      <c r="B30" s="30"/>
      <c r="C30" s="43" t="s">
        <v>42</v>
      </c>
      <c r="D30" s="34">
        <v>195</v>
      </c>
      <c r="E30" s="44">
        <v>125</v>
      </c>
      <c r="F30" s="34">
        <v>171</v>
      </c>
      <c r="G30" s="44"/>
      <c r="H30" s="34"/>
      <c r="I30" s="44"/>
      <c r="J30" s="34"/>
      <c r="K30" s="44"/>
      <c r="L30" s="34"/>
      <c r="M30" s="44"/>
      <c r="N30" s="34"/>
      <c r="O30" s="44"/>
      <c r="P30" s="34">
        <f>SUM(交通[[#This Row],[1 月]:[12 月]])</f>
        <v>491</v>
      </c>
      <c r="Q30" s="36"/>
    </row>
    <row r="31" spans="1:17" ht="15.95" customHeight="1" x14ac:dyDescent="0.25">
      <c r="B31" s="30"/>
      <c r="C31" s="43" t="s">
        <v>43</v>
      </c>
      <c r="D31" s="34">
        <v>165</v>
      </c>
      <c r="E31" s="44">
        <v>165</v>
      </c>
      <c r="F31" s="34">
        <v>165</v>
      </c>
      <c r="G31" s="44"/>
      <c r="H31" s="34"/>
      <c r="I31" s="44"/>
      <c r="J31" s="34"/>
      <c r="K31" s="44"/>
      <c r="L31" s="34"/>
      <c r="M31" s="44"/>
      <c r="N31" s="34"/>
      <c r="O31" s="44"/>
      <c r="P31" s="34">
        <f>SUM(交通[[#This Row],[1 月]:[12 月]])</f>
        <v>495</v>
      </c>
      <c r="Q31" s="44"/>
    </row>
    <row r="32" spans="1:17" ht="15.95" customHeight="1" x14ac:dyDescent="0.25">
      <c r="B32" s="30"/>
      <c r="C32" s="43" t="s">
        <v>44</v>
      </c>
      <c r="D32" s="34"/>
      <c r="E32" s="44"/>
      <c r="F32" s="34"/>
      <c r="G32" s="44"/>
      <c r="H32" s="34"/>
      <c r="I32" s="44"/>
      <c r="J32" s="34"/>
      <c r="K32" s="44"/>
      <c r="L32" s="34"/>
      <c r="M32" s="44"/>
      <c r="N32" s="34"/>
      <c r="O32" s="44"/>
      <c r="P32" s="34">
        <f>SUM(交通[[#This Row],[1 月]:[12 月]])</f>
        <v>0</v>
      </c>
      <c r="Q32" s="36"/>
    </row>
    <row r="33" spans="1:17" ht="15.95" customHeight="1" x14ac:dyDescent="0.25">
      <c r="B33" s="30"/>
      <c r="C33" s="43" t="s">
        <v>45</v>
      </c>
      <c r="D33" s="34">
        <v>10</v>
      </c>
      <c r="E33" s="44"/>
      <c r="F33" s="34"/>
      <c r="G33" s="44"/>
      <c r="H33" s="34"/>
      <c r="I33" s="44"/>
      <c r="J33" s="34"/>
      <c r="K33" s="44"/>
      <c r="L33" s="34"/>
      <c r="M33" s="44"/>
      <c r="N33" s="34"/>
      <c r="O33" s="44"/>
      <c r="P33" s="34">
        <f>SUM(交通[[#This Row],[1 月]:[12 月]])</f>
        <v>10</v>
      </c>
      <c r="Q33" s="44"/>
    </row>
    <row r="34" spans="1:17" ht="15.95" customHeight="1" x14ac:dyDescent="0.25">
      <c r="A34" s="26"/>
      <c r="B34" s="30"/>
      <c r="C34" s="43" t="s">
        <v>46</v>
      </c>
      <c r="D34" s="34">
        <v>10</v>
      </c>
      <c r="E34" s="44">
        <v>40</v>
      </c>
      <c r="F34" s="34">
        <v>20</v>
      </c>
      <c r="G34" s="44"/>
      <c r="H34" s="34"/>
      <c r="I34" s="44"/>
      <c r="J34" s="34"/>
      <c r="K34" s="44"/>
      <c r="L34" s="34"/>
      <c r="M34" s="44"/>
      <c r="N34" s="34"/>
      <c r="O34" s="44"/>
      <c r="P34" s="34">
        <f>SUM(交通[[#This Row],[1 月]:[12 月]])</f>
        <v>70</v>
      </c>
      <c r="Q34" s="36"/>
    </row>
    <row r="35" spans="1:17" ht="15.95" customHeight="1" x14ac:dyDescent="0.25">
      <c r="B35" s="30"/>
      <c r="C35" s="43" t="s">
        <v>47</v>
      </c>
      <c r="D35" s="34">
        <v>20</v>
      </c>
      <c r="E35" s="44">
        <v>40</v>
      </c>
      <c r="F35" s="34">
        <v>30</v>
      </c>
      <c r="G35" s="44"/>
      <c r="H35" s="34"/>
      <c r="I35" s="44"/>
      <c r="J35" s="34"/>
      <c r="K35" s="44"/>
      <c r="L35" s="34"/>
      <c r="M35" s="44"/>
      <c r="N35" s="34"/>
      <c r="O35" s="44"/>
      <c r="P35" s="34">
        <f>SUM(交通[[#This Row],[1 月]:[12 月]])</f>
        <v>90</v>
      </c>
      <c r="Q35" s="44"/>
    </row>
    <row r="36" spans="1:17" ht="21" customHeight="1" thickBot="1" x14ac:dyDescent="0.3">
      <c r="B36" s="30"/>
      <c r="C36" s="37" t="s">
        <v>110</v>
      </c>
      <c r="D36" s="38">
        <f>SUBTOTAL(109,交通[1 月])</f>
        <v>400</v>
      </c>
      <c r="E36" s="39">
        <f>SUBTOTAL(109,交通[2 月])</f>
        <v>370</v>
      </c>
      <c r="F36" s="38">
        <f>SUBTOTAL(109,交通[3 月])</f>
        <v>386</v>
      </c>
      <c r="G36" s="39">
        <f>SUBTOTAL(109,交通[4 月])</f>
        <v>0</v>
      </c>
      <c r="H36" s="38">
        <f>SUBTOTAL(109,交通[5 月])</f>
        <v>0</v>
      </c>
      <c r="I36" s="39">
        <f>SUBTOTAL(109,交通[6 月])</f>
        <v>0</v>
      </c>
      <c r="J36" s="38">
        <f>SUBTOTAL(109,交通[7 月])</f>
        <v>0</v>
      </c>
      <c r="K36" s="39">
        <f>SUBTOTAL(109,交通[8 月])</f>
        <v>0</v>
      </c>
      <c r="L36" s="38">
        <f>SUBTOTAL(109,交通[9 月])</f>
        <v>0</v>
      </c>
      <c r="M36" s="39">
        <f>SUBTOTAL(109,交通[10 月])</f>
        <v>0</v>
      </c>
      <c r="N36" s="38">
        <f>SUBTOTAL(109,交通[11 月])</f>
        <v>0</v>
      </c>
      <c r="O36" s="39">
        <f>SUBTOTAL(109,交通[12 月])</f>
        <v>0</v>
      </c>
      <c r="P36" s="38">
        <f>SUBTOTAL(109,交通[年度])</f>
        <v>1156</v>
      </c>
      <c r="Q36" s="40"/>
    </row>
    <row r="37" spans="1:17" ht="20.100000000000001" customHeight="1" thickTop="1" x14ac:dyDescent="0.25">
      <c r="C37" s="68"/>
      <c r="D37" s="68"/>
      <c r="E37" s="68"/>
      <c r="F37" s="68"/>
      <c r="G37" s="68"/>
      <c r="H37" s="68"/>
      <c r="I37" s="68"/>
      <c r="J37" s="68"/>
      <c r="K37" s="68"/>
      <c r="L37" s="68"/>
      <c r="M37" s="68"/>
      <c r="N37" s="68"/>
      <c r="O37" s="68"/>
      <c r="P37" s="68"/>
      <c r="Q37" s="68"/>
    </row>
    <row r="38" spans="1:17" ht="21" customHeight="1" x14ac:dyDescent="0.25">
      <c r="A38" s="5" t="s">
        <v>14</v>
      </c>
      <c r="B38" s="45"/>
      <c r="C38" s="46" t="s">
        <v>48</v>
      </c>
      <c r="D38" s="47" t="s">
        <v>95</v>
      </c>
      <c r="E38" s="14" t="s">
        <v>96</v>
      </c>
      <c r="F38" s="47" t="s">
        <v>97</v>
      </c>
      <c r="G38" s="14" t="s">
        <v>98</v>
      </c>
      <c r="H38" s="47" t="s">
        <v>99</v>
      </c>
      <c r="I38" s="14" t="s">
        <v>100</v>
      </c>
      <c r="J38" s="47" t="s">
        <v>101</v>
      </c>
      <c r="K38" s="14" t="s">
        <v>102</v>
      </c>
      <c r="L38" s="47" t="s">
        <v>103</v>
      </c>
      <c r="M38" s="14" t="s">
        <v>104</v>
      </c>
      <c r="N38" s="47" t="s">
        <v>105</v>
      </c>
      <c r="O38" s="14" t="s">
        <v>106</v>
      </c>
      <c r="P38" s="47" t="s">
        <v>108</v>
      </c>
      <c r="Q38" s="14" t="s">
        <v>109</v>
      </c>
    </row>
    <row r="39" spans="1:17" ht="15.95" customHeight="1" x14ac:dyDescent="0.25">
      <c r="B39" s="45"/>
      <c r="C39" s="43" t="s">
        <v>49</v>
      </c>
      <c r="D39" s="48">
        <v>85</v>
      </c>
      <c r="E39" s="44">
        <v>85</v>
      </c>
      <c r="F39" s="48">
        <v>85</v>
      </c>
      <c r="G39" s="44"/>
      <c r="H39" s="48"/>
      <c r="I39" s="44"/>
      <c r="J39" s="48"/>
      <c r="K39" s="44"/>
      <c r="L39" s="48"/>
      <c r="M39" s="44"/>
      <c r="N39" s="48"/>
      <c r="O39" s="44"/>
      <c r="P39" s="48">
        <f>SUM(娯楽[[#This Row],[1 月]:[12 月]])</f>
        <v>255</v>
      </c>
      <c r="Q39" s="36"/>
    </row>
    <row r="40" spans="1:17" ht="15.95" customHeight="1" x14ac:dyDescent="0.25">
      <c r="A40" s="26"/>
      <c r="B40" s="45"/>
      <c r="C40" s="43" t="s">
        <v>50</v>
      </c>
      <c r="D40" s="48">
        <v>7</v>
      </c>
      <c r="E40" s="44">
        <v>8</v>
      </c>
      <c r="F40" s="48">
        <v>9</v>
      </c>
      <c r="G40" s="44"/>
      <c r="H40" s="48"/>
      <c r="I40" s="44"/>
      <c r="J40" s="48"/>
      <c r="K40" s="44"/>
      <c r="L40" s="48"/>
      <c r="M40" s="44"/>
      <c r="N40" s="48"/>
      <c r="O40" s="44"/>
      <c r="P40" s="48">
        <f>SUM(娯楽[[#This Row],[1 月]:[12 月]])</f>
        <v>24</v>
      </c>
      <c r="Q40" s="44"/>
    </row>
    <row r="41" spans="1:17" ht="15.95" customHeight="1" x14ac:dyDescent="0.25">
      <c r="B41" s="45"/>
      <c r="C41" s="43" t="s">
        <v>51</v>
      </c>
      <c r="D41" s="48">
        <v>9</v>
      </c>
      <c r="E41" s="44">
        <v>5</v>
      </c>
      <c r="F41" s="48">
        <v>9</v>
      </c>
      <c r="G41" s="44"/>
      <c r="H41" s="48"/>
      <c r="I41" s="44"/>
      <c r="J41" s="48"/>
      <c r="K41" s="44"/>
      <c r="L41" s="48"/>
      <c r="M41" s="44"/>
      <c r="N41" s="48"/>
      <c r="O41" s="44"/>
      <c r="P41" s="48">
        <f>SUM(娯楽[[#This Row],[1 月]:[12 月]])</f>
        <v>23</v>
      </c>
      <c r="Q41" s="36"/>
    </row>
    <row r="42" spans="1:17" ht="15.95" customHeight="1" x14ac:dyDescent="0.25">
      <c r="B42" s="45"/>
      <c r="C42" s="43" t="s">
        <v>52</v>
      </c>
      <c r="D42" s="48">
        <v>5</v>
      </c>
      <c r="E42" s="44">
        <v>5</v>
      </c>
      <c r="F42" s="48">
        <v>7</v>
      </c>
      <c r="G42" s="44"/>
      <c r="H42" s="48"/>
      <c r="I42" s="44"/>
      <c r="J42" s="48"/>
      <c r="K42" s="44"/>
      <c r="L42" s="48"/>
      <c r="M42" s="44"/>
      <c r="N42" s="48"/>
      <c r="O42" s="44"/>
      <c r="P42" s="48">
        <f>SUM(娯楽[[#This Row],[1 月]:[12 月]])</f>
        <v>17</v>
      </c>
      <c r="Q42" s="44"/>
    </row>
    <row r="43" spans="1:17" ht="21" customHeight="1" thickBot="1" x14ac:dyDescent="0.3">
      <c r="C43" s="49" t="s">
        <v>110</v>
      </c>
      <c r="D43" s="50">
        <f>SUBTOTAL(109,娯楽[1 月])</f>
        <v>106</v>
      </c>
      <c r="E43" s="39">
        <f>SUBTOTAL(109,娯楽[2 月])</f>
        <v>103</v>
      </c>
      <c r="F43" s="50">
        <f>SUBTOTAL(109,娯楽[3 月])</f>
        <v>110</v>
      </c>
      <c r="G43" s="39">
        <f>SUBTOTAL(109,娯楽[4 月])</f>
        <v>0</v>
      </c>
      <c r="H43" s="50">
        <f>SUBTOTAL(109,娯楽[5 月])</f>
        <v>0</v>
      </c>
      <c r="I43" s="39">
        <f>SUBTOTAL(109,娯楽[6 月])</f>
        <v>0</v>
      </c>
      <c r="J43" s="50">
        <f>SUBTOTAL(109,娯楽[7 月])</f>
        <v>0</v>
      </c>
      <c r="K43" s="39">
        <f>SUBTOTAL(109,娯楽[8 月])</f>
        <v>0</v>
      </c>
      <c r="L43" s="50">
        <f>SUBTOTAL(109,娯楽[9 月])</f>
        <v>0</v>
      </c>
      <c r="M43" s="39">
        <f>SUBTOTAL(109,娯楽[10 月])</f>
        <v>0</v>
      </c>
      <c r="N43" s="50">
        <f>SUBTOTAL(109,娯楽[11 月])</f>
        <v>0</v>
      </c>
      <c r="O43" s="39">
        <f>SUBTOTAL(109,娯楽[12 月])</f>
        <v>0</v>
      </c>
      <c r="P43" s="50">
        <f>SUBTOTAL(109,娯楽[年度])</f>
        <v>319</v>
      </c>
      <c r="Q43" s="40"/>
    </row>
    <row r="44" spans="1:17" ht="20.100000000000001" customHeight="1" thickTop="1" x14ac:dyDescent="0.25">
      <c r="C44" s="68"/>
      <c r="D44" s="68"/>
      <c r="E44" s="68"/>
      <c r="F44" s="68"/>
      <c r="G44" s="68"/>
      <c r="H44" s="68"/>
      <c r="I44" s="68"/>
      <c r="J44" s="68"/>
      <c r="K44" s="68"/>
      <c r="L44" s="68"/>
      <c r="M44" s="68"/>
      <c r="N44" s="68"/>
      <c r="O44" s="68"/>
      <c r="P44" s="68"/>
      <c r="Q44" s="68"/>
    </row>
    <row r="45" spans="1:17" ht="21" customHeight="1" x14ac:dyDescent="0.25">
      <c r="A45" s="5" t="s">
        <v>15</v>
      </c>
      <c r="B45" s="45"/>
      <c r="C45" s="46" t="s">
        <v>53</v>
      </c>
      <c r="D45" s="47" t="s">
        <v>95</v>
      </c>
      <c r="E45" s="14" t="s">
        <v>96</v>
      </c>
      <c r="F45" s="47" t="s">
        <v>97</v>
      </c>
      <c r="G45" s="14" t="s">
        <v>98</v>
      </c>
      <c r="H45" s="47" t="s">
        <v>99</v>
      </c>
      <c r="I45" s="14" t="s">
        <v>100</v>
      </c>
      <c r="J45" s="47" t="s">
        <v>101</v>
      </c>
      <c r="K45" s="14" t="s">
        <v>102</v>
      </c>
      <c r="L45" s="47" t="s">
        <v>103</v>
      </c>
      <c r="M45" s="14" t="s">
        <v>104</v>
      </c>
      <c r="N45" s="47" t="s">
        <v>105</v>
      </c>
      <c r="O45" s="14" t="s">
        <v>106</v>
      </c>
      <c r="P45" s="47" t="s">
        <v>108</v>
      </c>
      <c r="Q45" s="14" t="s">
        <v>109</v>
      </c>
    </row>
    <row r="46" spans="1:17" ht="15.95" customHeight="1" x14ac:dyDescent="0.25">
      <c r="B46" s="45"/>
      <c r="C46" s="43" t="s">
        <v>54</v>
      </c>
      <c r="D46" s="48">
        <v>50</v>
      </c>
      <c r="E46" s="44">
        <v>50</v>
      </c>
      <c r="F46" s="48">
        <v>50</v>
      </c>
      <c r="G46" s="44"/>
      <c r="H46" s="48"/>
      <c r="I46" s="44"/>
      <c r="J46" s="48"/>
      <c r="K46" s="44"/>
      <c r="L46" s="48"/>
      <c r="M46" s="44"/>
      <c r="N46" s="48"/>
      <c r="O46" s="44"/>
      <c r="P46" s="48">
        <f>SUM(医療保険[[#This Row],[1 月]:[12 月]])</f>
        <v>150</v>
      </c>
      <c r="Q46" s="44"/>
    </row>
    <row r="47" spans="1:17" ht="15.95" customHeight="1" x14ac:dyDescent="0.25">
      <c r="B47" s="45"/>
      <c r="C47" s="43" t="s">
        <v>43</v>
      </c>
      <c r="D47" s="48">
        <v>225</v>
      </c>
      <c r="E47" s="44">
        <v>225</v>
      </c>
      <c r="F47" s="48">
        <v>225</v>
      </c>
      <c r="G47" s="44"/>
      <c r="H47" s="48"/>
      <c r="I47" s="44"/>
      <c r="J47" s="48"/>
      <c r="K47" s="44"/>
      <c r="L47" s="48"/>
      <c r="M47" s="44"/>
      <c r="N47" s="48"/>
      <c r="O47" s="44"/>
      <c r="P47" s="48">
        <f>SUM(医療保険[[#This Row],[1 月]:[12 月]])</f>
        <v>675</v>
      </c>
      <c r="Q47" s="36"/>
    </row>
    <row r="48" spans="1:17" ht="15.95" customHeight="1" x14ac:dyDescent="0.25">
      <c r="B48" s="45"/>
      <c r="C48" s="43" t="s">
        <v>55</v>
      </c>
      <c r="D48" s="48">
        <v>100</v>
      </c>
      <c r="E48" s="44">
        <v>100</v>
      </c>
      <c r="F48" s="48">
        <v>100</v>
      </c>
      <c r="G48" s="44"/>
      <c r="H48" s="48"/>
      <c r="I48" s="44"/>
      <c r="J48" s="48"/>
      <c r="K48" s="44"/>
      <c r="L48" s="48"/>
      <c r="M48" s="44"/>
      <c r="N48" s="48"/>
      <c r="O48" s="44"/>
      <c r="P48" s="48">
        <f>SUM(医療保険[[#This Row],[1 月]:[12 月]])</f>
        <v>300</v>
      </c>
      <c r="Q48" s="44"/>
    </row>
    <row r="49" spans="1:17" ht="15.95" customHeight="1" x14ac:dyDescent="0.25">
      <c r="A49" s="26"/>
      <c r="C49" s="51" t="s">
        <v>56</v>
      </c>
      <c r="D49" s="48">
        <v>6</v>
      </c>
      <c r="E49" s="44">
        <v>2</v>
      </c>
      <c r="F49" s="48">
        <v>9</v>
      </c>
      <c r="G49" s="44"/>
      <c r="H49" s="48"/>
      <c r="I49" s="44"/>
      <c r="J49" s="48"/>
      <c r="K49" s="44"/>
      <c r="L49" s="48"/>
      <c r="M49" s="44"/>
      <c r="N49" s="48"/>
      <c r="O49" s="44"/>
      <c r="P49" s="48">
        <f>SUM(医療保険[[#This Row],[1 月]:[12 月]])</f>
        <v>17</v>
      </c>
      <c r="Q49" s="36"/>
    </row>
    <row r="50" spans="1:17" ht="15.95" customHeight="1" x14ac:dyDescent="0.25">
      <c r="B50" s="45"/>
      <c r="C50" s="51" t="s">
        <v>57</v>
      </c>
      <c r="D50" s="48">
        <v>20</v>
      </c>
      <c r="E50" s="44"/>
      <c r="F50" s="48">
        <v>41</v>
      </c>
      <c r="G50" s="44"/>
      <c r="H50" s="48"/>
      <c r="I50" s="44"/>
      <c r="J50" s="48"/>
      <c r="K50" s="44"/>
      <c r="L50" s="48"/>
      <c r="M50" s="44"/>
      <c r="N50" s="48"/>
      <c r="O50" s="44"/>
      <c r="P50" s="48">
        <f>SUM(医療保険[[#This Row],[1 月]:[12 月]])</f>
        <v>61</v>
      </c>
      <c r="Q50" s="44"/>
    </row>
    <row r="51" spans="1:17" ht="15.95" customHeight="1" x14ac:dyDescent="0.25">
      <c r="B51" s="45"/>
      <c r="C51" s="43" t="s">
        <v>58</v>
      </c>
      <c r="D51" s="48">
        <v>4</v>
      </c>
      <c r="E51" s="44"/>
      <c r="F51" s="48">
        <v>25</v>
      </c>
      <c r="G51" s="44"/>
      <c r="H51" s="48"/>
      <c r="I51" s="44"/>
      <c r="J51" s="48"/>
      <c r="K51" s="44"/>
      <c r="L51" s="48"/>
      <c r="M51" s="44"/>
      <c r="N51" s="48"/>
      <c r="O51" s="44"/>
      <c r="P51" s="48">
        <f>SUM(医療保険[[#This Row],[1 月]:[12 月]])</f>
        <v>29</v>
      </c>
      <c r="Q51" s="36"/>
    </row>
    <row r="52" spans="1:17" ht="15.95" customHeight="1" x14ac:dyDescent="0.25">
      <c r="B52" s="45"/>
      <c r="C52" s="43" t="s">
        <v>59</v>
      </c>
      <c r="D52" s="48">
        <v>55</v>
      </c>
      <c r="E52" s="44">
        <v>55</v>
      </c>
      <c r="F52" s="48">
        <v>55</v>
      </c>
      <c r="G52" s="44"/>
      <c r="H52" s="48"/>
      <c r="I52" s="44"/>
      <c r="J52" s="48"/>
      <c r="K52" s="44"/>
      <c r="L52" s="48"/>
      <c r="M52" s="44"/>
      <c r="N52" s="48"/>
      <c r="O52" s="44"/>
      <c r="P52" s="48">
        <f>SUM(医療保険[[#This Row],[1 月]:[12 月]])</f>
        <v>165</v>
      </c>
      <c r="Q52" s="44"/>
    </row>
    <row r="53" spans="1:17" ht="21" customHeight="1" thickBot="1" x14ac:dyDescent="0.3">
      <c r="B53" s="45"/>
      <c r="C53" s="49" t="s">
        <v>110</v>
      </c>
      <c r="D53" s="50">
        <f>SUBTOTAL(109,医療保険[1 月])</f>
        <v>460</v>
      </c>
      <c r="E53" s="39">
        <f>SUBTOTAL(109,医療保険[2 月])</f>
        <v>432</v>
      </c>
      <c r="F53" s="50">
        <f>SUBTOTAL(109,医療保険[3 月])</f>
        <v>505</v>
      </c>
      <c r="G53" s="39">
        <f>SUBTOTAL(109,医療保険[4 月])</f>
        <v>0</v>
      </c>
      <c r="H53" s="50">
        <f>SUBTOTAL(109,医療保険[5 月])</f>
        <v>0</v>
      </c>
      <c r="I53" s="39">
        <f>SUBTOTAL(109,医療保険[6 月])</f>
        <v>0</v>
      </c>
      <c r="J53" s="50">
        <f>SUBTOTAL(109,医療保険[7 月])</f>
        <v>0</v>
      </c>
      <c r="K53" s="39">
        <f>SUBTOTAL(109,医療保険[8 月])</f>
        <v>0</v>
      </c>
      <c r="L53" s="50">
        <f>SUBTOTAL(109,医療保険[9 月])</f>
        <v>0</v>
      </c>
      <c r="M53" s="39">
        <f>SUBTOTAL(109,医療保険[10 月])</f>
        <v>0</v>
      </c>
      <c r="N53" s="50">
        <f>SUBTOTAL(109,医療保険[11 月])</f>
        <v>0</v>
      </c>
      <c r="O53" s="39">
        <f>SUBTOTAL(109,医療保険[12 月])</f>
        <v>0</v>
      </c>
      <c r="P53" s="50">
        <f>SUBTOTAL(109,医療保険[年度])</f>
        <v>1397</v>
      </c>
      <c r="Q53" s="40"/>
    </row>
    <row r="54" spans="1:17" ht="20.100000000000001" customHeight="1" thickTop="1" x14ac:dyDescent="0.25">
      <c r="C54" s="68"/>
      <c r="D54" s="68"/>
      <c r="E54" s="68"/>
      <c r="F54" s="68"/>
      <c r="G54" s="68"/>
      <c r="H54" s="68"/>
      <c r="I54" s="68"/>
      <c r="J54" s="68"/>
      <c r="K54" s="68"/>
      <c r="L54" s="68"/>
      <c r="M54" s="68"/>
      <c r="N54" s="68"/>
      <c r="O54" s="68"/>
      <c r="P54" s="68"/>
      <c r="Q54" s="68"/>
    </row>
    <row r="55" spans="1:17" ht="21" customHeight="1" x14ac:dyDescent="0.25">
      <c r="A55" s="5" t="s">
        <v>16</v>
      </c>
      <c r="B55" s="30"/>
      <c r="C55" s="41" t="s">
        <v>60</v>
      </c>
      <c r="D55" s="52" t="s">
        <v>95</v>
      </c>
      <c r="E55" s="14" t="s">
        <v>96</v>
      </c>
      <c r="F55" s="52" t="s">
        <v>97</v>
      </c>
      <c r="G55" s="14" t="s">
        <v>98</v>
      </c>
      <c r="H55" s="52" t="s">
        <v>99</v>
      </c>
      <c r="I55" s="14" t="s">
        <v>100</v>
      </c>
      <c r="J55" s="52" t="s">
        <v>101</v>
      </c>
      <c r="K55" s="14" t="s">
        <v>102</v>
      </c>
      <c r="L55" s="52" t="s">
        <v>103</v>
      </c>
      <c r="M55" s="14" t="s">
        <v>104</v>
      </c>
      <c r="N55" s="52" t="s">
        <v>105</v>
      </c>
      <c r="O55" s="14" t="s">
        <v>106</v>
      </c>
      <c r="P55" s="52" t="s">
        <v>108</v>
      </c>
      <c r="Q55" s="14" t="s">
        <v>109</v>
      </c>
    </row>
    <row r="56" spans="1:17" ht="15.95" customHeight="1" x14ac:dyDescent="0.25">
      <c r="B56" s="30"/>
      <c r="C56" s="43" t="s">
        <v>61</v>
      </c>
      <c r="D56" s="34"/>
      <c r="E56" s="44">
        <v>485</v>
      </c>
      <c r="F56" s="34"/>
      <c r="G56" s="44"/>
      <c r="H56" s="34"/>
      <c r="I56" s="44"/>
      <c r="J56" s="34"/>
      <c r="K56" s="44"/>
      <c r="L56" s="34"/>
      <c r="M56" s="44"/>
      <c r="N56" s="34"/>
      <c r="O56" s="44"/>
      <c r="P56" s="34">
        <f>SUM(休暇[[#This Row],[1 月]:[12 月]])</f>
        <v>485</v>
      </c>
      <c r="Q56" s="36"/>
    </row>
    <row r="57" spans="1:17" ht="15.95" customHeight="1" x14ac:dyDescent="0.25">
      <c r="C57" s="53" t="s">
        <v>62</v>
      </c>
      <c r="D57" s="34"/>
      <c r="E57" s="44">
        <v>245</v>
      </c>
      <c r="F57" s="34"/>
      <c r="G57" s="44"/>
      <c r="H57" s="34"/>
      <c r="I57" s="44"/>
      <c r="J57" s="34"/>
      <c r="K57" s="44"/>
      <c r="L57" s="34"/>
      <c r="M57" s="44"/>
      <c r="N57" s="34"/>
      <c r="O57" s="44"/>
      <c r="P57" s="34">
        <f>SUM(休暇[[#This Row],[1 月]:[12 月]])</f>
        <v>245</v>
      </c>
      <c r="Q57" s="44"/>
    </row>
    <row r="58" spans="1:17" ht="15.95" customHeight="1" x14ac:dyDescent="0.25">
      <c r="B58" s="30"/>
      <c r="C58" s="43" t="s">
        <v>63</v>
      </c>
      <c r="D58" s="34"/>
      <c r="E58" s="44">
        <v>95</v>
      </c>
      <c r="F58" s="34"/>
      <c r="G58" s="44"/>
      <c r="H58" s="34"/>
      <c r="I58" s="44"/>
      <c r="J58" s="34"/>
      <c r="K58" s="44"/>
      <c r="L58" s="34"/>
      <c r="M58" s="44"/>
      <c r="N58" s="34"/>
      <c r="O58" s="44"/>
      <c r="P58" s="34">
        <f>SUM(休暇[[#This Row],[1 月]:[12 月]])</f>
        <v>95</v>
      </c>
      <c r="Q58" s="36"/>
    </row>
    <row r="59" spans="1:17" ht="15.95" customHeight="1" x14ac:dyDescent="0.25">
      <c r="B59" s="30"/>
      <c r="C59" s="43" t="s">
        <v>64</v>
      </c>
      <c r="D59" s="34"/>
      <c r="E59" s="44"/>
      <c r="F59" s="34"/>
      <c r="G59" s="44"/>
      <c r="H59" s="34"/>
      <c r="I59" s="44"/>
      <c r="J59" s="34"/>
      <c r="K59" s="44"/>
      <c r="L59" s="34"/>
      <c r="M59" s="44"/>
      <c r="N59" s="34"/>
      <c r="O59" s="44"/>
      <c r="P59" s="34">
        <f>SUM(休暇[[#This Row],[1 月]:[12 月]])</f>
        <v>0</v>
      </c>
      <c r="Q59" s="44"/>
    </row>
    <row r="60" spans="1:17" ht="15.95" customHeight="1" x14ac:dyDescent="0.25">
      <c r="B60" s="30"/>
      <c r="C60" s="43" t="s">
        <v>65</v>
      </c>
      <c r="D60" s="34"/>
      <c r="E60" s="44"/>
      <c r="F60" s="34"/>
      <c r="G60" s="44"/>
      <c r="H60" s="34"/>
      <c r="I60" s="44"/>
      <c r="J60" s="34"/>
      <c r="K60" s="44"/>
      <c r="L60" s="34"/>
      <c r="M60" s="44"/>
      <c r="N60" s="34"/>
      <c r="O60" s="44"/>
      <c r="P60" s="34">
        <f>SUM(休暇[[#This Row],[1 月]:[12 月]])</f>
        <v>0</v>
      </c>
      <c r="Q60" s="36"/>
    </row>
    <row r="61" spans="1:17" ht="15.95" customHeight="1" x14ac:dyDescent="0.25">
      <c r="B61" s="30"/>
      <c r="C61" s="43" t="s">
        <v>66</v>
      </c>
      <c r="D61" s="34"/>
      <c r="E61" s="44">
        <v>85</v>
      </c>
      <c r="F61" s="34"/>
      <c r="G61" s="44"/>
      <c r="H61" s="34"/>
      <c r="I61" s="44"/>
      <c r="J61" s="34"/>
      <c r="K61" s="44"/>
      <c r="L61" s="34"/>
      <c r="M61" s="44"/>
      <c r="N61" s="34"/>
      <c r="O61" s="44"/>
      <c r="P61" s="34">
        <f>SUM(休暇[[#This Row],[1 月]:[12 月]])</f>
        <v>85</v>
      </c>
      <c r="Q61" s="44"/>
    </row>
    <row r="62" spans="1:17" ht="21" customHeight="1" thickBot="1" x14ac:dyDescent="0.3">
      <c r="B62" s="30"/>
      <c r="C62" s="37" t="s">
        <v>110</v>
      </c>
      <c r="D62" s="38">
        <f>SUBTOTAL(109,休暇[1 月])</f>
        <v>0</v>
      </c>
      <c r="E62" s="39">
        <f>SUBTOTAL(109,休暇[2 月])</f>
        <v>910</v>
      </c>
      <c r="F62" s="38">
        <f>SUBTOTAL(109,休暇[3 月])</f>
        <v>0</v>
      </c>
      <c r="G62" s="39">
        <f>SUBTOTAL(109,休暇[4 月])</f>
        <v>0</v>
      </c>
      <c r="H62" s="38">
        <f>SUBTOTAL(109,休暇[5 月])</f>
        <v>0</v>
      </c>
      <c r="I62" s="39">
        <f>SUBTOTAL(109,休暇[6 月])</f>
        <v>0</v>
      </c>
      <c r="J62" s="38">
        <f>SUBTOTAL(109,休暇[7 月])</f>
        <v>0</v>
      </c>
      <c r="K62" s="39">
        <f>SUBTOTAL(109,休暇[8 月])</f>
        <v>0</v>
      </c>
      <c r="L62" s="38">
        <f>SUBTOTAL(109,休暇[9 月])</f>
        <v>0</v>
      </c>
      <c r="M62" s="39">
        <f>SUBTOTAL(109,休暇[10 月])</f>
        <v>0</v>
      </c>
      <c r="N62" s="38">
        <f>SUBTOTAL(109,休暇[11 月])</f>
        <v>0</v>
      </c>
      <c r="O62" s="39">
        <f>SUBTOTAL(109,休暇[12 月])</f>
        <v>0</v>
      </c>
      <c r="P62" s="38">
        <f>SUBTOTAL(109,休暇[年度])</f>
        <v>910</v>
      </c>
      <c r="Q62" s="40"/>
    </row>
    <row r="63" spans="1:17" ht="20.100000000000001" customHeight="1" thickTop="1" x14ac:dyDescent="0.25">
      <c r="C63" s="68"/>
      <c r="D63" s="68"/>
      <c r="E63" s="68"/>
      <c r="F63" s="68"/>
      <c r="G63" s="68"/>
      <c r="H63" s="68"/>
      <c r="I63" s="68"/>
      <c r="J63" s="68"/>
      <c r="K63" s="68"/>
      <c r="L63" s="68"/>
      <c r="M63" s="68"/>
      <c r="N63" s="68"/>
      <c r="O63" s="68"/>
      <c r="P63" s="68"/>
      <c r="Q63" s="68"/>
    </row>
    <row r="64" spans="1:17" ht="21" customHeight="1" x14ac:dyDescent="0.25">
      <c r="A64" s="5" t="s">
        <v>17</v>
      </c>
      <c r="B64" s="30"/>
      <c r="C64" s="41" t="s">
        <v>67</v>
      </c>
      <c r="D64" s="54" t="s">
        <v>95</v>
      </c>
      <c r="E64" s="55" t="s">
        <v>96</v>
      </c>
      <c r="F64" s="54" t="s">
        <v>97</v>
      </c>
      <c r="G64" s="55" t="s">
        <v>98</v>
      </c>
      <c r="H64" s="54" t="s">
        <v>99</v>
      </c>
      <c r="I64" s="55" t="s">
        <v>100</v>
      </c>
      <c r="J64" s="54" t="s">
        <v>101</v>
      </c>
      <c r="K64" s="55" t="s">
        <v>102</v>
      </c>
      <c r="L64" s="54" t="s">
        <v>103</v>
      </c>
      <c r="M64" s="55" t="s">
        <v>104</v>
      </c>
      <c r="N64" s="54" t="s">
        <v>105</v>
      </c>
      <c r="O64" s="55" t="s">
        <v>106</v>
      </c>
      <c r="P64" s="54" t="s">
        <v>108</v>
      </c>
      <c r="Q64" s="55" t="s">
        <v>109</v>
      </c>
    </row>
    <row r="65" spans="1:17" ht="15.95" customHeight="1" x14ac:dyDescent="0.25">
      <c r="B65" s="30"/>
      <c r="C65" s="43" t="s">
        <v>68</v>
      </c>
      <c r="D65" s="34"/>
      <c r="E65" s="44"/>
      <c r="F65" s="34"/>
      <c r="G65" s="44"/>
      <c r="H65" s="34"/>
      <c r="I65" s="44"/>
      <c r="J65" s="34"/>
      <c r="K65" s="44"/>
      <c r="L65" s="34"/>
      <c r="M65" s="44"/>
      <c r="N65" s="34"/>
      <c r="O65" s="44"/>
      <c r="P65" s="34">
        <f>SUM(レクリエーション[[#This Row],[1 月]:[12 月]])</f>
        <v>0</v>
      </c>
      <c r="Q65" s="36"/>
    </row>
    <row r="66" spans="1:17" ht="15.95" customHeight="1" x14ac:dyDescent="0.25">
      <c r="B66" s="30"/>
      <c r="C66" s="43" t="s">
        <v>69</v>
      </c>
      <c r="D66" s="34"/>
      <c r="E66" s="44"/>
      <c r="F66" s="34"/>
      <c r="G66" s="44"/>
      <c r="H66" s="34"/>
      <c r="I66" s="44"/>
      <c r="J66" s="34"/>
      <c r="K66" s="44"/>
      <c r="L66" s="34"/>
      <c r="M66" s="44"/>
      <c r="N66" s="34"/>
      <c r="O66" s="44"/>
      <c r="P66" s="34">
        <f>SUM(レクリエーション[[#This Row],[1 月]:[12 月]])</f>
        <v>0</v>
      </c>
      <c r="Q66" s="44"/>
    </row>
    <row r="67" spans="1:17" ht="15.95" customHeight="1" x14ac:dyDescent="0.25">
      <c r="B67" s="30"/>
      <c r="C67" s="43" t="s">
        <v>70</v>
      </c>
      <c r="D67" s="34"/>
      <c r="E67" s="44"/>
      <c r="F67" s="34"/>
      <c r="G67" s="44"/>
      <c r="H67" s="34"/>
      <c r="I67" s="44"/>
      <c r="J67" s="34"/>
      <c r="K67" s="44"/>
      <c r="L67" s="34"/>
      <c r="M67" s="44"/>
      <c r="N67" s="34"/>
      <c r="O67" s="44"/>
      <c r="P67" s="34">
        <f>SUM(レクリエーション[[#This Row],[1 月]:[12 月]])</f>
        <v>0</v>
      </c>
      <c r="Q67" s="36"/>
    </row>
    <row r="68" spans="1:17" ht="15.95" customHeight="1" x14ac:dyDescent="0.25">
      <c r="B68" s="30"/>
      <c r="C68" s="43" t="s">
        <v>71</v>
      </c>
      <c r="D68" s="34">
        <v>39</v>
      </c>
      <c r="E68" s="44">
        <v>33</v>
      </c>
      <c r="F68" s="34">
        <v>40</v>
      </c>
      <c r="G68" s="44"/>
      <c r="H68" s="34"/>
      <c r="I68" s="44"/>
      <c r="J68" s="34"/>
      <c r="K68" s="44"/>
      <c r="L68" s="34"/>
      <c r="M68" s="44"/>
      <c r="N68" s="34"/>
      <c r="O68" s="44"/>
      <c r="P68" s="34">
        <f>SUM(レクリエーション[[#This Row],[1 月]:[12 月]])</f>
        <v>112</v>
      </c>
      <c r="Q68" s="44"/>
    </row>
    <row r="69" spans="1:17" ht="21" customHeight="1" thickBot="1" x14ac:dyDescent="0.3">
      <c r="B69" s="30"/>
      <c r="C69" s="37" t="s">
        <v>110</v>
      </c>
      <c r="D69" s="38">
        <f>SUBTOTAL(109,レクリエーション[1 月])</f>
        <v>39</v>
      </c>
      <c r="E69" s="39">
        <f>SUBTOTAL(109,レクリエーション[2 月])</f>
        <v>33</v>
      </c>
      <c r="F69" s="38">
        <f>SUBTOTAL(109,レクリエーション[3 月])</f>
        <v>40</v>
      </c>
      <c r="G69" s="39">
        <f>SUBTOTAL(109,レクリエーション[4 月])</f>
        <v>0</v>
      </c>
      <c r="H69" s="38">
        <f>SUBTOTAL(109,レクリエーション[5 月])</f>
        <v>0</v>
      </c>
      <c r="I69" s="39">
        <f>SUBTOTAL(109,レクリエーション[6 月])</f>
        <v>0</v>
      </c>
      <c r="J69" s="38">
        <f>SUBTOTAL(109,レクリエーション[7 月])</f>
        <v>0</v>
      </c>
      <c r="K69" s="39">
        <f>SUBTOTAL(109,レクリエーション[8 月])</f>
        <v>0</v>
      </c>
      <c r="L69" s="38">
        <f>SUBTOTAL(109,レクリエーション[9 月])</f>
        <v>0</v>
      </c>
      <c r="M69" s="39">
        <f>SUBTOTAL(109,レクリエーション[10 月])</f>
        <v>0</v>
      </c>
      <c r="N69" s="38">
        <f>SUBTOTAL(109,レクリエーション[11 月])</f>
        <v>0</v>
      </c>
      <c r="O69" s="39">
        <f>SUBTOTAL(109,レクリエーション[12 月])</f>
        <v>0</v>
      </c>
      <c r="P69" s="38">
        <f>SUBTOTAL(109,レクリエーション[年度])</f>
        <v>112</v>
      </c>
      <c r="Q69" s="40"/>
    </row>
    <row r="70" spans="1:17" ht="20.100000000000001" customHeight="1" thickTop="1" x14ac:dyDescent="0.25">
      <c r="C70" s="68"/>
      <c r="D70" s="68"/>
      <c r="E70" s="68"/>
      <c r="F70" s="68"/>
      <c r="G70" s="68"/>
      <c r="H70" s="68"/>
      <c r="I70" s="68"/>
      <c r="J70" s="68"/>
      <c r="K70" s="68"/>
      <c r="L70" s="68"/>
      <c r="M70" s="68"/>
      <c r="N70" s="68"/>
      <c r="O70" s="68"/>
      <c r="P70" s="68"/>
      <c r="Q70" s="68"/>
    </row>
    <row r="71" spans="1:17" ht="21" customHeight="1" x14ac:dyDescent="0.25">
      <c r="A71" s="5" t="s">
        <v>18</v>
      </c>
      <c r="B71" s="45"/>
      <c r="C71" s="46" t="s">
        <v>72</v>
      </c>
      <c r="D71" s="56" t="s">
        <v>95</v>
      </c>
      <c r="E71" s="55" t="s">
        <v>96</v>
      </c>
      <c r="F71" s="56" t="s">
        <v>97</v>
      </c>
      <c r="G71" s="55" t="s">
        <v>98</v>
      </c>
      <c r="H71" s="56" t="s">
        <v>99</v>
      </c>
      <c r="I71" s="55" t="s">
        <v>100</v>
      </c>
      <c r="J71" s="56" t="s">
        <v>101</v>
      </c>
      <c r="K71" s="55" t="s">
        <v>102</v>
      </c>
      <c r="L71" s="56" t="s">
        <v>103</v>
      </c>
      <c r="M71" s="55" t="s">
        <v>104</v>
      </c>
      <c r="N71" s="56" t="s">
        <v>105</v>
      </c>
      <c r="O71" s="55" t="s">
        <v>106</v>
      </c>
      <c r="P71" s="56" t="s">
        <v>108</v>
      </c>
      <c r="Q71" s="55" t="s">
        <v>109</v>
      </c>
    </row>
    <row r="72" spans="1:17" ht="15.95" customHeight="1" x14ac:dyDescent="0.25">
      <c r="C72" s="51" t="s">
        <v>73</v>
      </c>
      <c r="D72" s="48"/>
      <c r="E72" s="44"/>
      <c r="F72" s="48"/>
      <c r="G72" s="44"/>
      <c r="H72" s="48"/>
      <c r="I72" s="44"/>
      <c r="J72" s="48"/>
      <c r="K72" s="44"/>
      <c r="L72" s="48"/>
      <c r="M72" s="44"/>
      <c r="N72" s="48"/>
      <c r="O72" s="44"/>
      <c r="P72" s="48">
        <f>SUM(会費と購読料[[#This Row],[1 月]:[12 月]])</f>
        <v>0</v>
      </c>
      <c r="Q72" s="44"/>
    </row>
    <row r="73" spans="1:17" ht="15.95" customHeight="1" x14ac:dyDescent="0.25">
      <c r="B73" s="45"/>
      <c r="C73" s="43" t="s">
        <v>74</v>
      </c>
      <c r="D73" s="48"/>
      <c r="E73" s="44"/>
      <c r="F73" s="48"/>
      <c r="G73" s="44"/>
      <c r="H73" s="48"/>
      <c r="I73" s="44"/>
      <c r="J73" s="48"/>
      <c r="K73" s="44"/>
      <c r="L73" s="48"/>
      <c r="M73" s="44"/>
      <c r="N73" s="48"/>
      <c r="O73" s="44"/>
      <c r="P73" s="48">
        <f>SUM(会費と購読料[[#This Row],[1 月]:[12 月]])</f>
        <v>0</v>
      </c>
      <c r="Q73" s="36"/>
    </row>
    <row r="74" spans="1:17" ht="15.95" customHeight="1" x14ac:dyDescent="0.25">
      <c r="B74" s="45"/>
      <c r="C74" s="43" t="s">
        <v>75</v>
      </c>
      <c r="D74" s="48"/>
      <c r="E74" s="44"/>
      <c r="F74" s="48"/>
      <c r="G74" s="44"/>
      <c r="H74" s="48"/>
      <c r="I74" s="44"/>
      <c r="J74" s="48"/>
      <c r="K74" s="44"/>
      <c r="L74" s="48"/>
      <c r="M74" s="44"/>
      <c r="N74" s="48"/>
      <c r="O74" s="44"/>
      <c r="P74" s="48">
        <f>SUM(会費と購読料[[#This Row],[1 月]:[12 月]])</f>
        <v>0</v>
      </c>
      <c r="Q74" s="44"/>
    </row>
    <row r="75" spans="1:17" ht="15.95" customHeight="1" x14ac:dyDescent="0.25">
      <c r="B75" s="45"/>
      <c r="C75" s="43" t="s">
        <v>76</v>
      </c>
      <c r="D75" s="48"/>
      <c r="E75" s="44"/>
      <c r="F75" s="48"/>
      <c r="G75" s="44"/>
      <c r="H75" s="48"/>
      <c r="I75" s="44"/>
      <c r="J75" s="48"/>
      <c r="K75" s="44"/>
      <c r="L75" s="48"/>
      <c r="M75" s="44"/>
      <c r="N75" s="48"/>
      <c r="O75" s="44"/>
      <c r="P75" s="48">
        <f>SUM(会費と購読料[[#This Row],[1 月]:[12 月]])</f>
        <v>0</v>
      </c>
      <c r="Q75" s="36"/>
    </row>
    <row r="76" spans="1:17" ht="15.95" customHeight="1" x14ac:dyDescent="0.25">
      <c r="B76" s="45"/>
      <c r="C76" s="43" t="s">
        <v>77</v>
      </c>
      <c r="D76" s="48"/>
      <c r="E76" s="44"/>
      <c r="F76" s="48"/>
      <c r="G76" s="44"/>
      <c r="H76" s="48"/>
      <c r="I76" s="44"/>
      <c r="J76" s="48"/>
      <c r="K76" s="44"/>
      <c r="L76" s="48"/>
      <c r="M76" s="44"/>
      <c r="N76" s="48"/>
      <c r="O76" s="44"/>
      <c r="P76" s="48">
        <f>SUM(会費と購読料[[#This Row],[1 月]:[12 月]])</f>
        <v>0</v>
      </c>
      <c r="Q76" s="44"/>
    </row>
    <row r="77" spans="1:17" ht="15.95" customHeight="1" x14ac:dyDescent="0.25">
      <c r="B77" s="45"/>
      <c r="C77" s="43" t="s">
        <v>78</v>
      </c>
      <c r="D77" s="48">
        <v>29</v>
      </c>
      <c r="E77" s="44">
        <v>18</v>
      </c>
      <c r="F77" s="48">
        <v>17</v>
      </c>
      <c r="G77" s="44"/>
      <c r="H77" s="48"/>
      <c r="I77" s="44"/>
      <c r="J77" s="48"/>
      <c r="K77" s="44"/>
      <c r="L77" s="48"/>
      <c r="M77" s="44"/>
      <c r="N77" s="48"/>
      <c r="O77" s="44"/>
      <c r="P77" s="48">
        <f>SUM(会費と購読料[[#This Row],[1 月]:[12 月]])</f>
        <v>64</v>
      </c>
      <c r="Q77" s="36"/>
    </row>
    <row r="78" spans="1:17" ht="15.95" customHeight="1" x14ac:dyDescent="0.25">
      <c r="B78" s="45"/>
      <c r="C78" s="43" t="s">
        <v>79</v>
      </c>
      <c r="D78" s="48"/>
      <c r="E78" s="44"/>
      <c r="F78" s="48"/>
      <c r="G78" s="44"/>
      <c r="H78" s="48"/>
      <c r="I78" s="44"/>
      <c r="J78" s="48"/>
      <c r="K78" s="44"/>
      <c r="L78" s="48"/>
      <c r="M78" s="44"/>
      <c r="N78" s="48"/>
      <c r="O78" s="44"/>
      <c r="P78" s="48">
        <f>SUM(会費と購読料[[#This Row],[1 月]:[12 月]])</f>
        <v>0</v>
      </c>
      <c r="Q78" s="44"/>
    </row>
    <row r="79" spans="1:17" ht="21" customHeight="1" thickBot="1" x14ac:dyDescent="0.3">
      <c r="B79" s="45"/>
      <c r="C79" s="49" t="s">
        <v>110</v>
      </c>
      <c r="D79" s="50">
        <f>SUBTOTAL(109,会費と購読料[1 月])</f>
        <v>29</v>
      </c>
      <c r="E79" s="39">
        <f>SUBTOTAL(109,会費と購読料[2 月])</f>
        <v>18</v>
      </c>
      <c r="F79" s="50">
        <f>SUBTOTAL(109,会費と購読料[3 月])</f>
        <v>17</v>
      </c>
      <c r="G79" s="39">
        <f>SUBTOTAL(109,会費と購読料[4 月])</f>
        <v>0</v>
      </c>
      <c r="H79" s="50">
        <f>SUBTOTAL(109,会費と購読料[5 月])</f>
        <v>0</v>
      </c>
      <c r="I79" s="39">
        <f>SUBTOTAL(109,会費と購読料[6 月])</f>
        <v>0</v>
      </c>
      <c r="J79" s="50">
        <f>SUBTOTAL(109,会費と購読料[7 月])</f>
        <v>0</v>
      </c>
      <c r="K79" s="39">
        <f>SUBTOTAL(109,会費と購読料[8 月])</f>
        <v>0</v>
      </c>
      <c r="L79" s="50">
        <f>SUBTOTAL(109,会費と購読料[9 月])</f>
        <v>0</v>
      </c>
      <c r="M79" s="39">
        <f>SUBTOTAL(109,会費と購読料[10 月])</f>
        <v>0</v>
      </c>
      <c r="N79" s="50">
        <f>SUBTOTAL(109,会費と購読料[11 月])</f>
        <v>0</v>
      </c>
      <c r="O79" s="39">
        <f>SUBTOTAL(109,会費と購読料[12 月])</f>
        <v>0</v>
      </c>
      <c r="P79" s="50">
        <f>SUBTOTAL(109,会費と購読料[年度])</f>
        <v>64</v>
      </c>
      <c r="Q79" s="40"/>
    </row>
    <row r="80" spans="1:17" ht="20.100000000000001" customHeight="1" thickTop="1" x14ac:dyDescent="0.25">
      <c r="C80" s="68"/>
      <c r="D80" s="68"/>
      <c r="E80" s="68"/>
      <c r="F80" s="68"/>
      <c r="G80" s="68"/>
      <c r="H80" s="68"/>
      <c r="I80" s="68"/>
      <c r="J80" s="68"/>
      <c r="K80" s="68"/>
      <c r="L80" s="68"/>
      <c r="M80" s="68"/>
      <c r="N80" s="68"/>
      <c r="O80" s="68"/>
      <c r="P80" s="68"/>
      <c r="Q80" s="68"/>
    </row>
    <row r="81" spans="1:17" ht="21" customHeight="1" x14ac:dyDescent="0.25">
      <c r="A81" s="5" t="s">
        <v>19</v>
      </c>
      <c r="B81" s="45"/>
      <c r="C81" s="46" t="s">
        <v>80</v>
      </c>
      <c r="D81" s="56" t="s">
        <v>95</v>
      </c>
      <c r="E81" s="55" t="s">
        <v>96</v>
      </c>
      <c r="F81" s="56" t="s">
        <v>97</v>
      </c>
      <c r="G81" s="55" t="s">
        <v>98</v>
      </c>
      <c r="H81" s="56" t="s">
        <v>99</v>
      </c>
      <c r="I81" s="55" t="s">
        <v>100</v>
      </c>
      <c r="J81" s="56" t="s">
        <v>101</v>
      </c>
      <c r="K81" s="55" t="s">
        <v>102</v>
      </c>
      <c r="L81" s="56" t="s">
        <v>103</v>
      </c>
      <c r="M81" s="55" t="s">
        <v>104</v>
      </c>
      <c r="N81" s="56" t="s">
        <v>105</v>
      </c>
      <c r="O81" s="55" t="s">
        <v>106</v>
      </c>
      <c r="P81" s="56" t="s">
        <v>108</v>
      </c>
      <c r="Q81" s="55" t="s">
        <v>109</v>
      </c>
    </row>
    <row r="82" spans="1:17" ht="15.95" customHeight="1" x14ac:dyDescent="0.25">
      <c r="B82" s="45"/>
      <c r="C82" s="43" t="s">
        <v>81</v>
      </c>
      <c r="D82" s="48"/>
      <c r="E82" s="44"/>
      <c r="F82" s="48">
        <v>29</v>
      </c>
      <c r="G82" s="44"/>
      <c r="H82" s="48"/>
      <c r="I82" s="44"/>
      <c r="J82" s="48"/>
      <c r="K82" s="44"/>
      <c r="L82" s="48"/>
      <c r="M82" s="44"/>
      <c r="N82" s="48"/>
      <c r="O82" s="44"/>
      <c r="P82" s="48">
        <f>SUM(個人[[#This Row],[1 月]:[12 月]])</f>
        <v>29</v>
      </c>
      <c r="Q82" s="44"/>
    </row>
    <row r="83" spans="1:17" ht="15.95" customHeight="1" x14ac:dyDescent="0.25">
      <c r="B83" s="45"/>
      <c r="C83" s="43" t="s">
        <v>82</v>
      </c>
      <c r="D83" s="48"/>
      <c r="E83" s="44">
        <v>35</v>
      </c>
      <c r="F83" s="48"/>
      <c r="G83" s="44"/>
      <c r="H83" s="48"/>
      <c r="I83" s="44"/>
      <c r="J83" s="48"/>
      <c r="K83" s="44"/>
      <c r="L83" s="48"/>
      <c r="M83" s="44"/>
      <c r="N83" s="48"/>
      <c r="O83" s="44"/>
      <c r="P83" s="48">
        <f>SUM(個人[[#This Row],[1 月]:[12 月]])</f>
        <v>35</v>
      </c>
      <c r="Q83" s="36"/>
    </row>
    <row r="84" spans="1:17" ht="15.95" customHeight="1" x14ac:dyDescent="0.25">
      <c r="B84" s="45"/>
      <c r="C84" s="43" t="s">
        <v>83</v>
      </c>
      <c r="D84" s="48">
        <v>25</v>
      </c>
      <c r="E84" s="44">
        <v>25</v>
      </c>
      <c r="F84" s="48">
        <v>25</v>
      </c>
      <c r="G84" s="44"/>
      <c r="H84" s="48"/>
      <c r="I84" s="44"/>
      <c r="J84" s="48"/>
      <c r="K84" s="44"/>
      <c r="L84" s="48"/>
      <c r="M84" s="44"/>
      <c r="N84" s="48"/>
      <c r="O84" s="44"/>
      <c r="P84" s="48">
        <f>SUM(個人[[#This Row],[1 月]:[12 月]])</f>
        <v>75</v>
      </c>
      <c r="Q84" s="44"/>
    </row>
    <row r="85" spans="1:17" ht="15.95" customHeight="1" x14ac:dyDescent="0.25">
      <c r="B85" s="45"/>
      <c r="C85" s="43" t="s">
        <v>84</v>
      </c>
      <c r="D85" s="48"/>
      <c r="E85" s="44"/>
      <c r="F85" s="48"/>
      <c r="G85" s="44"/>
      <c r="H85" s="48"/>
      <c r="I85" s="44"/>
      <c r="J85" s="48"/>
      <c r="K85" s="44"/>
      <c r="L85" s="48"/>
      <c r="M85" s="44"/>
      <c r="N85" s="48"/>
      <c r="O85" s="44"/>
      <c r="P85" s="48">
        <f>SUM(個人[[#This Row],[1 月]:[12 月]])</f>
        <v>0</v>
      </c>
      <c r="Q85" s="36"/>
    </row>
    <row r="86" spans="1:17" ht="15.95" customHeight="1" x14ac:dyDescent="0.25">
      <c r="B86" s="45"/>
      <c r="C86" s="43" t="s">
        <v>85</v>
      </c>
      <c r="D86" s="48"/>
      <c r="E86" s="44"/>
      <c r="F86" s="48"/>
      <c r="G86" s="44"/>
      <c r="H86" s="48"/>
      <c r="I86" s="44"/>
      <c r="J86" s="48"/>
      <c r="K86" s="44"/>
      <c r="L86" s="48"/>
      <c r="M86" s="44"/>
      <c r="N86" s="48"/>
      <c r="O86" s="44"/>
      <c r="P86" s="48">
        <f>SUM(個人[[#This Row],[1 月]:[12 月]])</f>
        <v>0</v>
      </c>
      <c r="Q86" s="44"/>
    </row>
    <row r="87" spans="1:17" ht="21" customHeight="1" thickBot="1" x14ac:dyDescent="0.3">
      <c r="B87" s="45"/>
      <c r="C87" s="49" t="s">
        <v>110</v>
      </c>
      <c r="D87" s="50">
        <f>SUBTOTAL(109,個人[1 月])</f>
        <v>25</v>
      </c>
      <c r="E87" s="39">
        <f>SUBTOTAL(109,個人[2 月])</f>
        <v>60</v>
      </c>
      <c r="F87" s="50">
        <f>SUBTOTAL(109,個人[3 月])</f>
        <v>54</v>
      </c>
      <c r="G87" s="39">
        <f>SUBTOTAL(109,個人[4 月])</f>
        <v>0</v>
      </c>
      <c r="H87" s="50">
        <f>SUBTOTAL(109,個人[5 月])</f>
        <v>0</v>
      </c>
      <c r="I87" s="39">
        <f>SUBTOTAL(109,個人[6 月])</f>
        <v>0</v>
      </c>
      <c r="J87" s="50">
        <f>SUBTOTAL(109,個人[7 月])</f>
        <v>0</v>
      </c>
      <c r="K87" s="39">
        <f>SUBTOTAL(109,個人[8 月])</f>
        <v>0</v>
      </c>
      <c r="L87" s="50">
        <f>SUBTOTAL(109,個人[9 月])</f>
        <v>0</v>
      </c>
      <c r="M87" s="39">
        <f>SUBTOTAL(109,個人[10 月])</f>
        <v>0</v>
      </c>
      <c r="N87" s="50">
        <f>SUBTOTAL(109,個人[11 月])</f>
        <v>0</v>
      </c>
      <c r="O87" s="39">
        <f>SUBTOTAL(109,個人[12 月])</f>
        <v>0</v>
      </c>
      <c r="P87" s="50">
        <f>SUBTOTAL(109,個人[年度])</f>
        <v>139</v>
      </c>
      <c r="Q87" s="40"/>
    </row>
    <row r="88" spans="1:17" ht="20.100000000000001" customHeight="1" thickTop="1" x14ac:dyDescent="0.25">
      <c r="C88" s="68"/>
      <c r="D88" s="68"/>
      <c r="E88" s="68"/>
      <c r="F88" s="68"/>
      <c r="G88" s="68"/>
      <c r="H88" s="68"/>
      <c r="I88" s="68"/>
      <c r="J88" s="68"/>
      <c r="K88" s="68"/>
      <c r="L88" s="68"/>
      <c r="M88" s="68"/>
      <c r="N88" s="68"/>
      <c r="O88" s="68"/>
      <c r="P88" s="68"/>
      <c r="Q88" s="68"/>
    </row>
    <row r="89" spans="1:17" ht="21" customHeight="1" x14ac:dyDescent="0.25">
      <c r="A89" s="5" t="s">
        <v>20</v>
      </c>
      <c r="B89" s="30"/>
      <c r="C89" s="41" t="s">
        <v>86</v>
      </c>
      <c r="D89" s="54" t="s">
        <v>95</v>
      </c>
      <c r="E89" s="55" t="s">
        <v>96</v>
      </c>
      <c r="F89" s="54" t="s">
        <v>97</v>
      </c>
      <c r="G89" s="55" t="s">
        <v>98</v>
      </c>
      <c r="H89" s="54" t="s">
        <v>99</v>
      </c>
      <c r="I89" s="55" t="s">
        <v>100</v>
      </c>
      <c r="J89" s="54" t="s">
        <v>101</v>
      </c>
      <c r="K89" s="55" t="s">
        <v>102</v>
      </c>
      <c r="L89" s="54" t="s">
        <v>103</v>
      </c>
      <c r="M89" s="55" t="s">
        <v>104</v>
      </c>
      <c r="N89" s="54" t="s">
        <v>105</v>
      </c>
      <c r="O89" s="55" t="s">
        <v>106</v>
      </c>
      <c r="P89" s="54" t="s">
        <v>108</v>
      </c>
      <c r="Q89" s="55" t="s">
        <v>109</v>
      </c>
    </row>
    <row r="90" spans="1:17" ht="15.95" customHeight="1" x14ac:dyDescent="0.25">
      <c r="B90" s="30"/>
      <c r="C90" s="43" t="s">
        <v>87</v>
      </c>
      <c r="D90" s="34">
        <v>25</v>
      </c>
      <c r="E90" s="44">
        <v>25</v>
      </c>
      <c r="F90" s="34">
        <v>25</v>
      </c>
      <c r="G90" s="44"/>
      <c r="H90" s="34"/>
      <c r="I90" s="44"/>
      <c r="J90" s="34"/>
      <c r="K90" s="44"/>
      <c r="L90" s="34"/>
      <c r="M90" s="44"/>
      <c r="N90" s="34"/>
      <c r="O90" s="44"/>
      <c r="P90" s="34">
        <f>SUM(金融​​[[#This Row],[1 月]:[12 月]])</f>
        <v>75</v>
      </c>
      <c r="Q90" s="44"/>
    </row>
    <row r="91" spans="1:17" ht="15.95" customHeight="1" x14ac:dyDescent="0.25">
      <c r="B91" s="30"/>
      <c r="C91" s="43" t="s">
        <v>88</v>
      </c>
      <c r="D91" s="34">
        <v>45</v>
      </c>
      <c r="E91" s="44">
        <v>45</v>
      </c>
      <c r="F91" s="34">
        <v>45</v>
      </c>
      <c r="G91" s="44"/>
      <c r="H91" s="34"/>
      <c r="I91" s="44"/>
      <c r="J91" s="34"/>
      <c r="K91" s="44"/>
      <c r="L91" s="34"/>
      <c r="M91" s="44"/>
      <c r="N91" s="34"/>
      <c r="O91" s="44"/>
      <c r="P91" s="34">
        <f>SUM(金融​​[[#This Row],[1 月]:[12 月]])</f>
        <v>135</v>
      </c>
      <c r="Q91" s="36"/>
    </row>
    <row r="92" spans="1:17" ht="15.95" customHeight="1" x14ac:dyDescent="0.25">
      <c r="B92" s="30"/>
      <c r="C92" s="43" t="s">
        <v>89</v>
      </c>
      <c r="D92" s="34">
        <v>75</v>
      </c>
      <c r="E92" s="44">
        <v>75</v>
      </c>
      <c r="F92" s="34">
        <v>75</v>
      </c>
      <c r="G92" s="44"/>
      <c r="H92" s="34"/>
      <c r="I92" s="44"/>
      <c r="J92" s="34"/>
      <c r="K92" s="44"/>
      <c r="L92" s="34"/>
      <c r="M92" s="44"/>
      <c r="N92" s="34"/>
      <c r="O92" s="44"/>
      <c r="P92" s="34">
        <f>SUM(金融​​[[#This Row],[1 月]:[12 月]])</f>
        <v>225</v>
      </c>
      <c r="Q92" s="44"/>
    </row>
    <row r="93" spans="1:17" ht="15.95" customHeight="1" x14ac:dyDescent="0.25">
      <c r="B93" s="30"/>
      <c r="C93" s="43" t="s">
        <v>90</v>
      </c>
      <c r="D93" s="34"/>
      <c r="E93" s="44"/>
      <c r="F93" s="34"/>
      <c r="G93" s="44"/>
      <c r="H93" s="34"/>
      <c r="I93" s="44"/>
      <c r="J93" s="34"/>
      <c r="K93" s="44"/>
      <c r="L93" s="34"/>
      <c r="M93" s="44"/>
      <c r="N93" s="34"/>
      <c r="O93" s="44"/>
      <c r="P93" s="34">
        <f>SUM(金融​​[[#This Row],[1 月]:[12 月]])</f>
        <v>0</v>
      </c>
      <c r="Q93" s="36"/>
    </row>
    <row r="94" spans="1:17" ht="15.95" customHeight="1" x14ac:dyDescent="0.25">
      <c r="B94" s="30"/>
      <c r="C94" s="43" t="s">
        <v>91</v>
      </c>
      <c r="D94" s="34">
        <v>32</v>
      </c>
      <c r="E94" s="44">
        <v>34</v>
      </c>
      <c r="F94" s="34">
        <v>1</v>
      </c>
      <c r="G94" s="44"/>
      <c r="H94" s="34"/>
      <c r="I94" s="44"/>
      <c r="J94" s="34"/>
      <c r="K94" s="44"/>
      <c r="L94" s="34"/>
      <c r="M94" s="44"/>
      <c r="N94" s="34"/>
      <c r="O94" s="44"/>
      <c r="P94" s="34">
        <f>SUM(金融​​[[#This Row],[1 月]:[12 月]])</f>
        <v>67</v>
      </c>
      <c r="Q94" s="44"/>
    </row>
    <row r="95" spans="1:17" ht="21" customHeight="1" thickBot="1" x14ac:dyDescent="0.3">
      <c r="B95" s="30"/>
      <c r="C95" s="37" t="s">
        <v>110</v>
      </c>
      <c r="D95" s="38">
        <f>SUBTOTAL(109,金融​​[1 月])</f>
        <v>177</v>
      </c>
      <c r="E95" s="39">
        <f>SUBTOTAL(109,金融​​[2 月])</f>
        <v>179</v>
      </c>
      <c r="F95" s="38">
        <f>SUBTOTAL(109,金融​​[3 月])</f>
        <v>146</v>
      </c>
      <c r="G95" s="39">
        <f>SUBTOTAL(109,金融​​[4 月])</f>
        <v>0</v>
      </c>
      <c r="H95" s="38">
        <f>SUBTOTAL(109,金融​​[5 月])</f>
        <v>0</v>
      </c>
      <c r="I95" s="39">
        <f>SUBTOTAL(109,金融​​[6 月])</f>
        <v>0</v>
      </c>
      <c r="J95" s="38">
        <f>SUBTOTAL(109,金融​​[7 月])</f>
        <v>0</v>
      </c>
      <c r="K95" s="39">
        <f>SUBTOTAL(109,金融​​[8 月])</f>
        <v>0</v>
      </c>
      <c r="L95" s="38">
        <f>SUBTOTAL(109,金融​​[9 月])</f>
        <v>0</v>
      </c>
      <c r="M95" s="39">
        <f>SUBTOTAL(109,金融​​[10 月])</f>
        <v>0</v>
      </c>
      <c r="N95" s="38">
        <f>SUBTOTAL(109,金融​​[11 月])</f>
        <v>0</v>
      </c>
      <c r="O95" s="39">
        <f>SUBTOTAL(109,金融​​[12 月])</f>
        <v>0</v>
      </c>
      <c r="P95" s="38">
        <f>SUBTOTAL(109,金融​​[年度])</f>
        <v>502</v>
      </c>
      <c r="Q95" s="40"/>
    </row>
    <row r="96" spans="1:17" ht="20.100000000000001" customHeight="1" thickTop="1" x14ac:dyDescent="0.25">
      <c r="C96" s="68"/>
      <c r="D96" s="68"/>
      <c r="E96" s="68"/>
      <c r="F96" s="68"/>
      <c r="G96" s="68"/>
      <c r="H96" s="68"/>
      <c r="I96" s="68"/>
      <c r="J96" s="68"/>
      <c r="K96" s="68"/>
      <c r="L96" s="68"/>
      <c r="M96" s="68"/>
      <c r="N96" s="68"/>
      <c r="O96" s="68"/>
      <c r="P96" s="68"/>
      <c r="Q96" s="68"/>
    </row>
    <row r="97" spans="1:17" ht="21" customHeight="1" x14ac:dyDescent="0.25">
      <c r="A97" s="5" t="s">
        <v>21</v>
      </c>
      <c r="B97" s="30"/>
      <c r="C97" s="41" t="s">
        <v>92</v>
      </c>
      <c r="D97" s="54" t="s">
        <v>95</v>
      </c>
      <c r="E97" s="14" t="s">
        <v>96</v>
      </c>
      <c r="F97" s="54" t="s">
        <v>97</v>
      </c>
      <c r="G97" s="14" t="s">
        <v>98</v>
      </c>
      <c r="H97" s="54" t="s">
        <v>99</v>
      </c>
      <c r="I97" s="55" t="s">
        <v>100</v>
      </c>
      <c r="J97" s="54" t="s">
        <v>101</v>
      </c>
      <c r="K97" s="55" t="s">
        <v>102</v>
      </c>
      <c r="L97" s="54" t="s">
        <v>103</v>
      </c>
      <c r="M97" s="55" t="s">
        <v>104</v>
      </c>
      <c r="N97" s="54" t="s">
        <v>105</v>
      </c>
      <c r="O97" s="55" t="s">
        <v>106</v>
      </c>
      <c r="P97" s="54" t="s">
        <v>107</v>
      </c>
      <c r="Q97" s="55" t="s">
        <v>109</v>
      </c>
    </row>
    <row r="98" spans="1:17" ht="15.95" customHeight="1" x14ac:dyDescent="0.25">
      <c r="B98" s="30"/>
      <c r="C98" s="43" t="s">
        <v>26</v>
      </c>
      <c r="D98" s="34"/>
      <c r="E98" s="44"/>
      <c r="F98" s="34"/>
      <c r="G98" s="44"/>
      <c r="H98" s="34"/>
      <c r="I98" s="44"/>
      <c r="J98" s="34"/>
      <c r="K98" s="44"/>
      <c r="L98" s="34"/>
      <c r="M98" s="44"/>
      <c r="N98" s="34"/>
      <c r="O98" s="44"/>
      <c r="P98" s="34">
        <f>SUM(雑費[[#This Row],[1 月]:[12 月]])</f>
        <v>0</v>
      </c>
      <c r="Q98" s="44"/>
    </row>
    <row r="99" spans="1:17" ht="15.95" customHeight="1" x14ac:dyDescent="0.25">
      <c r="B99" s="30"/>
      <c r="C99" s="43" t="s">
        <v>26</v>
      </c>
      <c r="D99" s="34"/>
      <c r="E99" s="44"/>
      <c r="F99" s="34"/>
      <c r="G99" s="44"/>
      <c r="H99" s="34"/>
      <c r="I99" s="44"/>
      <c r="J99" s="34"/>
      <c r="K99" s="44"/>
      <c r="L99" s="34"/>
      <c r="M99" s="44"/>
      <c r="N99" s="34"/>
      <c r="O99" s="44"/>
      <c r="P99" s="34">
        <f>SUM(雑費[[#This Row],[1 月]:[12 月]])</f>
        <v>0</v>
      </c>
      <c r="Q99" s="36"/>
    </row>
    <row r="100" spans="1:17" ht="15.95" customHeight="1" x14ac:dyDescent="0.25">
      <c r="B100" s="30"/>
      <c r="C100" s="43" t="s">
        <v>26</v>
      </c>
      <c r="D100" s="34"/>
      <c r="E100" s="44"/>
      <c r="F100" s="34"/>
      <c r="G100" s="44"/>
      <c r="H100" s="34"/>
      <c r="I100" s="44"/>
      <c r="J100" s="34"/>
      <c r="K100" s="44"/>
      <c r="L100" s="34"/>
      <c r="M100" s="44"/>
      <c r="N100" s="34"/>
      <c r="O100" s="44"/>
      <c r="P100" s="34">
        <f>SUM(雑費[[#This Row],[1 月]:[12 月]])</f>
        <v>0</v>
      </c>
      <c r="Q100" s="44"/>
    </row>
    <row r="101" spans="1:17" ht="15.95" customHeight="1" x14ac:dyDescent="0.25">
      <c r="B101" s="30"/>
      <c r="C101" s="43" t="s">
        <v>26</v>
      </c>
      <c r="D101" s="34"/>
      <c r="E101" s="44"/>
      <c r="F101" s="34"/>
      <c r="G101" s="44"/>
      <c r="H101" s="34"/>
      <c r="I101" s="44"/>
      <c r="J101" s="34"/>
      <c r="K101" s="44"/>
      <c r="L101" s="34"/>
      <c r="M101" s="44"/>
      <c r="N101" s="34"/>
      <c r="O101" s="44"/>
      <c r="P101" s="34">
        <f>SUM(雑費[[#This Row],[1 月]:[12 月]])</f>
        <v>0</v>
      </c>
      <c r="Q101" s="36"/>
    </row>
    <row r="102" spans="1:17" ht="15.95" customHeight="1" x14ac:dyDescent="0.25">
      <c r="B102" s="30"/>
      <c r="C102" s="43" t="s">
        <v>26</v>
      </c>
      <c r="D102" s="34"/>
      <c r="E102" s="44"/>
      <c r="F102" s="34"/>
      <c r="G102" s="44"/>
      <c r="H102" s="34"/>
      <c r="I102" s="44"/>
      <c r="J102" s="34"/>
      <c r="K102" s="44"/>
      <c r="L102" s="34"/>
      <c r="M102" s="44"/>
      <c r="N102" s="34"/>
      <c r="O102" s="44"/>
      <c r="P102" s="34">
        <f>SUM(雑費[[#This Row],[1 月]:[12 月]])</f>
        <v>0</v>
      </c>
      <c r="Q102" s="44"/>
    </row>
    <row r="103" spans="1:17" ht="21" customHeight="1" thickBot="1" x14ac:dyDescent="0.3">
      <c r="C103" s="37" t="s">
        <v>110</v>
      </c>
      <c r="D103" s="38">
        <f>SUBTOTAL(109,雑費[1 月])</f>
        <v>0</v>
      </c>
      <c r="E103" s="39">
        <f>SUBTOTAL(109,雑費[2 月])</f>
        <v>0</v>
      </c>
      <c r="F103" s="38">
        <f>SUBTOTAL(109,雑費[3 月])</f>
        <v>0</v>
      </c>
      <c r="G103" s="39">
        <f>SUBTOTAL(109,雑費[4 月])</f>
        <v>0</v>
      </c>
      <c r="H103" s="38">
        <f>SUBTOTAL(109,雑費[5 月])</f>
        <v>0</v>
      </c>
      <c r="I103" s="39">
        <f>SUBTOTAL(109,雑費[6 月])</f>
        <v>0</v>
      </c>
      <c r="J103" s="38">
        <f>SUBTOTAL(109,雑費[7 月])</f>
        <v>0</v>
      </c>
      <c r="K103" s="39">
        <f>SUBTOTAL(109,雑費[8 月])</f>
        <v>0</v>
      </c>
      <c r="L103" s="38">
        <f>SUBTOTAL(109,雑費[9 月])</f>
        <v>0</v>
      </c>
      <c r="M103" s="39">
        <f>SUBTOTAL(109,雑費[10 月])</f>
        <v>0</v>
      </c>
      <c r="N103" s="38">
        <f>SUBTOTAL(109,雑費[11 月])</f>
        <v>0</v>
      </c>
      <c r="O103" s="39">
        <f>SUBTOTAL(109,雑費[12 月])</f>
        <v>0</v>
      </c>
      <c r="P103" s="38">
        <f>SUBTOTAL(109,雑費[年])</f>
        <v>0</v>
      </c>
      <c r="Q103" s="40"/>
    </row>
    <row r="104" spans="1:17" ht="20.100000000000001" customHeight="1" thickTop="1" x14ac:dyDescent="0.25">
      <c r="C104" s="68"/>
      <c r="D104" s="68"/>
      <c r="E104" s="68"/>
      <c r="F104" s="68"/>
      <c r="G104" s="68"/>
      <c r="H104" s="68"/>
      <c r="I104" s="68"/>
      <c r="J104" s="68"/>
      <c r="K104" s="68"/>
      <c r="L104" s="68"/>
      <c r="M104" s="68"/>
      <c r="N104" s="68"/>
      <c r="O104" s="68"/>
      <c r="P104" s="68"/>
      <c r="Q104" s="68"/>
    </row>
    <row r="105" spans="1:17" ht="21" customHeight="1" x14ac:dyDescent="0.25">
      <c r="A105" s="5" t="s">
        <v>113</v>
      </c>
      <c r="B105" s="10"/>
      <c r="C105" s="57" t="s">
        <v>27</v>
      </c>
      <c r="D105" s="58" t="s">
        <v>95</v>
      </c>
      <c r="E105" s="59" t="s">
        <v>96</v>
      </c>
      <c r="F105" s="58" t="s">
        <v>97</v>
      </c>
      <c r="G105" s="59" t="s">
        <v>98</v>
      </c>
      <c r="H105" s="58" t="s">
        <v>99</v>
      </c>
      <c r="I105" s="59" t="s">
        <v>100</v>
      </c>
      <c r="J105" s="58" t="s">
        <v>101</v>
      </c>
      <c r="K105" s="59" t="s">
        <v>102</v>
      </c>
      <c r="L105" s="58" t="s">
        <v>103</v>
      </c>
      <c r="M105" s="59" t="s">
        <v>104</v>
      </c>
      <c r="N105" s="58" t="s">
        <v>105</v>
      </c>
      <c r="O105" s="59" t="s">
        <v>106</v>
      </c>
      <c r="P105" s="58" t="s">
        <v>107</v>
      </c>
      <c r="Q105" s="60" t="s">
        <v>109</v>
      </c>
    </row>
    <row r="106" spans="1:17" ht="15.95" customHeight="1" x14ac:dyDescent="0.25">
      <c r="B106" s="10"/>
      <c r="C106" s="61" t="s">
        <v>93</v>
      </c>
      <c r="D106" s="62">
        <f>SUM(雑費[[#Totals],[1 月]],金融​​[[#Totals],[1 月]],個人[[#Totals],[1 月]],会費と購読料[[#Totals],[1 月]],レクリエーション[[#Totals],[1 月]],休暇[[#Totals],[1 月]],医療保険[[#Totals],[1 月]],娯楽[[#Totals],[1 月]],交通[[#Totals],[1 月]],毎日[[#Totals],[1 月]],自宅[[#Totals],[1 月]])</f>
        <v>2687</v>
      </c>
      <c r="E106" s="63">
        <f>SUM(雑費[[#Totals],[2 月]],金融​​[[#Totals],[2 月]],個人[[#Totals],[2 月]],会費と購読料[[#Totals],[2 月]],レクリエーション[[#Totals],[2 月]],休暇[[#Totals],[2 月]],医療保険[[#Totals],[2 月]],娯楽[[#Totals],[2 月]],交通[[#Totals],[2 月]],毎日[[#Totals],[2 月]],自宅[[#Totals],[2 月]])</f>
        <v>3429</v>
      </c>
      <c r="F106" s="62">
        <f>SUM(雑費[[#Totals],[3 月]],金融​​[[#Totals],[3 月]],個人[[#Totals],[3 月]],会費と購読料[[#Totals],[3 月]],レクリエーション[[#Totals],[3 月]],休暇[[#Totals],[3 月]],医療保険[[#Totals],[3 月]],娯楽[[#Totals],[3 月]],交通[[#Totals],[3 月]],毎日[[#Totals],[3 月]],自宅[[#Totals],[3 月]])</f>
        <v>2718</v>
      </c>
      <c r="G106" s="63">
        <f>SUM(雑費[[#Totals],[4 月]],金融​​[[#Totals],[4 月]],個人[[#Totals],[4 月]],会費と購読料[[#Totals],[4 月]],レクリエーション[[#Totals],[4 月]],休暇[[#Totals],[4 月]],医療保険[[#Totals],[4 月]],娯楽[[#Totals],[4 月]],交通[[#Totals],[4 月]],毎日[[#Totals],[4 月]],自宅[[#Totals],[4 月]])</f>
        <v>0</v>
      </c>
      <c r="H106" s="62">
        <f>SUM(雑費[[#Totals],[5 月]],金融​​[[#Totals],[5 月]],個人[[#Totals],[5 月]],会費と購読料[[#Totals],[5 月]],レクリエーション[[#Totals],[5 月]],休暇[[#Totals],[5 月]],医療保険[[#Totals],[5 月]],娯楽[[#Totals],[5 月]],交通[[#Totals],[5 月]],毎日[[#Totals],[5 月]],自宅[[#Totals],[5 月]])</f>
        <v>0</v>
      </c>
      <c r="I106" s="63">
        <f>SUM(雑費[[#Totals],[6 月]],金融​​[[#Totals],[6 月]],個人[[#Totals],[6 月]],会費と購読料[[#Totals],[6 月]],レクリエーション[[#Totals],[6 月]],休暇[[#Totals],[6 月]],医療保険[[#Totals],[6 月]],娯楽[[#Totals],[6 月]],交通[[#Totals],[6 月]],毎日[[#Totals],[6 月]],自宅[[#Totals],[6 月]])</f>
        <v>0</v>
      </c>
      <c r="J106" s="62">
        <f>SUM(雑費[[#Totals],[7 月]],金融​​[[#Totals],[7 月]],個人[[#Totals],[7 月]],会費と購読料[[#Totals],[7 月]],レクリエーション[[#Totals],[7 月]],休暇[[#Totals],[7 月]],医療保険[[#Totals],[7 月]],娯楽[[#Totals],[7 月]],交通[[#Totals],[7 月]],毎日[[#Totals],[7 月]],自宅[[#Totals],[7 月]])</f>
        <v>0</v>
      </c>
      <c r="K106" s="63">
        <f>SUM(雑費[[#Totals],[8 月]],金融​​[[#Totals],[8 月]],個人[[#Totals],[8 月]],会費と購読料[[#Totals],[8 月]],レクリエーション[[#Totals],[8 月]],休暇[[#Totals],[8 月]],医療保険[[#Totals],[8 月]],娯楽[[#Totals],[8 月]],交通[[#Totals],[8 月]],毎日[[#Totals],[8 月]],自宅[[#Totals],[8 月]])</f>
        <v>0</v>
      </c>
      <c r="L106" s="62">
        <f>SUM(雑費[[#Totals],[9 月]],金融​​[[#Totals],[9 月]],個人[[#Totals],[9 月]],会費と購読料[[#Totals],[9 月]],レクリエーション[[#Totals],[9 月]],休暇[[#Totals],[9 月]],医療保険[[#Totals],[9 月]],娯楽[[#Totals],[9 月]],交通[[#Totals],[9 月]],毎日[[#Totals],[9 月]],自宅[[#Totals],[9 月]])</f>
        <v>0</v>
      </c>
      <c r="M106" s="63">
        <f>SUM(雑費[[#Totals],[10 月]],金融​​[[#Totals],[10 月]],個人[[#Totals],[10 月]],会費と購読料[[#Totals],[10 月]],レクリエーション[[#Totals],[10 月]],休暇[[#Totals],[10 月]],医療保険[[#Totals],[10 月]],娯楽[[#Totals],[10 月]],交通[[#Totals],[10 月]],毎日[[#Totals],[10 月]],自宅[[#Totals],[10 月]])</f>
        <v>0</v>
      </c>
      <c r="N106" s="62">
        <f>SUM(雑費[[#Totals],[11 月]],金融​​[[#Totals],[11 月]],個人[[#Totals],[11 月]],会費と購読料[[#Totals],[11 月]],レクリエーション[[#Totals],[11 月]],休暇[[#Totals],[11 月]],医療保険[[#Totals],[11 月]],娯楽[[#Totals],[11 月]],交通[[#Totals],[11 月]],毎日[[#Totals],[11 月]],自宅[[#Totals],[11 月]])</f>
        <v>0</v>
      </c>
      <c r="O106" s="63">
        <f>SUM(雑費[[#Totals],[12 月]],金融​​[[#Totals],[12 月]],個人[[#Totals],[12 月]],会費と購読料[[#Totals],[12 月]],レクリエーション[[#Totals],[12 月]],休暇[[#Totals],[12 月]],医療保険[[#Totals],[12 月]],娯楽[[#Totals],[12 月]],交通[[#Totals],[12 月]],毎日[[#Totals],[12 月]],自宅[[#Totals],[12 月]])</f>
        <v>0</v>
      </c>
      <c r="P106" s="62">
        <f>SUM(雑費[[#Totals],[年]],金融​​[[#Totals],[年度]],個人[[#Totals],[年度]],会費と購読料[[#Totals],[年度]],レクリエーション[[#Totals],[年度]],休暇[[#Totals],[年度]],医療保険[[#Totals],[年度]],娯楽[[#Totals],[年度]],交通[[#Totals],[年度]],毎日[[#Totals],[年度]],自宅[[#Totals],[年]])</f>
        <v>8834</v>
      </c>
      <c r="Q106" s="63"/>
    </row>
    <row r="107" spans="1:17" ht="15.95" customHeight="1" x14ac:dyDescent="0.25">
      <c r="B107" s="10"/>
      <c r="C107" s="61" t="s">
        <v>94</v>
      </c>
      <c r="D107" s="62">
        <f>収入[[#Totals],[1 月]]-D106</f>
        <v>1036</v>
      </c>
      <c r="E107" s="63">
        <f>収入[[#Totals],[2 月]]-E106</f>
        <v>127</v>
      </c>
      <c r="F107" s="62">
        <f>収入[[#Totals],[3 月]]-F106</f>
        <v>926</v>
      </c>
      <c r="G107" s="63">
        <f>収入[[#Totals],[4 月]]-G106</f>
        <v>0</v>
      </c>
      <c r="H107" s="62">
        <f>収入[[#Totals],[5 月]]-H106</f>
        <v>0</v>
      </c>
      <c r="I107" s="63">
        <f>収入[[#Totals],[6 月]]-I106</f>
        <v>0</v>
      </c>
      <c r="J107" s="62">
        <f>収入[[#Totals],[7 月]]-J106</f>
        <v>0</v>
      </c>
      <c r="K107" s="63">
        <f>収入[[#Totals],[8 月]]-K106</f>
        <v>0</v>
      </c>
      <c r="L107" s="62">
        <f>収入[[#Totals],[9 月]]-L106</f>
        <v>0</v>
      </c>
      <c r="M107" s="63">
        <f>収入[[#Totals],[10 月]]-M106</f>
        <v>0</v>
      </c>
      <c r="N107" s="62">
        <f>収入[[#Totals],[11 月]]-N106</f>
        <v>0</v>
      </c>
      <c r="O107" s="63">
        <f>収入[[#Totals],[12 月]]-O106</f>
        <v>0</v>
      </c>
      <c r="P107" s="62">
        <f>収入[[#Totals],[年]]-P106</f>
        <v>2089</v>
      </c>
      <c r="Q107" s="63"/>
    </row>
    <row r="108" spans="1:17" ht="8.1" customHeight="1" x14ac:dyDescent="0.25">
      <c r="B108" s="10"/>
      <c r="C108" s="64"/>
      <c r="D108" s="65"/>
      <c r="E108" s="64"/>
      <c r="F108" s="65"/>
      <c r="G108" s="64"/>
      <c r="H108" s="65"/>
      <c r="I108" s="64"/>
      <c r="J108" s="65"/>
      <c r="K108" s="64"/>
      <c r="L108" s="65"/>
      <c r="M108" s="64"/>
      <c r="N108" s="65"/>
      <c r="O108" s="64"/>
      <c r="P108" s="65"/>
      <c r="Q108" s="64"/>
    </row>
  </sheetData>
  <mergeCells count="12">
    <mergeCell ref="B2:D2"/>
    <mergeCell ref="E2:P2"/>
    <mergeCell ref="C28:Q28"/>
    <mergeCell ref="C104:Q104"/>
    <mergeCell ref="C96:Q96"/>
    <mergeCell ref="C88:Q88"/>
    <mergeCell ref="C80:Q80"/>
    <mergeCell ref="C70:Q70"/>
    <mergeCell ref="C63:Q63"/>
    <mergeCell ref="C54:Q54"/>
    <mergeCell ref="C44:Q44"/>
    <mergeCell ref="C37:Q37"/>
  </mergeCells>
  <phoneticPr fontId="24"/>
  <conditionalFormatting sqref="D107:P107">
    <cfRule type="cellIs" dxfId="413" priority="1" operator="lessThan">
      <formula>0</formula>
    </cfRule>
  </conditionalFormatting>
  <printOptions horizontalCentered="1"/>
  <pageMargins left="0.4" right="0.4" top="0.4" bottom="0.4" header="0.3" footer="0.3"/>
  <pageSetup paperSize="9" fitToHeight="0" orientation="landscape" r:id="rId1"/>
  <headerFooter differentFirst="1">
    <oddFooter>Page &amp;P of &amp;N</oddFooter>
  </headerFooter>
  <ignoredErrors>
    <ignoredError sqref="D106:P106" calculatedColumn="1"/>
    <ignoredError sqref="P6:P8 P13:P17 P21:P26 P30:P35 P39:P42 P46:P52 P56:P61 P65:P68 P72:P78 P82:P86 P90:P94 P98:P102" emptyCellReference="1"/>
  </ignoredErrors>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05C60535-1F16-4fd2-B633-F4F36F0B64E0}">
      <x14:sparklineGroups xmlns:xm="http://schemas.microsoft.com/office/excel/2006/main">
        <x14:sparklineGroup displayEmptyCellsAs="gap" high="1" low="1" xr2:uid="{00000000-0003-0000-0100-00000D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個人予算!D98:O98</xm:f>
              <xm:sqref>Q98</xm:sqref>
            </x14:sparkline>
            <x14:sparkline>
              <xm:f>個人予算!D99:O99</xm:f>
              <xm:sqref>Q99</xm:sqref>
            </x14:sparkline>
            <x14:sparkline>
              <xm:f>個人予算!D100:O100</xm:f>
              <xm:sqref>Q100</xm:sqref>
            </x14:sparkline>
            <x14:sparkline>
              <xm:f>個人予算!D101:O101</xm:f>
              <xm:sqref>Q101</xm:sqref>
            </x14:sparkline>
            <x14:sparkline>
              <xm:f>個人予算!D102:O102</xm:f>
              <xm:sqref>Q102</xm:sqref>
            </x14:sparkline>
            <x14:sparkline>
              <xm:f>個人予算!D103:O103</xm:f>
              <xm:sqref>Q103</xm:sqref>
            </x14:sparkline>
          </x14:sparklines>
        </x14:sparklineGroup>
        <x14:sparklineGroup displayEmptyCellsAs="gap" high="1" low="1" xr2:uid="{00000000-0003-0000-0100-00000C000000}">
          <x14:colorSeries theme="0"/>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個人予算!D106:O106</xm:f>
              <xm:sqref>Q106</xm:sqref>
            </x14:sparkline>
            <x14:sparkline>
              <xm:f>個人予算!D107:O107</xm:f>
              <xm:sqref>Q107</xm:sqref>
            </x14:sparkline>
          </x14:sparklines>
        </x14:sparklineGroup>
        <x14:sparklineGroup displayEmptyCellsAs="gap" high="1" low="1" xr2:uid="{00000000-0003-0000-0100-00000B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個人予算!D90:O90</xm:f>
              <xm:sqref>Q90</xm:sqref>
            </x14:sparkline>
            <x14:sparkline>
              <xm:f>個人予算!D91:O91</xm:f>
              <xm:sqref>Q91</xm:sqref>
            </x14:sparkline>
            <x14:sparkline>
              <xm:f>個人予算!D92:O92</xm:f>
              <xm:sqref>Q92</xm:sqref>
            </x14:sparkline>
            <x14:sparkline>
              <xm:f>個人予算!D93:O93</xm:f>
              <xm:sqref>Q93</xm:sqref>
            </x14:sparkline>
            <x14:sparkline>
              <xm:f>個人予算!D94:O94</xm:f>
              <xm:sqref>Q94</xm:sqref>
            </x14:sparkline>
            <x14:sparkline>
              <xm:f>個人予算!D95:O95</xm:f>
              <xm:sqref>Q95</xm:sqref>
            </x14:sparkline>
          </x14:sparklines>
        </x14:sparklineGroup>
        <x14:sparklineGroup displayEmptyCellsAs="gap" high="1" low="1" xr2:uid="{00000000-0003-0000-0100-00000A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個人予算!D82:O82</xm:f>
              <xm:sqref>Q82</xm:sqref>
            </x14:sparkline>
            <x14:sparkline>
              <xm:f>個人予算!D83:O83</xm:f>
              <xm:sqref>Q83</xm:sqref>
            </x14:sparkline>
            <x14:sparkline>
              <xm:f>個人予算!D84:O84</xm:f>
              <xm:sqref>Q84</xm:sqref>
            </x14:sparkline>
            <x14:sparkline>
              <xm:f>個人予算!D85:O85</xm:f>
              <xm:sqref>Q85</xm:sqref>
            </x14:sparkline>
            <x14:sparkline>
              <xm:f>個人予算!D86:O86</xm:f>
              <xm:sqref>Q86</xm:sqref>
            </x14:sparkline>
            <x14:sparkline>
              <xm:f>個人予算!D87:O87</xm:f>
              <xm:sqref>Q87</xm:sqref>
            </x14:sparkline>
          </x14:sparklines>
        </x14:sparklineGroup>
        <x14:sparklineGroup displayEmptyCellsAs="gap" high="1" low="1" xr2:uid="{00000000-0003-0000-0100-000009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個人予算!D72:O72</xm:f>
              <xm:sqref>Q72</xm:sqref>
            </x14:sparkline>
            <x14:sparkline>
              <xm:f>個人予算!D73:O73</xm:f>
              <xm:sqref>Q73</xm:sqref>
            </x14:sparkline>
            <x14:sparkline>
              <xm:f>個人予算!D74:O74</xm:f>
              <xm:sqref>Q74</xm:sqref>
            </x14:sparkline>
            <x14:sparkline>
              <xm:f>個人予算!D75:O75</xm:f>
              <xm:sqref>Q75</xm:sqref>
            </x14:sparkline>
            <x14:sparkline>
              <xm:f>個人予算!D76:O76</xm:f>
              <xm:sqref>Q76</xm:sqref>
            </x14:sparkline>
            <x14:sparkline>
              <xm:f>個人予算!D77:O77</xm:f>
              <xm:sqref>Q77</xm:sqref>
            </x14:sparkline>
            <x14:sparkline>
              <xm:f>個人予算!D78:O78</xm:f>
              <xm:sqref>Q78</xm:sqref>
            </x14:sparkline>
            <x14:sparkline>
              <xm:f>個人予算!D79:O79</xm:f>
              <xm:sqref>Q79</xm:sqref>
            </x14:sparkline>
          </x14:sparklines>
        </x14:sparklineGroup>
        <x14:sparklineGroup displayEmptyCellsAs="gap" high="1" low="1" xr2:uid="{00000000-0003-0000-0100-000008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個人予算!D65:O65</xm:f>
              <xm:sqref>Q65</xm:sqref>
            </x14:sparkline>
            <x14:sparkline>
              <xm:f>個人予算!D66:O66</xm:f>
              <xm:sqref>Q66</xm:sqref>
            </x14:sparkline>
            <x14:sparkline>
              <xm:f>個人予算!D67:O67</xm:f>
              <xm:sqref>Q67</xm:sqref>
            </x14:sparkline>
            <x14:sparkline>
              <xm:f>個人予算!D68:O68</xm:f>
              <xm:sqref>Q68</xm:sqref>
            </x14:sparkline>
            <x14:sparkline>
              <xm:f>個人予算!D69:O69</xm:f>
              <xm:sqref>Q69</xm:sqref>
            </x14:sparkline>
          </x14:sparklines>
        </x14:sparklineGroup>
        <x14:sparklineGroup displayEmptyCellsAs="gap" high="1" low="1" xr2:uid="{00000000-0003-0000-0100-000007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個人予算!D56:O56</xm:f>
              <xm:sqref>Q56</xm:sqref>
            </x14:sparkline>
            <x14:sparkline>
              <xm:f>個人予算!D57:O57</xm:f>
              <xm:sqref>Q57</xm:sqref>
            </x14:sparkline>
            <x14:sparkline>
              <xm:f>個人予算!D58:O58</xm:f>
              <xm:sqref>Q58</xm:sqref>
            </x14:sparkline>
            <x14:sparkline>
              <xm:f>個人予算!D59:O59</xm:f>
              <xm:sqref>Q59</xm:sqref>
            </x14:sparkline>
            <x14:sparkline>
              <xm:f>個人予算!D60:O60</xm:f>
              <xm:sqref>Q60</xm:sqref>
            </x14:sparkline>
            <x14:sparkline>
              <xm:f>個人予算!D61:O61</xm:f>
              <xm:sqref>Q61</xm:sqref>
            </x14:sparkline>
            <x14:sparkline>
              <xm:f>個人予算!D62:O62</xm:f>
              <xm:sqref>Q62</xm:sqref>
            </x14:sparkline>
          </x14:sparklines>
        </x14:sparklineGroup>
        <x14:sparklineGroup displayEmptyCellsAs="gap" high="1" low="1" xr2:uid="{00000000-0003-0000-0100-000006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個人予算!D46:O46</xm:f>
              <xm:sqref>Q46</xm:sqref>
            </x14:sparkline>
            <x14:sparkline>
              <xm:f>個人予算!D47:O47</xm:f>
              <xm:sqref>Q47</xm:sqref>
            </x14:sparkline>
            <x14:sparkline>
              <xm:f>個人予算!D48:O48</xm:f>
              <xm:sqref>Q48</xm:sqref>
            </x14:sparkline>
            <x14:sparkline>
              <xm:f>個人予算!D49:O49</xm:f>
              <xm:sqref>Q49</xm:sqref>
            </x14:sparkline>
            <x14:sparkline>
              <xm:f>個人予算!D50:O50</xm:f>
              <xm:sqref>Q50</xm:sqref>
            </x14:sparkline>
            <x14:sparkline>
              <xm:f>個人予算!D51:O51</xm:f>
              <xm:sqref>Q51</xm:sqref>
            </x14:sparkline>
            <x14:sparkline>
              <xm:f>個人予算!D52:O52</xm:f>
              <xm:sqref>Q52</xm:sqref>
            </x14:sparkline>
            <x14:sparkline>
              <xm:f>個人予算!D53:O53</xm:f>
              <xm:sqref>Q53</xm:sqref>
            </x14:sparkline>
          </x14:sparklines>
        </x14:sparklineGroup>
        <x14:sparklineGroup displayEmptyCellsAs="gap" high="1" low="1" xr2:uid="{00000000-0003-0000-0100-000005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個人予算!D39:O39</xm:f>
              <xm:sqref>Q39</xm:sqref>
            </x14:sparkline>
            <x14:sparkline>
              <xm:f>個人予算!D40:O40</xm:f>
              <xm:sqref>Q40</xm:sqref>
            </x14:sparkline>
            <x14:sparkline>
              <xm:f>個人予算!D41:O41</xm:f>
              <xm:sqref>Q41</xm:sqref>
            </x14:sparkline>
            <x14:sparkline>
              <xm:f>個人予算!D42:O42</xm:f>
              <xm:sqref>Q42</xm:sqref>
            </x14:sparkline>
            <x14:sparkline>
              <xm:f>個人予算!D43:O43</xm:f>
              <xm:sqref>Q43</xm:sqref>
            </x14:sparkline>
          </x14:sparklines>
        </x14:sparklineGroup>
        <x14:sparklineGroup displayEmptyCellsAs="gap" high="1" low="1" xr2:uid="{00000000-0003-0000-0100-000004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個人予算!D30:O30</xm:f>
              <xm:sqref>Q30</xm:sqref>
            </x14:sparkline>
            <x14:sparkline>
              <xm:f>個人予算!D31:O31</xm:f>
              <xm:sqref>Q31</xm:sqref>
            </x14:sparkline>
            <x14:sparkline>
              <xm:f>個人予算!D32:O32</xm:f>
              <xm:sqref>Q32</xm:sqref>
            </x14:sparkline>
            <x14:sparkline>
              <xm:f>個人予算!D33:O33</xm:f>
              <xm:sqref>Q33</xm:sqref>
            </x14:sparkline>
            <x14:sparkline>
              <xm:f>個人予算!D34:O34</xm:f>
              <xm:sqref>Q34</xm:sqref>
            </x14:sparkline>
            <x14:sparkline>
              <xm:f>個人予算!D35:O35</xm:f>
              <xm:sqref>Q35</xm:sqref>
            </x14:sparkline>
            <x14:sparkline>
              <xm:f>個人予算!D36:O36</xm:f>
              <xm:sqref>Q36</xm:sqref>
            </x14:sparkline>
          </x14:sparklines>
        </x14:sparklineGroup>
        <x14:sparklineGroup displayEmptyCellsAs="gap" high="1" low="1" xr2:uid="{00000000-0003-0000-0100-000003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個人予算!D21:O21</xm:f>
              <xm:sqref>Q21</xm:sqref>
            </x14:sparkline>
            <x14:sparkline>
              <xm:f>個人予算!D22:O22</xm:f>
              <xm:sqref>Q22</xm:sqref>
            </x14:sparkline>
            <x14:sparkline>
              <xm:f>個人予算!D23:O23</xm:f>
              <xm:sqref>Q23</xm:sqref>
            </x14:sparkline>
            <x14:sparkline>
              <xm:f>個人予算!D24:O24</xm:f>
              <xm:sqref>Q24</xm:sqref>
            </x14:sparkline>
            <x14:sparkline>
              <xm:f>個人予算!D25:O25</xm:f>
              <xm:sqref>Q25</xm:sqref>
            </x14:sparkline>
            <x14:sparkline>
              <xm:f>個人予算!D26:O26</xm:f>
              <xm:sqref>Q26</xm:sqref>
            </x14:sparkline>
            <x14:sparkline>
              <xm:f>個人予算!D27:O27</xm:f>
              <xm:sqref>Q27</xm:sqref>
            </x14:sparkline>
          </x14:sparklines>
        </x14:sparklineGroup>
        <x14:sparklineGroup displayEmptyCellsAs="gap" high="1" low="1" xr2:uid="{00000000-0003-0000-0100-000002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個人予算!D13:O13</xm:f>
              <xm:sqref>Q13</xm:sqref>
            </x14:sparkline>
          </x14:sparklines>
        </x14:sparklineGroup>
        <x14:sparklineGroup displayEmptyCellsAs="gap" high="1" low="1" xr2:uid="{00000000-0003-0000-0100-000001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個人予算!D6:O6</xm:f>
              <xm:sqref>Q6</xm:sqref>
            </x14:sparkline>
            <x14:sparkline>
              <xm:f>個人予算!D7:O7</xm:f>
              <xm:sqref>Q7</xm:sqref>
            </x14:sparkline>
            <x14:sparkline>
              <xm:f>個人予算!D8:O8</xm:f>
              <xm:sqref>Q8</xm:sqref>
            </x14:sparkline>
            <x14:sparkline>
              <xm:f>個人予算!D9:O9</xm:f>
              <xm:sqref>Q9</xm:sqref>
            </x14:sparkline>
          </x14:sparklines>
        </x14:sparklineGroup>
        <x14:sparklineGroup displayEmptyCellsAs="gap" high="1" low="1" xr2:uid="{00000000-0003-0000-0100-000000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個人予算!D14:O14</xm:f>
              <xm:sqref>Q14</xm:sqref>
            </x14:sparkline>
            <x14:sparkline>
              <xm:f>個人予算!D15:O15</xm:f>
              <xm:sqref>Q15</xm:sqref>
            </x14:sparkline>
            <x14:sparkline>
              <xm:f>個人予算!D16:O16</xm:f>
              <xm:sqref>Q16</xm:sqref>
            </x14:sparkline>
            <x14:sparkline>
              <xm:f>個人予算!D17:O17</xm:f>
              <xm:sqref>Q17</xm:sqref>
            </x14:sparkline>
            <x14:sparkline>
              <xm:f>個人予算!D18:O18</xm:f>
              <xm:sqref>Q18</xm:sqref>
            </x14:sparkline>
          </x14:sparklines>
        </x14:sparklineGroup>
      </x14:sparklineGroups>
    </ext>
  </extLst>
</worksheet>
</file>

<file path=docProps/app.xml><?xml version="1.0" encoding="utf-8"?>
<ap:Properties xmlns:vt="http://schemas.openxmlformats.org/officeDocument/2006/docPropsVTypes" xmlns:ap="http://schemas.openxmlformats.org/officeDocument/2006/extended-properties">
  <ap:DocSecurity>0</ap:DocSecurity>
  <ap:Template>TM04035483</ap:Template>
  <ap:ScaleCrop>false</ap:ScaleCrop>
  <ap:HeadingPairs>
    <vt:vector baseType="variant" size="2">
      <vt:variant>
        <vt:lpstr>ワークシート</vt:lpstr>
      </vt:variant>
      <vt:variant>
        <vt:i4>2</vt:i4>
      </vt:variant>
    </vt:vector>
  </ap:HeadingPairs>
  <ap:TitlesOfParts>
    <vt:vector baseType="lpstr" size="2">
      <vt:lpstr>開始</vt:lpstr>
      <vt:lpstr>個人予算</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2018-06-21T11:23:21Z</dcterms:created>
  <dcterms:modified xsi:type="dcterms:W3CDTF">2019-03-13T10:21:43Z</dcterms:modified>
</cp:coreProperties>
</file>

<file path=docProps/custom.xml><?xml version="1.0" encoding="utf-8"?>
<Properties xmlns="http://schemas.openxmlformats.org/officeDocument/2006/custom-properties" xmlns:vt="http://schemas.openxmlformats.org/officeDocument/2006/docPropsVTypes"/>
</file>