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07"/>
  <workbookPr filterPrivacy="1" codeName="ThisWorkbook"/>
  <xr:revisionPtr revIDLastSave="0" documentId="13_ncr:1_{1D9BBF8A-BB0A-45D3-980D-9134D5A3041F}" xr6:coauthVersionLast="45" xr6:coauthVersionMax="45" xr10:uidLastSave="{00000000-0000-0000-0000-000000000000}"/>
  <bookViews>
    <workbookView xWindow="-120" yWindow="-120" windowWidth="28860" windowHeight="16110" tabRatio="500" xr2:uid="{00000000-000D-0000-FFFF-FFFF00000000}"/>
  </bookViews>
  <sheets>
    <sheet name="Calendario dei turni di lavoro" sheetId="16" r:id="rId1"/>
    <sheet name="Modello turni" sheetId="20" r:id="rId2"/>
  </sheets>
  <definedNames>
    <definedName name="AgoDom1">DATE(AnnoCalendario,8,1)-WEEKDAY(DATE(AnnoCalendario,8,1))+1</definedName>
    <definedName name="AnnoCalendario">'Calendario dei turni di lavoro'!$AC$1</definedName>
    <definedName name="AprDom1">DATE(AnnoCalendario,4,1)-WEEKDAY(DATE(AnnoCalendario,4,1))+1</definedName>
    <definedName name="DicDom1">DATE(AnnoCalendario,12,1)-WEEKDAY(DATE(AnnoCalendario,12,1))+1</definedName>
    <definedName name="FebDom1">DATE(AnnoCalendario,2,1)-WEEKDAY(DATE(AnnoCalendario,2,1))+1</definedName>
    <definedName name="GenDom1">DATE(AnnoCalendario,1,1)-WEEKDAY(DATE(AnnoCalendario,1,1))+1</definedName>
    <definedName name="GiuDom1">DATE(AnnoCalendario,6,1)-WEEKDAY(DATE(AnnoCalendario,6,1))+1</definedName>
    <definedName name="Intervallo_Giorni">'Calendario dei turni di lavoro'!$B$7:$H$12,'Calendario dei turni di lavoro'!$J$7:$P$12,'Calendario dei turni di lavoro'!$R$7:$X$12,'Calendario dei turni di lavoro'!$Z$7:$AF$12,'Calendario dei turni di lavoro'!$B$16:$H$21,'Calendario dei turni di lavoro'!$J$16:$P$21,'Calendario dei turni di lavoro'!$R$16:$X$21,'Calendario dei turni di lavoro'!$Z$16:$AF$21,'Calendario dei turni di lavoro'!$B$25:$H$30,'Calendario dei turni di lavoro'!$J$25:$P$30,'Calendario dei turni di lavoro'!$R$25:$X$30,'Calendario dei turni di lavoro'!$Z$25:$AF$30</definedName>
    <definedName name="LugDom1">DATE(AnnoCalendario,7,1)-WEEKDAY(DATE(AnnoCalendario,7,1))+1</definedName>
    <definedName name="MagDom1">DATE(AnnoCalendario,5,1)-WEEKDAY(DATE(AnnoCalendario,5,1))+1</definedName>
    <definedName name="MarDom1">DATE(AnnoCalendario,3,1)-WEEKDAY(DATE(AnnoCalendario,3,1))+1</definedName>
    <definedName name="Modello_Inizio">'Modello turni'!$C$9</definedName>
    <definedName name="NovDom1">DATE(AnnoCalendario,11,1)-WEEKDAY(DATE(AnnoCalendario,11,1))+1</definedName>
    <definedName name="OttDom1">DATE(AnnoCalendario,10,1)-WEEKDAY(DATE(AnnoCalendario,10,1))+1</definedName>
    <definedName name="SetDom1">DATE(AnnoCalendario,9,1)-WEEKDAY(DATE(AnnoCalendario,9,1))+1</definedName>
    <definedName name="Turno_Schema">'Modello turni'!$C$11</definedName>
    <definedName name="Turno1_Codice">'Modello turni'!$C$4</definedName>
    <definedName name="Turno2_Codice">'Modello turni'!$C$5</definedName>
    <definedName name="Turno3_Codice">'Modello turni'!$C$6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6" l="1"/>
  <c r="I3" i="16"/>
  <c r="C3" i="16"/>
  <c r="C9" i="20" l="1"/>
  <c r="AF30" i="16" l="1"/>
  <c r="AE30" i="16"/>
  <c r="AD30" i="16"/>
  <c r="AC30" i="16"/>
  <c r="AB30" i="16"/>
  <c r="AA30" i="16"/>
  <c r="Z30" i="16"/>
  <c r="X30" i="16"/>
  <c r="W30" i="16"/>
  <c r="V30" i="16"/>
  <c r="U30" i="16"/>
  <c r="T30" i="16"/>
  <c r="S30" i="16"/>
  <c r="R30" i="16"/>
  <c r="P30" i="16"/>
  <c r="O30" i="16"/>
  <c r="N30" i="16"/>
  <c r="M30" i="16"/>
  <c r="L30" i="16"/>
  <c r="K30" i="16"/>
  <c r="J30" i="16"/>
  <c r="H30" i="16"/>
  <c r="G30" i="16"/>
  <c r="F30" i="16"/>
  <c r="E30" i="16"/>
  <c r="D30" i="16"/>
  <c r="C30" i="16"/>
  <c r="B30" i="16"/>
  <c r="AF29" i="16"/>
  <c r="AE29" i="16"/>
  <c r="AD29" i="16"/>
  <c r="AC29" i="16"/>
  <c r="AB29" i="16"/>
  <c r="AA29" i="16"/>
  <c r="Z29" i="16"/>
  <c r="X29" i="16"/>
  <c r="W29" i="16"/>
  <c r="V29" i="16"/>
  <c r="U29" i="16"/>
  <c r="T29" i="16"/>
  <c r="S29" i="16"/>
  <c r="R29" i="16"/>
  <c r="P29" i="16"/>
  <c r="O29" i="16"/>
  <c r="N29" i="16"/>
  <c r="M29" i="16"/>
  <c r="L29" i="16"/>
  <c r="K29" i="16"/>
  <c r="J29" i="16"/>
  <c r="H29" i="16"/>
  <c r="G29" i="16"/>
  <c r="F29" i="16"/>
  <c r="E29" i="16"/>
  <c r="D29" i="16"/>
  <c r="C29" i="16"/>
  <c r="B29" i="16"/>
  <c r="AF28" i="16"/>
  <c r="AE28" i="16"/>
  <c r="AD28" i="16"/>
  <c r="AC28" i="16"/>
  <c r="AB28" i="16"/>
  <c r="AA28" i="16"/>
  <c r="Z28" i="16"/>
  <c r="X28" i="16"/>
  <c r="W28" i="16"/>
  <c r="V28" i="16"/>
  <c r="U28" i="16"/>
  <c r="T28" i="16"/>
  <c r="S28" i="16"/>
  <c r="R28" i="16"/>
  <c r="P28" i="16"/>
  <c r="O28" i="16"/>
  <c r="N28" i="16"/>
  <c r="M28" i="16"/>
  <c r="L28" i="16"/>
  <c r="K28" i="16"/>
  <c r="J28" i="16"/>
  <c r="H28" i="16"/>
  <c r="G28" i="16"/>
  <c r="F28" i="16"/>
  <c r="E28" i="16"/>
  <c r="D28" i="16"/>
  <c r="C28" i="16"/>
  <c r="B28" i="16"/>
  <c r="AF27" i="16"/>
  <c r="AE27" i="16"/>
  <c r="AD27" i="16"/>
  <c r="AC27" i="16"/>
  <c r="AB27" i="16"/>
  <c r="AA27" i="16"/>
  <c r="Z27" i="16"/>
  <c r="X27" i="16"/>
  <c r="W27" i="16"/>
  <c r="V27" i="16"/>
  <c r="U27" i="16"/>
  <c r="T27" i="16"/>
  <c r="S27" i="16"/>
  <c r="R27" i="16"/>
  <c r="P27" i="16"/>
  <c r="O27" i="16"/>
  <c r="N27" i="16"/>
  <c r="M27" i="16"/>
  <c r="L27" i="16"/>
  <c r="K27" i="16"/>
  <c r="J27" i="16"/>
  <c r="H27" i="16"/>
  <c r="G27" i="16"/>
  <c r="F27" i="16"/>
  <c r="E27" i="16"/>
  <c r="D27" i="16"/>
  <c r="C27" i="16"/>
  <c r="B27" i="16"/>
  <c r="AF26" i="16"/>
  <c r="AE26" i="16"/>
  <c r="AD26" i="16"/>
  <c r="AC26" i="16"/>
  <c r="AB26" i="16"/>
  <c r="AA26" i="16"/>
  <c r="Z26" i="16"/>
  <c r="X26" i="16"/>
  <c r="W26" i="16"/>
  <c r="V26" i="16"/>
  <c r="U26" i="16"/>
  <c r="T26" i="16"/>
  <c r="S26" i="16"/>
  <c r="R26" i="16"/>
  <c r="P26" i="16"/>
  <c r="O26" i="16"/>
  <c r="N26" i="16"/>
  <c r="M26" i="16"/>
  <c r="L26" i="16"/>
  <c r="K26" i="16"/>
  <c r="J26" i="16"/>
  <c r="H26" i="16"/>
  <c r="G26" i="16"/>
  <c r="F26" i="16"/>
  <c r="E26" i="16"/>
  <c r="D26" i="16"/>
  <c r="C26" i="16"/>
  <c r="B26" i="16"/>
  <c r="AF25" i="16"/>
  <c r="AE25" i="16"/>
  <c r="AD25" i="16"/>
  <c r="AC25" i="16"/>
  <c r="AB25" i="16"/>
  <c r="AA25" i="16"/>
  <c r="Z25" i="16"/>
  <c r="X25" i="16"/>
  <c r="W25" i="16"/>
  <c r="V25" i="16"/>
  <c r="U25" i="16"/>
  <c r="T25" i="16"/>
  <c r="S25" i="16"/>
  <c r="R25" i="16"/>
  <c r="P25" i="16"/>
  <c r="O25" i="16"/>
  <c r="N25" i="16"/>
  <c r="M25" i="16"/>
  <c r="L25" i="16"/>
  <c r="K25" i="16"/>
  <c r="J25" i="16"/>
  <c r="H25" i="16"/>
  <c r="G25" i="16"/>
  <c r="F25" i="16"/>
  <c r="E25" i="16"/>
  <c r="D25" i="16"/>
  <c r="C25" i="16"/>
  <c r="B25" i="16"/>
  <c r="AF21" i="16"/>
  <c r="AE21" i="16"/>
  <c r="AD21" i="16"/>
  <c r="AC21" i="16"/>
  <c r="AB21" i="16"/>
  <c r="AA21" i="16"/>
  <c r="Z21" i="16"/>
  <c r="X21" i="16"/>
  <c r="W21" i="16"/>
  <c r="V21" i="16"/>
  <c r="U21" i="16"/>
  <c r="T21" i="16"/>
  <c r="S21" i="16"/>
  <c r="R21" i="16"/>
  <c r="P21" i="16"/>
  <c r="O21" i="16"/>
  <c r="N21" i="16"/>
  <c r="M21" i="16"/>
  <c r="L21" i="16"/>
  <c r="K21" i="16"/>
  <c r="J21" i="16"/>
  <c r="H21" i="16"/>
  <c r="G21" i="16"/>
  <c r="F21" i="16"/>
  <c r="E21" i="16"/>
  <c r="D21" i="16"/>
  <c r="C21" i="16"/>
  <c r="B21" i="16"/>
  <c r="AF20" i="16"/>
  <c r="AE20" i="16"/>
  <c r="AD20" i="16"/>
  <c r="AC20" i="16"/>
  <c r="AB20" i="16"/>
  <c r="AA20" i="16"/>
  <c r="Z20" i="16"/>
  <c r="X20" i="16"/>
  <c r="W20" i="16"/>
  <c r="V20" i="16"/>
  <c r="U20" i="16"/>
  <c r="T20" i="16"/>
  <c r="S20" i="16"/>
  <c r="R20" i="16"/>
  <c r="P20" i="16"/>
  <c r="O20" i="16"/>
  <c r="N20" i="16"/>
  <c r="M20" i="16"/>
  <c r="L20" i="16"/>
  <c r="K20" i="16"/>
  <c r="J20" i="16"/>
  <c r="H20" i="16"/>
  <c r="G20" i="16"/>
  <c r="F20" i="16"/>
  <c r="E20" i="16"/>
  <c r="D20" i="16"/>
  <c r="C20" i="16"/>
  <c r="B20" i="16"/>
  <c r="AF19" i="16"/>
  <c r="AE19" i="16"/>
  <c r="AD19" i="16"/>
  <c r="AC19" i="16"/>
  <c r="AB19" i="16"/>
  <c r="AA19" i="16"/>
  <c r="Z19" i="16"/>
  <c r="X19" i="16"/>
  <c r="W19" i="16"/>
  <c r="V19" i="16"/>
  <c r="U19" i="16"/>
  <c r="T19" i="16"/>
  <c r="S19" i="16"/>
  <c r="R19" i="16"/>
  <c r="P19" i="16"/>
  <c r="O19" i="16"/>
  <c r="N19" i="16"/>
  <c r="M19" i="16"/>
  <c r="L19" i="16"/>
  <c r="K19" i="16"/>
  <c r="J19" i="16"/>
  <c r="H19" i="16"/>
  <c r="G19" i="16"/>
  <c r="F19" i="16"/>
  <c r="E19" i="16"/>
  <c r="D19" i="16"/>
  <c r="C19" i="16"/>
  <c r="B19" i="16"/>
  <c r="AF18" i="16"/>
  <c r="AE18" i="16"/>
  <c r="AD18" i="16"/>
  <c r="AC18" i="16"/>
  <c r="AB18" i="16"/>
  <c r="AA18" i="16"/>
  <c r="Z18" i="16"/>
  <c r="X18" i="16"/>
  <c r="W18" i="16"/>
  <c r="V18" i="16"/>
  <c r="U18" i="16"/>
  <c r="T18" i="16"/>
  <c r="S18" i="16"/>
  <c r="R18" i="16"/>
  <c r="P18" i="16"/>
  <c r="O18" i="16"/>
  <c r="N18" i="16"/>
  <c r="M18" i="16"/>
  <c r="L18" i="16"/>
  <c r="K18" i="16"/>
  <c r="J18" i="16"/>
  <c r="H18" i="16"/>
  <c r="G18" i="16"/>
  <c r="F18" i="16"/>
  <c r="E18" i="16"/>
  <c r="D18" i="16"/>
  <c r="C18" i="16"/>
  <c r="B18" i="16"/>
  <c r="AF17" i="16"/>
  <c r="AE17" i="16"/>
  <c r="AD17" i="16"/>
  <c r="AC17" i="16"/>
  <c r="AB17" i="16"/>
  <c r="AA17" i="16"/>
  <c r="Z17" i="16"/>
  <c r="X17" i="16"/>
  <c r="W17" i="16"/>
  <c r="V17" i="16"/>
  <c r="U17" i="16"/>
  <c r="T17" i="16"/>
  <c r="S17" i="16"/>
  <c r="R17" i="16"/>
  <c r="P17" i="16"/>
  <c r="O17" i="16"/>
  <c r="N17" i="16"/>
  <c r="M17" i="16"/>
  <c r="L17" i="16"/>
  <c r="K17" i="16"/>
  <c r="J17" i="16"/>
  <c r="H17" i="16"/>
  <c r="G17" i="16"/>
  <c r="F17" i="16"/>
  <c r="E17" i="16"/>
  <c r="D17" i="16"/>
  <c r="C17" i="16"/>
  <c r="B17" i="16"/>
  <c r="AF16" i="16"/>
  <c r="AE16" i="16"/>
  <c r="AD16" i="16"/>
  <c r="AC16" i="16"/>
  <c r="AB16" i="16"/>
  <c r="AA16" i="16"/>
  <c r="Z16" i="16"/>
  <c r="X16" i="16"/>
  <c r="W16" i="16"/>
  <c r="V16" i="16"/>
  <c r="U16" i="16"/>
  <c r="T16" i="16"/>
  <c r="S16" i="16"/>
  <c r="R16" i="16"/>
  <c r="P16" i="16"/>
  <c r="O16" i="16"/>
  <c r="N16" i="16"/>
  <c r="M16" i="16"/>
  <c r="L16" i="16"/>
  <c r="K16" i="16"/>
  <c r="J16" i="16"/>
  <c r="H16" i="16"/>
  <c r="G16" i="16"/>
  <c r="F16" i="16"/>
  <c r="E16" i="16"/>
  <c r="D16" i="16"/>
  <c r="C16" i="16"/>
  <c r="B16" i="16"/>
  <c r="AF12" i="16"/>
  <c r="AE12" i="16"/>
  <c r="AD12" i="16"/>
  <c r="AC12" i="16"/>
  <c r="AB12" i="16"/>
  <c r="AA12" i="16"/>
  <c r="Z12" i="16"/>
  <c r="X12" i="16"/>
  <c r="W12" i="16"/>
  <c r="V12" i="16"/>
  <c r="U12" i="16"/>
  <c r="T12" i="16"/>
  <c r="S12" i="16"/>
  <c r="R12" i="16"/>
  <c r="AF11" i="16"/>
  <c r="AE11" i="16"/>
  <c r="AD11" i="16"/>
  <c r="AC11" i="16"/>
  <c r="AB11" i="16"/>
  <c r="AA11" i="16"/>
  <c r="Z11" i="16"/>
  <c r="X11" i="16"/>
  <c r="W11" i="16"/>
  <c r="V11" i="16"/>
  <c r="U11" i="16"/>
  <c r="T11" i="16"/>
  <c r="S11" i="16"/>
  <c r="R11" i="16"/>
  <c r="AF10" i="16"/>
  <c r="AE10" i="16"/>
  <c r="AD10" i="16"/>
  <c r="AC10" i="16"/>
  <c r="AB10" i="16"/>
  <c r="AA10" i="16"/>
  <c r="Z10" i="16"/>
  <c r="X10" i="16"/>
  <c r="W10" i="16"/>
  <c r="V10" i="16"/>
  <c r="U10" i="16"/>
  <c r="T10" i="16"/>
  <c r="S10" i="16"/>
  <c r="R10" i="16"/>
  <c r="AF9" i="16"/>
  <c r="AE9" i="16"/>
  <c r="AD9" i="16"/>
  <c r="AC9" i="16"/>
  <c r="AB9" i="16"/>
  <c r="AA9" i="16"/>
  <c r="Z9" i="16"/>
  <c r="X9" i="16"/>
  <c r="W9" i="16"/>
  <c r="V9" i="16"/>
  <c r="U9" i="16"/>
  <c r="T9" i="16"/>
  <c r="S9" i="16"/>
  <c r="R9" i="16"/>
  <c r="AF8" i="16"/>
  <c r="AE8" i="16"/>
  <c r="AD8" i="16"/>
  <c r="AC8" i="16"/>
  <c r="AB8" i="16"/>
  <c r="AA8" i="16"/>
  <c r="Z8" i="16"/>
  <c r="X8" i="16"/>
  <c r="W8" i="16"/>
  <c r="V8" i="16"/>
  <c r="U8" i="16"/>
  <c r="T8" i="16"/>
  <c r="S8" i="16"/>
  <c r="R8" i="16"/>
  <c r="AF7" i="16"/>
  <c r="AE7" i="16"/>
  <c r="AD7" i="16"/>
  <c r="AC7" i="16"/>
  <c r="AB7" i="16"/>
  <c r="AA7" i="16"/>
  <c r="Z7" i="16"/>
  <c r="X7" i="16"/>
  <c r="W7" i="16"/>
  <c r="V7" i="16"/>
  <c r="U7" i="16"/>
  <c r="T7" i="16"/>
  <c r="S7" i="16"/>
  <c r="R7" i="16"/>
  <c r="P12" i="16"/>
  <c r="O12" i="16"/>
  <c r="N12" i="16"/>
  <c r="M12" i="16"/>
  <c r="L12" i="16"/>
  <c r="K12" i="16"/>
  <c r="J12" i="16"/>
  <c r="P11" i="16"/>
  <c r="O11" i="16"/>
  <c r="N11" i="16"/>
  <c r="M11" i="16"/>
  <c r="L11" i="16"/>
  <c r="K11" i="16"/>
  <c r="J11" i="16"/>
  <c r="P10" i="16"/>
  <c r="O10" i="16"/>
  <c r="N10" i="16"/>
  <c r="M10" i="16"/>
  <c r="L10" i="16"/>
  <c r="K10" i="16"/>
  <c r="J10" i="16"/>
  <c r="P9" i="16"/>
  <c r="O9" i="16"/>
  <c r="N9" i="16"/>
  <c r="M9" i="16"/>
  <c r="L9" i="16"/>
  <c r="K9" i="16"/>
  <c r="J9" i="16"/>
  <c r="P8" i="16"/>
  <c r="O8" i="16"/>
  <c r="N8" i="16"/>
  <c r="M8" i="16"/>
  <c r="L8" i="16"/>
  <c r="K8" i="16"/>
  <c r="J8" i="16"/>
  <c r="P7" i="16"/>
  <c r="O7" i="16"/>
  <c r="N7" i="16"/>
  <c r="M7" i="16"/>
  <c r="L7" i="16"/>
  <c r="K7" i="16"/>
  <c r="J7" i="16"/>
  <c r="H12" i="16" l="1"/>
  <c r="G12" i="16"/>
  <c r="F12" i="16"/>
  <c r="E12" i="16"/>
  <c r="D12" i="16"/>
  <c r="C12" i="16"/>
  <c r="B12" i="16"/>
  <c r="H11" i="16"/>
  <c r="G11" i="16"/>
  <c r="F11" i="16"/>
  <c r="E11" i="16"/>
  <c r="D11" i="16"/>
  <c r="C11" i="16"/>
  <c r="B11" i="16"/>
  <c r="H10" i="16"/>
  <c r="G10" i="16"/>
  <c r="F10" i="16"/>
  <c r="E10" i="16"/>
  <c r="D10" i="16"/>
  <c r="C10" i="16"/>
  <c r="B10" i="16"/>
  <c r="H9" i="16"/>
  <c r="G9" i="16"/>
  <c r="F9" i="16"/>
  <c r="E9" i="16"/>
  <c r="D9" i="16"/>
  <c r="C9" i="16"/>
  <c r="B9" i="16"/>
  <c r="H8" i="16"/>
  <c r="G8" i="16"/>
  <c r="F8" i="16"/>
  <c r="E8" i="16"/>
  <c r="D8" i="16"/>
  <c r="C8" i="16"/>
  <c r="B8" i="16"/>
  <c r="H7" i="16"/>
  <c r="G7" i="16"/>
  <c r="F7" i="16"/>
  <c r="E7" i="16"/>
  <c r="D7" i="16"/>
  <c r="C7" i="16"/>
  <c r="B7" i="16"/>
</calcChain>
</file>

<file path=xl/sharedStrings.xml><?xml version="1.0" encoding="utf-8"?>
<sst xmlns="http://schemas.openxmlformats.org/spreadsheetml/2006/main" count="116" uniqueCount="38">
  <si>
    <t>Gennaio</t>
  </si>
  <si>
    <t>Lu</t>
  </si>
  <si>
    <t>Maggio</t>
  </si>
  <si>
    <t>Settembre</t>
  </si>
  <si>
    <t>Ma</t>
  </si>
  <si>
    <t>Me</t>
  </si>
  <si>
    <t>Gi</t>
  </si>
  <si>
    <t>Ve</t>
  </si>
  <si>
    <t>Sa</t>
  </si>
  <si>
    <t>Do</t>
  </si>
  <si>
    <t>Febbraio</t>
  </si>
  <si>
    <t>Giugno</t>
  </si>
  <si>
    <t>Ottobre</t>
  </si>
  <si>
    <t>Marzo</t>
  </si>
  <si>
    <t>Luglio</t>
  </si>
  <si>
    <t>Novembre</t>
  </si>
  <si>
    <t>Aprile</t>
  </si>
  <si>
    <t>Agosto</t>
  </si>
  <si>
    <t>Dicembre</t>
  </si>
  <si>
    <t>Modello dei turni</t>
  </si>
  <si>
    <t>Pianificazione dei turni</t>
  </si>
  <si>
    <t>Turno diurno</t>
  </si>
  <si>
    <t>Turno notturno</t>
  </si>
  <si>
    <t>Turno personalizzato</t>
  </si>
  <si>
    <t>Giorno libero</t>
  </si>
  <si>
    <t>Data di inizio modello</t>
  </si>
  <si>
    <t>Codice</t>
  </si>
  <si>
    <t>D</t>
  </si>
  <si>
    <t>N</t>
  </si>
  <si>
    <t>C</t>
  </si>
  <si>
    <t>x</t>
  </si>
  <si>
    <t>DDDDxxNNNNxxDDDxNNNxxxDDxNNx</t>
  </si>
  <si>
    <t>Impostare il modello dei turni usando le lettere nella Colonna codice della tabella precedente.</t>
  </si>
  <si>
    <t>Durata del turno</t>
  </si>
  <si>
    <t>Dalle 06.00 alle 02:00</t>
  </si>
  <si>
    <t>dalle 10:00 alle 06:00</t>
  </si>
  <si>
    <t xml:space="preserve"> </t>
  </si>
  <si>
    <r>
      <rPr>
        <sz val="40"/>
        <color theme="3" tint="-0.499984740745262"/>
        <rFont val="Franklin Gothic Medium"/>
        <family val="2"/>
        <scheme val="major"/>
      </rPr>
      <t>Calendario</t>
    </r>
    <r>
      <rPr>
        <sz val="40"/>
        <color rgb="FF0E668B"/>
        <rFont val="Franklin Gothic Medium"/>
        <family val="2"/>
        <scheme val="major"/>
      </rPr>
      <t xml:space="preserve"> DEI TURNI DI LAVORO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</si>
</sst>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&quot;KZT&quot;* #,##0_);_(&quot;KZT&quot;* \(#,##0\);_(&quot;KZT&quot;* &quot;-&quot;_);_(@_)"/>
    <numFmt numFmtId="167" formatCode="_(&quot;KZT&quot;* #,##0.00_);_(&quot;KZT&quot;* \(#,##0.00\);_(&quot;KZT&quot;* &quot;-&quot;??_);_(@_)"/>
    <numFmt numFmtId="168" formatCode="d"/>
    <numFmt numFmtId="171" formatCode="[$-410]d\ mmmm\ yyyy;@"/>
  </numFmts>
  <fonts count="48" x14ac:knownFonts="1">
    <font>
      <sz val="12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sz val="11"/>
      <color theme="0" tint="-0.499984740745262"/>
      <name val="Calibri"/>
      <family val="2"/>
    </font>
    <font>
      <u/>
      <sz val="12"/>
      <color theme="10"/>
      <name val="Franklin Gothic Book"/>
      <family val="2"/>
      <scheme val="minor"/>
    </font>
    <font>
      <u/>
      <sz val="12"/>
      <color theme="1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2"/>
      <color rgb="FF006100"/>
      <name val="Franklin Gothic Book"/>
      <family val="2"/>
      <scheme val="minor"/>
    </font>
    <font>
      <sz val="12"/>
      <color rgb="FF9C0006"/>
      <name val="Franklin Gothic Book"/>
      <family val="2"/>
      <scheme val="minor"/>
    </font>
    <font>
      <sz val="12"/>
      <color rgb="FF9C5700"/>
      <name val="Franklin Gothic Book"/>
      <family val="2"/>
      <scheme val="minor"/>
    </font>
    <font>
      <sz val="12"/>
      <color rgb="FF3F3F76"/>
      <name val="Franklin Gothic Book"/>
      <family val="2"/>
      <scheme val="minor"/>
    </font>
    <font>
      <b/>
      <sz val="12"/>
      <color rgb="FF3F3F3F"/>
      <name val="Franklin Gothic Book"/>
      <family val="2"/>
      <scheme val="minor"/>
    </font>
    <font>
      <b/>
      <sz val="12"/>
      <color rgb="FFFA7D00"/>
      <name val="Franklin Gothic Book"/>
      <family val="2"/>
      <scheme val="minor"/>
    </font>
    <font>
      <sz val="12"/>
      <color rgb="FFFA7D0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i/>
      <sz val="12"/>
      <color rgb="FF7F7F7F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b/>
      <sz val="22"/>
      <color theme="0" tint="-0.499984740745262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sz val="11"/>
      <color theme="0" tint="-0.499984740745262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22"/>
      <color theme="7" tint="-0.249977111117893"/>
      <name val="Franklin Gothic Medium"/>
      <family val="2"/>
      <scheme val="major"/>
    </font>
    <font>
      <sz val="10"/>
      <color theme="1"/>
      <name val="Franklin Gothic Medium"/>
      <family val="2"/>
      <scheme val="major"/>
    </font>
    <font>
      <sz val="10"/>
      <color theme="0"/>
      <name val="Franklin Gothic Medium"/>
      <family val="2"/>
      <scheme val="major"/>
    </font>
    <font>
      <sz val="12"/>
      <color theme="1" tint="0.14999847407452621"/>
      <name val="Franklin Gothic Book"/>
      <family val="2"/>
      <scheme val="minor"/>
    </font>
    <font>
      <b/>
      <sz val="12"/>
      <color theme="1" tint="0.14999847407452621"/>
      <name val="Franklin Gothic Book"/>
      <family val="2"/>
      <scheme val="minor"/>
    </font>
    <font>
      <sz val="28"/>
      <color theme="7" tint="-0.499984740745262"/>
      <name val="Franklin Gothic Medium"/>
      <family val="2"/>
      <scheme val="major"/>
    </font>
    <font>
      <sz val="16"/>
      <color theme="7" tint="-0.499984740745262"/>
      <name val="Franklin Gothic Medium"/>
      <family val="2"/>
      <scheme val="major"/>
    </font>
    <font>
      <sz val="22"/>
      <color theme="7" tint="-0.499984740745262"/>
      <name val="Franklin Gothic Medium"/>
      <family val="2"/>
      <scheme val="major"/>
    </font>
    <font>
      <sz val="40"/>
      <color theme="7" tint="-0.499984740745262"/>
      <name val="Franklin Gothic Medium"/>
      <family val="2"/>
      <scheme val="major"/>
    </font>
    <font>
      <sz val="40"/>
      <color theme="3" tint="-0.499984740745262"/>
      <name val="Franklin Gothic Medium"/>
      <family val="2"/>
      <scheme val="major"/>
    </font>
    <font>
      <sz val="42"/>
      <color theme="3" tint="-0.499984740745262"/>
      <name val="Franklin Gothic Medium"/>
      <family val="2"/>
      <scheme val="major"/>
    </font>
    <font>
      <sz val="11"/>
      <color theme="0"/>
      <name val="Franklin Gothic Medium"/>
      <family val="2"/>
      <scheme val="major"/>
    </font>
    <font>
      <b/>
      <sz val="22"/>
      <color theme="7" tint="-0.499984740745262"/>
      <name val="Franklin Gothic Medium"/>
      <family val="2"/>
      <scheme val="major"/>
    </font>
    <font>
      <b/>
      <sz val="16"/>
      <color theme="7" tint="-0.499984740745262"/>
      <name val="Franklin Gothic Medium"/>
      <family val="2"/>
      <scheme val="major"/>
    </font>
    <font>
      <sz val="11"/>
      <color theme="1" tint="0.14999847407452621"/>
      <name val="Franklin Gothic Medium"/>
      <family val="2"/>
      <scheme val="major"/>
    </font>
    <font>
      <sz val="11"/>
      <color theme="1" tint="0.14999847407452621"/>
      <name val="Franklin Gothic Book"/>
      <family val="2"/>
      <scheme val="minor"/>
    </font>
    <font>
      <sz val="11"/>
      <color theme="1" tint="0.499984740745262"/>
      <name val="Franklin Gothic Book"/>
      <family val="2"/>
      <scheme val="minor"/>
    </font>
    <font>
      <i/>
      <sz val="8"/>
      <color theme="1" tint="0.34998626667073579"/>
      <name val="Franklin Gothic Book"/>
      <family val="2"/>
      <scheme val="minor"/>
    </font>
    <font>
      <sz val="40"/>
      <color rgb="FF0E668B"/>
      <name val="Franklin Gothic Medium"/>
      <family val="2"/>
      <scheme val="maj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3" tint="-0.499984740745262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4659260841701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77111117893"/>
      </left>
      <right/>
      <top style="thin">
        <color theme="3" tint="-0.499984740745262"/>
      </top>
      <bottom style="thin">
        <color theme="3" tint="-0.499984740745262"/>
      </bottom>
      <diagonal/>
    </border>
  </borders>
  <cellStyleXfs count="56">
    <xf numFmtId="0" fontId="0" fillId="0" borderId="0"/>
    <xf numFmtId="0" fontId="23" fillId="33" borderId="1" applyNumberFormat="0">
      <alignment horizontal="center"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7" fillId="34" borderId="1" applyNumberFormat="0">
      <alignment horizontal="center" vertical="center"/>
    </xf>
    <xf numFmtId="0" fontId="24" fillId="0" borderId="1" applyNumberFormat="0">
      <alignment horizontal="center" vertical="center"/>
    </xf>
    <xf numFmtId="0" fontId="28" fillId="36" borderId="1">
      <alignment horizontal="center" vertical="center"/>
    </xf>
    <xf numFmtId="0" fontId="23" fillId="35" borderId="1">
      <alignment horizontal="center" vertical="center"/>
    </xf>
    <xf numFmtId="0" fontId="28" fillId="29" borderId="1">
      <alignment horizontal="center" vertical="center"/>
    </xf>
    <xf numFmtId="0" fontId="26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/>
    <xf numFmtId="0" fontId="32" fillId="0" borderId="0" xfId="0" applyFont="1"/>
    <xf numFmtId="0" fontId="32" fillId="0" borderId="0" xfId="0" applyFont="1" applyAlignment="1">
      <alignment horizontal="center" vertical="center"/>
    </xf>
    <xf numFmtId="168" fontId="32" fillId="0" borderId="11" xfId="0" applyNumberFormat="1" applyFont="1" applyBorder="1" applyAlignment="1">
      <alignment horizontal="center" vertical="center"/>
    </xf>
    <xf numFmtId="168" fontId="32" fillId="0" borderId="11" xfId="52" applyNumberFormat="1" applyFont="1" applyFill="1" applyBorder="1">
      <alignment horizontal="center" vertical="center"/>
    </xf>
    <xf numFmtId="168" fontId="32" fillId="0" borderId="11" xfId="51" applyNumberFormat="1" applyFont="1" applyBorder="1">
      <alignment horizontal="center" vertical="center"/>
    </xf>
    <xf numFmtId="168" fontId="32" fillId="0" borderId="1" xfId="53" applyNumberFormat="1" applyFont="1" applyFill="1">
      <alignment horizontal="center" vertical="center"/>
    </xf>
    <xf numFmtId="168" fontId="32" fillId="0" borderId="1" xfId="51" applyNumberFormat="1" applyFont="1">
      <alignment horizontal="center" vertical="center"/>
    </xf>
    <xf numFmtId="168" fontId="32" fillId="0" borderId="1" xfId="52" applyNumberFormat="1" applyFont="1" applyFill="1">
      <alignment horizontal="center" vertical="center"/>
    </xf>
    <xf numFmtId="168" fontId="32" fillId="0" borderId="1" xfId="54" applyNumberFormat="1" applyFont="1" applyFill="1">
      <alignment horizontal="center" vertical="center"/>
    </xf>
    <xf numFmtId="168" fontId="32" fillId="0" borderId="1" xfId="1" applyNumberFormat="1" applyFont="1" applyFill="1">
      <alignment horizontal="center" vertical="center"/>
    </xf>
    <xf numFmtId="168" fontId="32" fillId="0" borderId="1" xfId="50" applyNumberFormat="1" applyFont="1" applyFill="1">
      <alignment horizontal="center" vertical="center"/>
    </xf>
    <xf numFmtId="168" fontId="32" fillId="0" borderId="1" xfId="0" applyNumberFormat="1" applyFont="1" applyBorder="1" applyAlignment="1">
      <alignment horizontal="center" vertical="center"/>
    </xf>
    <xf numFmtId="0" fontId="31" fillId="40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37" fillId="0" borderId="13" xfId="0" applyFont="1" applyBorder="1"/>
    <xf numFmtId="0" fontId="40" fillId="40" borderId="16" xfId="0" applyFont="1" applyFill="1" applyBorder="1" applyAlignment="1">
      <alignment horizontal="center" vertical="center"/>
    </xf>
    <xf numFmtId="0" fontId="40" fillId="40" borderId="17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42" borderId="14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 wrapText="1"/>
    </xf>
    <xf numFmtId="0" fontId="42" fillId="0" borderId="0" xfId="0" applyFont="1" applyAlignment="1">
      <alignment vertical="top"/>
    </xf>
    <xf numFmtId="0" fontId="32" fillId="38" borderId="14" xfId="0" applyFont="1" applyFill="1" applyBorder="1" applyAlignment="1">
      <alignment horizontal="center" vertical="center"/>
    </xf>
    <xf numFmtId="0" fontId="32" fillId="37" borderId="15" xfId="0" applyFont="1" applyFill="1" applyBorder="1" applyAlignment="1">
      <alignment horizontal="center" vertical="center"/>
    </xf>
    <xf numFmtId="0" fontId="32" fillId="41" borderId="14" xfId="0" applyFont="1" applyFill="1" applyBorder="1" applyAlignment="1">
      <alignment horizontal="center" vertical="center"/>
    </xf>
    <xf numFmtId="0" fontId="40" fillId="40" borderId="18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44" fillId="41" borderId="14" xfId="0" applyFont="1" applyFill="1" applyBorder="1" applyAlignment="1">
      <alignment horizontal="center" vertical="center"/>
    </xf>
    <xf numFmtId="0" fontId="44" fillId="39" borderId="14" xfId="0" applyFont="1" applyFill="1" applyBorder="1" applyAlignment="1">
      <alignment horizontal="center" vertical="center"/>
    </xf>
    <xf numFmtId="0" fontId="44" fillId="37" borderId="14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indent="1"/>
    </xf>
    <xf numFmtId="0" fontId="32" fillId="0" borderId="0" xfId="0" applyFont="1" applyAlignment="1">
      <alignment horizontal="right" vertical="center" indent="1"/>
    </xf>
    <xf numFmtId="0" fontId="34" fillId="0" borderId="0" xfId="0" applyFont="1"/>
    <xf numFmtId="14" fontId="32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33" fillId="0" borderId="0" xfId="0" applyFont="1"/>
    <xf numFmtId="0" fontId="39" fillId="0" borderId="13" xfId="0" applyFont="1" applyBorder="1" applyAlignment="1">
      <alignment horizontal="right" wrapText="1"/>
    </xf>
    <xf numFmtId="49" fontId="35" fillId="0" borderId="0" xfId="0" applyNumberFormat="1" applyFont="1" applyAlignment="1">
      <alignment horizontal="center" vertical="top"/>
    </xf>
    <xf numFmtId="0" fontId="41" fillId="0" borderId="0" xfId="0" applyFont="1" applyAlignment="1">
      <alignment horizontal="right" vertical="center" wrapText="1"/>
    </xf>
    <xf numFmtId="0" fontId="32" fillId="0" borderId="19" xfId="0" applyFont="1" applyBorder="1" applyAlignment="1">
      <alignment horizontal="left" vertical="center" indent="1"/>
    </xf>
    <xf numFmtId="0" fontId="32" fillId="0" borderId="20" xfId="0" applyFont="1" applyBorder="1" applyAlignment="1">
      <alignment horizontal="left" vertical="center" indent="1"/>
    </xf>
    <xf numFmtId="0" fontId="46" fillId="0" borderId="21" xfId="0" applyFont="1" applyBorder="1" applyAlignment="1">
      <alignment horizontal="left" vertical="top" wrapText="1"/>
    </xf>
    <xf numFmtId="0" fontId="31" fillId="40" borderId="22" xfId="0" applyFont="1" applyFill="1" applyBorder="1" applyAlignment="1">
      <alignment horizontal="center" vertical="center"/>
    </xf>
    <xf numFmtId="0" fontId="31" fillId="40" borderId="24" xfId="0" applyFont="1" applyFill="1" applyBorder="1" applyAlignment="1">
      <alignment horizontal="center" vertical="center"/>
    </xf>
    <xf numFmtId="0" fontId="31" fillId="40" borderId="23" xfId="0" applyFont="1" applyFill="1" applyBorder="1" applyAlignment="1">
      <alignment horizontal="center" vertical="center"/>
    </xf>
    <xf numFmtId="171" fontId="32" fillId="0" borderId="19" xfId="0" applyNumberFormat="1" applyFont="1" applyBorder="1" applyAlignment="1">
      <alignment horizontal="left" vertical="center" indent="1"/>
    </xf>
    <xf numFmtId="171" fontId="32" fillId="0" borderId="20" xfId="0" applyNumberFormat="1" applyFont="1" applyBorder="1" applyAlignment="1">
      <alignment horizontal="left" vertical="center" indent="1"/>
    </xf>
  </cellXfs>
  <cellStyles count="56">
    <cellStyle name="20% - Colore 1" xfId="27" builtinId="30" hidden="1"/>
    <cellStyle name="20% - Colore 2" xfId="31" builtinId="34" hidden="1"/>
    <cellStyle name="20% - Colore 3" xfId="35" builtinId="38" hidden="1"/>
    <cellStyle name="20% - Colore 4" xfId="39" builtinId="42" hidden="1"/>
    <cellStyle name="20% - Colore 5" xfId="43" builtinId="46" hidden="1"/>
    <cellStyle name="20% - Colore 6" xfId="47" builtinId="50" hidden="1"/>
    <cellStyle name="40% - Colore 1" xfId="28" builtinId="31" hidden="1"/>
    <cellStyle name="40% - Colore 2" xfId="32" builtinId="35" hidden="1"/>
    <cellStyle name="40% - Colore 3" xfId="36" builtinId="39" hidden="1"/>
    <cellStyle name="40% - Colore 4" xfId="40" builtinId="43" hidden="1"/>
    <cellStyle name="40% - Colore 5" xfId="44" builtinId="47" hidden="1"/>
    <cellStyle name="40% - Colore 6" xfId="48" builtinId="51" hidden="1"/>
    <cellStyle name="60% - Colore 1" xfId="29" builtinId="32" hidden="1"/>
    <cellStyle name="60% - Colore 2" xfId="33" builtinId="36" hidden="1"/>
    <cellStyle name="60% - Colore 3" xfId="37" builtinId="40" hidden="1"/>
    <cellStyle name="60% - Colore 4" xfId="41" builtinId="44" hidden="1"/>
    <cellStyle name="60% - Colore 5" xfId="45" builtinId="48" hidden="1"/>
    <cellStyle name="60% - Colore 6" xfId="49" builtinId="52" hidden="1"/>
    <cellStyle name="Calcolo" xfId="19" builtinId="22" hidden="1"/>
    <cellStyle name="Cella collegata" xfId="20" builtinId="24" hidden="1"/>
    <cellStyle name="Cella da controllare" xfId="21" builtinId="23" hidden="1"/>
    <cellStyle name="Collegamento ipertestuale" xfId="2" builtinId="8" hidden="1"/>
    <cellStyle name="Collegamento ipertestuale visitato" xfId="3" builtinId="9" hidden="1"/>
    <cellStyle name="Colore 1" xfId="26" builtinId="29" hidden="1"/>
    <cellStyle name="Colore 2" xfId="30" builtinId="33" hidden="1"/>
    <cellStyle name="Colore 3" xfId="34" builtinId="37" hidden="1"/>
    <cellStyle name="Colore 4" xfId="38" builtinId="41" hidden="1"/>
    <cellStyle name="Colore 5" xfId="42" builtinId="45" hidden="1"/>
    <cellStyle name="Colore 6" xfId="46" builtinId="49" hidden="1"/>
    <cellStyle name="Festività" xfId="1" xr:uid="{00000000-0005-0000-0000-000020000000}"/>
    <cellStyle name="Giornata libera" xfId="51" xr:uid="{00000000-0005-0000-0000-000023000000}"/>
    <cellStyle name="Input" xfId="17" builtinId="20" hidden="1"/>
    <cellStyle name="Migliaia" xfId="4" builtinId="3" hidden="1"/>
    <cellStyle name="Migliaia [0]" xfId="5" builtinId="6" hidden="1"/>
    <cellStyle name="Neutrale" xfId="16" builtinId="28" hidden="1"/>
    <cellStyle name="Non lavorativo" xfId="50" xr:uid="{00000000-0005-0000-0000-00002C000000}"/>
    <cellStyle name="Normale" xfId="0" builtinId="0"/>
    <cellStyle name="Normale 2" xfId="55" xr:uid="{00000000-0005-0000-0000-00002E000000}"/>
    <cellStyle name="Nota" xfId="23" builtinId="10" hidden="1"/>
    <cellStyle name="Output" xfId="18" builtinId="21" hidden="1"/>
    <cellStyle name="Percentuale" xfId="8" builtinId="5" hidden="1"/>
    <cellStyle name="Testo avviso" xfId="22" builtinId="11" hidden="1"/>
    <cellStyle name="Testo descrittivo" xfId="24" builtinId="53" hidden="1"/>
    <cellStyle name="Titolo" xfId="9" builtinId="15" hidden="1"/>
    <cellStyle name="Titolo 1" xfId="10" builtinId="16" hidden="1"/>
    <cellStyle name="Titolo 2" xfId="11" builtinId="17" hidden="1"/>
    <cellStyle name="Titolo 3" xfId="12" builtinId="18" hidden="1"/>
    <cellStyle name="Titolo 4" xfId="13" builtinId="19" hidden="1"/>
    <cellStyle name="Totale" xfId="25" builtinId="25" hidden="1"/>
    <cellStyle name="Turno diurno" xfId="52" xr:uid="{00000000-0005-0000-0000-000034000000}"/>
    <cellStyle name="Turno diurno/notturno" xfId="54" xr:uid="{00000000-0005-0000-0000-000035000000}"/>
    <cellStyle name="Turno notturno" xfId="53" xr:uid="{00000000-0005-0000-0000-000036000000}"/>
    <cellStyle name="Valore non valido" xfId="15" builtinId="27" hidden="1"/>
    <cellStyle name="Valore valido" xfId="14" builtinId="26" hidden="1"/>
    <cellStyle name="Valuta" xfId="6" builtinId="4" hidden="1"/>
    <cellStyle name="Valuta [0]" xfId="7" builtinId="7" hidden="1"/>
  </cellStyles>
  <dxfs count="7"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7"/>
  <colors>
    <mruColors>
      <color rgb="FF0E668B"/>
      <color rgb="FF5AAB59"/>
      <color rgb="FF6AAB4C"/>
      <color rgb="FFAE452D"/>
      <color rgb="FFC06B3F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AnnoCalendario" max="2999" min="1900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400050</xdr:colOff>
          <xdr:row>0</xdr:row>
          <xdr:rowOff>342900</xdr:rowOff>
        </xdr:from>
        <xdr:to>
          <xdr:col>28</xdr:col>
          <xdr:colOff>142875</xdr:colOff>
          <xdr:row>0</xdr:row>
          <xdr:rowOff>647700</xdr:rowOff>
        </xdr:to>
        <xdr:sp macro="" textlink="">
          <xdr:nvSpPr>
            <xdr:cNvPr id="1025" name="Casella di selezione" descr="Use the spinner button to change calendar year or change the year in cell AE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 Shift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31"/>
  <sheetViews>
    <sheetView showGridLines="0" showRowColHeaders="0" tabSelected="1" zoomScaleNormal="100" workbookViewId="0"/>
  </sheetViews>
  <sheetFormatPr defaultColWidth="0" defaultRowHeight="26.1" customHeight="1" x14ac:dyDescent="0.3"/>
  <cols>
    <col min="1" max="1" width="1.77734375" style="48" customWidth="1"/>
    <col min="2" max="8" width="4.77734375" style="48" customWidth="1"/>
    <col min="9" max="9" width="4.33203125" style="48" customWidth="1"/>
    <col min="10" max="16" width="4.77734375" style="48" customWidth="1"/>
    <col min="17" max="17" width="4.33203125" style="48" customWidth="1"/>
    <col min="18" max="24" width="4.77734375" style="48" customWidth="1"/>
    <col min="25" max="25" width="4.33203125" style="48" customWidth="1"/>
    <col min="26" max="32" width="4.77734375" style="48" customWidth="1"/>
    <col min="33" max="33" width="1.77734375" style="48" customWidth="1"/>
    <col min="34" max="16384" width="2.88671875" style="48" hidden="1"/>
  </cols>
  <sheetData>
    <row r="1" spans="2:33" s="1" customFormat="1" ht="65.25" customHeight="1" x14ac:dyDescent="0.9">
      <c r="B1" s="23" t="s">
        <v>37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49">
        <v>2020</v>
      </c>
      <c r="AD1" s="49"/>
      <c r="AE1" s="49"/>
      <c r="AF1" s="49"/>
      <c r="AG1" s="47"/>
    </row>
    <row r="2" spans="2:33" s="1" customFormat="1" ht="14.1" customHeight="1" x14ac:dyDescent="0.3">
      <c r="B2" s="5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s="4" customFormat="1" ht="24" customHeight="1" x14ac:dyDescent="0.3">
      <c r="B3" s="42"/>
      <c r="C3" s="43" t="str">
        <f>IF('Modello turni'!D4=0,"",'Modello turni'!D4)</f>
        <v>Dalle 06.00 alle 02:00</v>
      </c>
      <c r="H3" s="41"/>
      <c r="I3" s="43" t="str">
        <f>IF('Modello turni'!D5=0,"",'Modello turni'!D5)</f>
        <v>dalle 10:00 alle 06:00</v>
      </c>
      <c r="L3" s="39"/>
      <c r="N3" s="40"/>
      <c r="O3" s="43" t="str">
        <f>IF('Modello turni'!D6=0,"",'Modello turni'!D6)</f>
        <v/>
      </c>
    </row>
    <row r="4" spans="2:33" s="1" customFormat="1" ht="26.1" customHeight="1" x14ac:dyDescent="0.3"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s="34" customFormat="1" ht="25.5" customHeight="1" x14ac:dyDescent="0.3">
      <c r="B5" s="50" t="s">
        <v>0</v>
      </c>
      <c r="C5" s="50"/>
      <c r="D5" s="50"/>
      <c r="E5" s="50"/>
      <c r="F5" s="50"/>
      <c r="G5" s="50"/>
      <c r="H5" s="50"/>
      <c r="J5" s="50" t="s">
        <v>10</v>
      </c>
      <c r="K5" s="50"/>
      <c r="L5" s="50"/>
      <c r="M5" s="50"/>
      <c r="N5" s="50"/>
      <c r="O5" s="50"/>
      <c r="P5" s="50"/>
      <c r="R5" s="50" t="s">
        <v>13</v>
      </c>
      <c r="S5" s="50"/>
      <c r="T5" s="50"/>
      <c r="U5" s="50"/>
      <c r="V5" s="50"/>
      <c r="W5" s="50"/>
      <c r="X5" s="50"/>
      <c r="Z5" s="50" t="s">
        <v>16</v>
      </c>
      <c r="AA5" s="50"/>
      <c r="AB5" s="50"/>
      <c r="AC5" s="50"/>
      <c r="AD5" s="50"/>
      <c r="AE5" s="50"/>
      <c r="AF5" s="50"/>
    </row>
    <row r="6" spans="2:33" s="6" customFormat="1" ht="26.1" customHeight="1" x14ac:dyDescent="0.25">
      <c r="B6" s="55" t="s">
        <v>1</v>
      </c>
      <c r="C6" s="19" t="s">
        <v>4</v>
      </c>
      <c r="D6" s="19" t="s">
        <v>5</v>
      </c>
      <c r="E6" s="19" t="s">
        <v>6</v>
      </c>
      <c r="F6" s="19" t="s">
        <v>7</v>
      </c>
      <c r="G6" s="56" t="s">
        <v>8</v>
      </c>
      <c r="H6" s="57" t="s">
        <v>9</v>
      </c>
      <c r="J6" s="55" t="s">
        <v>1</v>
      </c>
      <c r="K6" s="19" t="s">
        <v>4</v>
      </c>
      <c r="L6" s="19" t="s">
        <v>5</v>
      </c>
      <c r="M6" s="19" t="s">
        <v>6</v>
      </c>
      <c r="N6" s="19" t="s">
        <v>7</v>
      </c>
      <c r="O6" s="56" t="s">
        <v>8</v>
      </c>
      <c r="P6" s="57" t="s">
        <v>9</v>
      </c>
      <c r="R6" s="55" t="s">
        <v>1</v>
      </c>
      <c r="S6" s="19" t="s">
        <v>4</v>
      </c>
      <c r="T6" s="19" t="s">
        <v>5</v>
      </c>
      <c r="U6" s="19" t="s">
        <v>6</v>
      </c>
      <c r="V6" s="19" t="s">
        <v>7</v>
      </c>
      <c r="W6" s="56" t="s">
        <v>8</v>
      </c>
      <c r="X6" s="57" t="s">
        <v>9</v>
      </c>
      <c r="Z6" s="55" t="s">
        <v>1</v>
      </c>
      <c r="AA6" s="19" t="s">
        <v>4</v>
      </c>
      <c r="AB6" s="19" t="s">
        <v>5</v>
      </c>
      <c r="AC6" s="19" t="s">
        <v>6</v>
      </c>
      <c r="AD6" s="19" t="s">
        <v>7</v>
      </c>
      <c r="AE6" s="56" t="s">
        <v>8</v>
      </c>
      <c r="AF6" s="57" t="s">
        <v>9</v>
      </c>
    </row>
    <row r="7" spans="2:33" s="8" customFormat="1" ht="26.1" customHeight="1" x14ac:dyDescent="0.3">
      <c r="B7" s="9" t="str">
        <f>IF(DAY(GenDom1)=1,"",IF(AND(YEAR(GenDom1+1)=AnnoCalendario,MONTH(GenDom1+1)=1),GenDom1+1,""))</f>
        <v/>
      </c>
      <c r="C7" s="9" t="str">
        <f>IF(DAY(GenDom1)=1,"",IF(AND(YEAR(GenDom1+2)=AnnoCalendario,MONTH(GenDom1+2)=1),GenDom1+2,""))</f>
        <v/>
      </c>
      <c r="D7" s="10">
        <f>IF(DAY(GenDom1)=1,"",IF(AND(YEAR(GenDom1+3)=AnnoCalendario,MONTH(GenDom1+3)=1),GenDom1+3,""))</f>
        <v>43831</v>
      </c>
      <c r="E7" s="10">
        <f>IF(DAY(GenDom1)=1,"",IF(AND(YEAR(GenDom1+4)=AnnoCalendario,MONTH(GenDom1+4)=1),GenDom1+4,""))</f>
        <v>43832</v>
      </c>
      <c r="F7" s="10">
        <f>IF(DAY(GenDom1)=1,"",IF(AND(YEAR(GenDom1+5)=AnnoCalendario,MONTH(GenDom1+5)=1),GenDom1+5,""))</f>
        <v>43833</v>
      </c>
      <c r="G7" s="11">
        <f>IF(DAY(GenDom1)=1,"",IF(AND(YEAR(GenDom1+6)=AnnoCalendario,MONTH(GenDom1+6)=1),GenDom1+6,""))</f>
        <v>43834</v>
      </c>
      <c r="H7" s="11">
        <f>IF(DAY(GenDom1)=1,IF(AND(YEAR(GenDom1)=AnnoCalendario,MONTH(GenDom1)=1),GenDom1,""),IF(AND(YEAR(GenDom1+7)=AnnoCalendario,MONTH(GenDom1+7)=1),GenDom1+7,""))</f>
        <v>43835</v>
      </c>
      <c r="J7" s="9" t="str">
        <f>IF(DAY(FebDom1)=1,"",IF(AND(YEAR(FebDom1+1)=AnnoCalendario,MONTH(FebDom1+1)=2),FebDom1+1,""))</f>
        <v/>
      </c>
      <c r="K7" s="9" t="str">
        <f>IF(DAY(FebDom1)=1,"",IF(AND(YEAR(FebDom1+2)=AnnoCalendario,MONTH(FebDom1+2)=2),FebDom1+2,""))</f>
        <v/>
      </c>
      <c r="L7" s="10" t="str">
        <f>IF(DAY(FebDom1)=1,"",IF(AND(YEAR(FebDom1+3)=AnnoCalendario,MONTH(FebDom1+3)=2),FebDom1+3,""))</f>
        <v/>
      </c>
      <c r="M7" s="10" t="str">
        <f>IF(DAY(FebDom1)=1,"",IF(AND(YEAR(FebDom1+4)=AnnoCalendario,MONTH(FebDom1+4)=2),FebDom1+4,""))</f>
        <v/>
      </c>
      <c r="N7" s="10" t="str">
        <f>IF(DAY(FebDom1)=1,"",IF(AND(YEAR(FebDom1+5)=AnnoCalendario,MONTH(FebDom1+5)=2),FebDom1+5,""))</f>
        <v/>
      </c>
      <c r="O7" s="11">
        <f>IF(DAY(FebDom1)=1,"",IF(AND(YEAR(FebDom1+6)=AnnoCalendario,MONTH(FebDom1+6)=2),FebDom1+6,""))</f>
        <v>43862</v>
      </c>
      <c r="P7" s="11">
        <f>IF(DAY(FebDom1)=1,IF(AND(YEAR(FebDom1)=AnnoCalendario,MONTH(FebDom1)=2),FebDom1,""),IF(AND(YEAR(FebDom1+7)=AnnoCalendario,MONTH(FebDom1+7)=2),FebDom1+7,""))</f>
        <v>43863</v>
      </c>
      <c r="R7" s="9" t="str">
        <f>IF(DAY(MarDom1)=1,"",IF(AND(YEAR(MarDom1+1)=AnnoCalendario,MONTH(MarDom1+1)=3),MarDom1+1,""))</f>
        <v/>
      </c>
      <c r="S7" s="9" t="str">
        <f>IF(DAY(MarDom1)=1,"",IF(AND(YEAR(MarDom1+2)=AnnoCalendario,MONTH(MarDom1+2)=3),MarDom1+2,""))</f>
        <v/>
      </c>
      <c r="T7" s="10" t="str">
        <f>IF(DAY(MarDom1)=1,"",IF(AND(YEAR(MarDom1+3)=AnnoCalendario,MONTH(MarDom1+3)=3),MarDom1+3,""))</f>
        <v/>
      </c>
      <c r="U7" s="10" t="str">
        <f>IF(DAY(MarDom1)=1,"",IF(AND(YEAR(MarDom1+4)=AnnoCalendario,MONTH(MarDom1+4)=3),MarDom1+4,""))</f>
        <v/>
      </c>
      <c r="V7" s="10" t="str">
        <f>IF(DAY(MarDom1)=1,"",IF(AND(YEAR(MarDom1+5)=AnnoCalendario,MONTH(MarDom1+5)=3),MarDom1+5,""))</f>
        <v/>
      </c>
      <c r="W7" s="11" t="str">
        <f>IF(DAY(MarDom1)=1,"",IF(AND(YEAR(MarDom1+6)=AnnoCalendario,MONTH(MarDom1+6)=3),MarDom1+6,""))</f>
        <v/>
      </c>
      <c r="X7" s="11">
        <f>IF(DAY(MarDom1)=1,IF(AND(YEAR(MarDom1)=AnnoCalendario,MONTH(MarDom1)=3),MarDom1,""),IF(AND(YEAR(MarDom1+7)=AnnoCalendario,MONTH(MarDom1+7)=3),MarDom1+7,""))</f>
        <v>43891</v>
      </c>
      <c r="Z7" s="9" t="str">
        <f>IF(DAY(AprDom1)=1,"",IF(AND(YEAR(AprDom1+1)=AnnoCalendario,MONTH(AprDom1+1)=4),AprDom1+1,""))</f>
        <v/>
      </c>
      <c r="AA7" s="9" t="str">
        <f>IF(DAY(AprDom1)=1,"",IF(AND(YEAR(AprDom1+2)=AnnoCalendario,MONTH(AprDom1+2)=4),AprDom1+2,""))</f>
        <v/>
      </c>
      <c r="AB7" s="10">
        <f>IF(DAY(AprDom1)=1,"",IF(AND(YEAR(AprDom1+3)=AnnoCalendario,MONTH(AprDom1+3)=4),AprDom1+3,""))</f>
        <v>43922</v>
      </c>
      <c r="AC7" s="10">
        <f>IF(DAY(AprDom1)=1,"",IF(AND(YEAR(AprDom1+4)=AnnoCalendario,MONTH(AprDom1+4)=4),AprDom1+4,""))</f>
        <v>43923</v>
      </c>
      <c r="AD7" s="10">
        <f>IF(DAY(AprDom1)=1,"",IF(AND(YEAR(AprDom1+5)=AnnoCalendario,MONTH(AprDom1+5)=4),AprDom1+5,""))</f>
        <v>43924</v>
      </c>
      <c r="AE7" s="11">
        <f>IF(DAY(AprDom1)=1,"",IF(AND(YEAR(AprDom1+6)=AnnoCalendario,MONTH(AprDom1+6)=4),AprDom1+6,""))</f>
        <v>43925</v>
      </c>
      <c r="AF7" s="11">
        <f>IF(DAY(AprDom1)=1,IF(AND(YEAR(AprDom1)=AnnoCalendario,MONTH(AprDom1)=4),AprDom1,""),IF(AND(YEAR(AprDom1+7)=AnnoCalendario,MONTH(AprDom1+7)=4),AprDom1+7,""))</f>
        <v>43926</v>
      </c>
    </row>
    <row r="8" spans="2:33" s="8" customFormat="1" ht="26.1" customHeight="1" x14ac:dyDescent="0.3">
      <c r="B8" s="12">
        <f>IF(DAY(GenDom1)=1,IF(AND(YEAR(GenDom1+1)=AnnoCalendario,MONTH(GenDom1+1)=1),GenDom1+1,""),IF(AND(YEAR(GenDom1+8)=AnnoCalendario,MONTH(GenDom1+8)=1),GenDom1+8,""))</f>
        <v>43836</v>
      </c>
      <c r="C8" s="12">
        <f>IF(DAY(GenDom1)=1,IF(AND(YEAR(GenDom1+2)=AnnoCalendario,MONTH(GenDom1+2)=1),GenDom1+2,""),IF(AND(YEAR(GenDom1+9)=AnnoCalendario,MONTH(GenDom1+9)=1),GenDom1+9,""))</f>
        <v>43837</v>
      </c>
      <c r="D8" s="12">
        <f>IF(DAY(GenDom1)=1,IF(AND(YEAR(GenDom1+3)=AnnoCalendario,MONTH(GenDom1+3)=1),GenDom1+3,""),IF(AND(YEAR(GenDom1+10)=AnnoCalendario,MONTH(GenDom1+10)=1),GenDom1+10,""))</f>
        <v>43838</v>
      </c>
      <c r="E8" s="13">
        <f>IF(DAY(GenDom1)=1,IF(AND(YEAR(GenDom1+4)=AnnoCalendario,MONTH(GenDom1+4)=1),GenDom1+4,""),IF(AND(YEAR(GenDom1+11)=AnnoCalendario,MONTH(GenDom1+11)=1),GenDom1+11,""))</f>
        <v>43839</v>
      </c>
      <c r="F8" s="13">
        <f>IF(DAY(GenDom1)=1,IF(AND(YEAR(GenDom1+5)=AnnoCalendario,MONTH(GenDom1+5)=1),GenDom1+5,""),IF(AND(YEAR(GenDom1+12)=AnnoCalendario,MONTH(GenDom1+12)=1),GenDom1+12,""))</f>
        <v>43840</v>
      </c>
      <c r="G8" s="14">
        <f>IF(DAY(GenDom1)=1,IF(AND(YEAR(GenDom1+6)=AnnoCalendario,MONTH(GenDom1+6)=1),GenDom1+6,""),IF(AND(YEAR(GenDom1+13)=AnnoCalendario,MONTH(GenDom1+13)=1),GenDom1+13,""))</f>
        <v>43841</v>
      </c>
      <c r="H8" s="14">
        <f>IF(DAY(GenDom1)=1,IF(AND(YEAR(GenDom1+7)=AnnoCalendario,MONTH(GenDom1+7)=1),GenDom1+7,""),IF(AND(YEAR(GenDom1+14)=AnnoCalendario,MONTH(GenDom1+14)=1),GenDom1+14,""))</f>
        <v>43842</v>
      </c>
      <c r="J8" s="12">
        <f>IF(DAY(FebDom1)=1,IF(AND(YEAR(FebDom1+1)=AnnoCalendario,MONTH(FebDom1+1)=2),FebDom1+1,""),IF(AND(YEAR(FebDom1+8)=AnnoCalendario,MONTH(FebDom1+8)=2),FebDom1+8,""))</f>
        <v>43864</v>
      </c>
      <c r="K8" s="12">
        <f>IF(DAY(FebDom1)=1,IF(AND(YEAR(FebDom1+2)=AnnoCalendario,MONTH(FebDom1+2)=2),FebDom1+2,""),IF(AND(YEAR(FebDom1+9)=AnnoCalendario,MONTH(FebDom1+9)=2),FebDom1+9,""))</f>
        <v>43865</v>
      </c>
      <c r="L8" s="12">
        <f>IF(DAY(FebDom1)=1,IF(AND(YEAR(FebDom1+3)=AnnoCalendario,MONTH(FebDom1+3)=2),FebDom1+3,""),IF(AND(YEAR(FebDom1+10)=AnnoCalendario,MONTH(FebDom1+10)=2),FebDom1+10,""))</f>
        <v>43866</v>
      </c>
      <c r="M8" s="13">
        <f>IF(DAY(FebDom1)=1,IF(AND(YEAR(FebDom1+4)=AnnoCalendario,MONTH(FebDom1+4)=2),FebDom1+4,""),IF(AND(YEAR(FebDom1+11)=AnnoCalendario,MONTH(FebDom1+11)=2),FebDom1+11,""))</f>
        <v>43867</v>
      </c>
      <c r="N8" s="13">
        <f>IF(DAY(FebDom1)=1,IF(AND(YEAR(FebDom1+5)=AnnoCalendario,MONTH(FebDom1+5)=2),FebDom1+5,""),IF(AND(YEAR(FebDom1+12)=AnnoCalendario,MONTH(FebDom1+12)=2),FebDom1+12,""))</f>
        <v>43868</v>
      </c>
      <c r="O8" s="14">
        <f>IF(DAY(FebDom1)=1,IF(AND(YEAR(FebDom1+6)=AnnoCalendario,MONTH(FebDom1+6)=2),FebDom1+6,""),IF(AND(YEAR(FebDom1+13)=AnnoCalendario,MONTH(FebDom1+13)=2),FebDom1+13,""))</f>
        <v>43869</v>
      </c>
      <c r="P8" s="14">
        <f>IF(DAY(FebDom1)=1,IF(AND(YEAR(FebDom1+7)=AnnoCalendario,MONTH(FebDom1+7)=2),FebDom1+7,""),IF(AND(YEAR(FebDom1+14)=AnnoCalendario,MONTH(FebDom1+14)=2),FebDom1+14,""))</f>
        <v>43870</v>
      </c>
      <c r="R8" s="12">
        <f>IF(DAY(MarDom1)=1,IF(AND(YEAR(MarDom1+1)=AnnoCalendario,MONTH(MarDom1+1)=3),MarDom1+1,""),IF(AND(YEAR(MarDom1+8)=AnnoCalendario,MONTH(MarDom1+8)=3),MarDom1+8,""))</f>
        <v>43892</v>
      </c>
      <c r="S8" s="12">
        <f>IF(DAY(MarDom1)=1,IF(AND(YEAR(MarDom1+2)=AnnoCalendario,MONTH(MarDom1+2)=3),MarDom1+2,""),IF(AND(YEAR(MarDom1+9)=AnnoCalendario,MONTH(MarDom1+9)=3),MarDom1+9,""))</f>
        <v>43893</v>
      </c>
      <c r="T8" s="12">
        <f>IF(DAY(MarDom1)=1,IF(AND(YEAR(MarDom1+3)=AnnoCalendario,MONTH(MarDom1+3)=3),MarDom1+3,""),IF(AND(YEAR(MarDom1+10)=AnnoCalendario,MONTH(MarDom1+10)=3),MarDom1+10,""))</f>
        <v>43894</v>
      </c>
      <c r="U8" s="13">
        <f>IF(DAY(MarDom1)=1,IF(AND(YEAR(MarDom1+4)=AnnoCalendario,MONTH(MarDom1+4)=3),MarDom1+4,""),IF(AND(YEAR(MarDom1+11)=AnnoCalendario,MONTH(MarDom1+11)=3),MarDom1+11,""))</f>
        <v>43895</v>
      </c>
      <c r="V8" s="13">
        <f>IF(DAY(MarDom1)=1,IF(AND(YEAR(MarDom1+5)=AnnoCalendario,MONTH(MarDom1+5)=3),MarDom1+5,""),IF(AND(YEAR(MarDom1+12)=AnnoCalendario,MONTH(MarDom1+12)=3),MarDom1+12,""))</f>
        <v>43896</v>
      </c>
      <c r="W8" s="14">
        <f>IF(DAY(MarDom1)=1,IF(AND(YEAR(MarDom1+6)=AnnoCalendario,MONTH(MarDom1+6)=3),MarDom1+6,""),IF(AND(YEAR(MarDom1+13)=AnnoCalendario,MONTH(MarDom1+13)=3),MarDom1+13,""))</f>
        <v>43897</v>
      </c>
      <c r="X8" s="14">
        <f>IF(DAY(MarDom1)=1,IF(AND(YEAR(MarDom1+7)=AnnoCalendario,MONTH(MarDom1+7)=3),MarDom1+7,""),IF(AND(YEAR(MarDom1+14)=AnnoCalendario,MONTH(MarDom1+14)=3),MarDom1+14,""))</f>
        <v>43898</v>
      </c>
      <c r="Z8" s="12">
        <f>IF(DAY(AprDom1)=1,IF(AND(YEAR(AprDom1+1)=AnnoCalendario,MONTH(AprDom1+1)=4),AprDom1+1,""),IF(AND(YEAR(AprDom1+8)=AnnoCalendario,MONTH(AprDom1+8)=4),AprDom1+8,""))</f>
        <v>43927</v>
      </c>
      <c r="AA8" s="12">
        <f>IF(DAY(AprDom1)=1,IF(AND(YEAR(AprDom1+2)=AnnoCalendario,MONTH(AprDom1+2)=4),AprDom1+2,""),IF(AND(YEAR(AprDom1+9)=AnnoCalendario,MONTH(AprDom1+9)=4),AprDom1+9,""))</f>
        <v>43928</v>
      </c>
      <c r="AB8" s="12">
        <f>IF(DAY(AprDom1)=1,IF(AND(YEAR(AprDom1+3)=AnnoCalendario,MONTH(AprDom1+3)=4),AprDom1+3,""),IF(AND(YEAR(AprDom1+10)=AnnoCalendario,MONTH(AprDom1+10)=4),AprDom1+10,""))</f>
        <v>43929</v>
      </c>
      <c r="AC8" s="13">
        <f>IF(DAY(AprDom1)=1,IF(AND(YEAR(AprDom1+4)=AnnoCalendario,MONTH(AprDom1+4)=4),AprDom1+4,""),IF(AND(YEAR(AprDom1+11)=AnnoCalendario,MONTH(AprDom1+11)=4),AprDom1+11,""))</f>
        <v>43930</v>
      </c>
      <c r="AD8" s="13">
        <f>IF(DAY(AprDom1)=1,IF(AND(YEAR(AprDom1+5)=AnnoCalendario,MONTH(AprDom1+5)=4),AprDom1+5,""),IF(AND(YEAR(AprDom1+12)=AnnoCalendario,MONTH(AprDom1+12)=4),AprDom1+12,""))</f>
        <v>43931</v>
      </c>
      <c r="AE8" s="14">
        <f>IF(DAY(AprDom1)=1,IF(AND(YEAR(AprDom1+6)=AnnoCalendario,MONTH(AprDom1+6)=4),AprDom1+6,""),IF(AND(YEAR(AprDom1+13)=AnnoCalendario,MONTH(AprDom1+13)=4),AprDom1+13,""))</f>
        <v>43932</v>
      </c>
      <c r="AF8" s="14">
        <f>IF(DAY(AprDom1)=1,IF(AND(YEAR(AprDom1+7)=AnnoCalendario,MONTH(AprDom1+7)=4),AprDom1+7,""),IF(AND(YEAR(AprDom1+14)=AnnoCalendario,MONTH(AprDom1+14)=4),AprDom1+14,""))</f>
        <v>43933</v>
      </c>
    </row>
    <row r="9" spans="2:33" s="8" customFormat="1" ht="26.1" customHeight="1" x14ac:dyDescent="0.3">
      <c r="B9" s="13">
        <f>IF(DAY(GenDom1)=1,IF(AND(YEAR(GenDom1+8)=AnnoCalendario,MONTH(GenDom1+8)=1),GenDom1+8,""),IF(AND(YEAR(GenDom1+15)=AnnoCalendario,MONTH(GenDom1+15)=1),GenDom1+15,""))</f>
        <v>43843</v>
      </c>
      <c r="C9" s="13">
        <f>IF(DAY(GenDom1)=1,IF(AND(YEAR(GenDom1+9)=AnnoCalendario,MONTH(GenDom1+9)=1),GenDom1+9,""),IF(AND(YEAR(GenDom1+16)=AnnoCalendario,MONTH(GenDom1+16)=1),GenDom1+16,""))</f>
        <v>43844</v>
      </c>
      <c r="D9" s="12">
        <f>IF(DAY(GenDom1)=1,IF(AND(YEAR(GenDom1+10)=AnnoCalendario,MONTH(GenDom1+10)=1),GenDom1+10,""),IF(AND(YEAR(GenDom1+17)=AnnoCalendario,MONTH(GenDom1+17)=1),GenDom1+17,""))</f>
        <v>43845</v>
      </c>
      <c r="E9" s="12">
        <f>IF(DAY(GenDom1)=1,IF(AND(YEAR(GenDom1+11)=AnnoCalendario,MONTH(GenDom1+11)=1),GenDom1+11,""),IF(AND(YEAR(GenDom1+18)=AnnoCalendario,MONTH(GenDom1+18)=1),GenDom1+18,""))</f>
        <v>43846</v>
      </c>
      <c r="F9" s="15">
        <f>IF(DAY(GenDom1)=1,IF(AND(YEAR(GenDom1+12)=AnnoCalendario,MONTH(GenDom1+12)=1),GenDom1+12,""),IF(AND(YEAR(GenDom1+19)=AnnoCalendario,MONTH(GenDom1+19)=1),GenDom1+19,""))</f>
        <v>43847</v>
      </c>
      <c r="G9" s="15">
        <f>IF(DAY(GenDom1)=1,IF(AND(YEAR(GenDom1+13)=AnnoCalendario,MONTH(GenDom1+13)=1),GenDom1+13,""),IF(AND(YEAR(GenDom1+20)=AnnoCalendario,MONTH(GenDom1+20)=1),GenDom1+20,""))</f>
        <v>43848</v>
      </c>
      <c r="H9" s="13">
        <f>IF(DAY(GenDom1)=1,IF(AND(YEAR(GenDom1+14)=AnnoCalendario,MONTH(GenDom1+14)=1),GenDom1+14,""),IF(AND(YEAR(GenDom1+21)=AnnoCalendario,MONTH(GenDom1+21)=1),GenDom1+21,""))</f>
        <v>43849</v>
      </c>
      <c r="J9" s="13">
        <f>IF(DAY(FebDom1)=1,IF(AND(YEAR(FebDom1+8)=AnnoCalendario,MONTH(FebDom1+8)=2),FebDom1+8,""),IF(AND(YEAR(FebDom1+15)=AnnoCalendario,MONTH(FebDom1+15)=2),FebDom1+15,""))</f>
        <v>43871</v>
      </c>
      <c r="K9" s="13">
        <f>IF(DAY(FebDom1)=1,IF(AND(YEAR(FebDom1+9)=AnnoCalendario,MONTH(FebDom1+9)=2),FebDom1+9,""),IF(AND(YEAR(FebDom1+16)=AnnoCalendario,MONTH(FebDom1+16)=2),FebDom1+16,""))</f>
        <v>43872</v>
      </c>
      <c r="L9" s="12">
        <f>IF(DAY(FebDom1)=1,IF(AND(YEAR(FebDom1+10)=AnnoCalendario,MONTH(FebDom1+10)=2),FebDom1+10,""),IF(AND(YEAR(FebDom1+17)=AnnoCalendario,MONTH(FebDom1+17)=2),FebDom1+17,""))</f>
        <v>43873</v>
      </c>
      <c r="M9" s="12">
        <f>IF(DAY(FebDom1)=1,IF(AND(YEAR(FebDom1+11)=AnnoCalendario,MONTH(FebDom1+11)=2),FebDom1+11,""),IF(AND(YEAR(FebDom1+18)=AnnoCalendario,MONTH(FebDom1+18)=2),FebDom1+18,""))</f>
        <v>43874</v>
      </c>
      <c r="N9" s="15">
        <f>IF(DAY(FebDom1)=1,IF(AND(YEAR(FebDom1+12)=AnnoCalendario,MONTH(FebDom1+12)=2),FebDom1+12,""),IF(AND(YEAR(FebDom1+19)=AnnoCalendario,MONTH(FebDom1+19)=2),FebDom1+19,""))</f>
        <v>43875</v>
      </c>
      <c r="O9" s="15">
        <f>IF(DAY(FebDom1)=1,IF(AND(YEAR(FebDom1+13)=AnnoCalendario,MONTH(FebDom1+13)=2),FebDom1+13,""),IF(AND(YEAR(FebDom1+20)=AnnoCalendario,MONTH(FebDom1+20)=2),FebDom1+20,""))</f>
        <v>43876</v>
      </c>
      <c r="P9" s="13">
        <f>IF(DAY(FebDom1)=1,IF(AND(YEAR(FebDom1+14)=AnnoCalendario,MONTH(FebDom1+14)=2),FebDom1+14,""),IF(AND(YEAR(FebDom1+21)=AnnoCalendario,MONTH(FebDom1+21)=2),FebDom1+21,""))</f>
        <v>43877</v>
      </c>
      <c r="R9" s="13">
        <f>IF(DAY(MarDom1)=1,IF(AND(YEAR(MarDom1+8)=AnnoCalendario,MONTH(MarDom1+8)=3),MarDom1+8,""),IF(AND(YEAR(MarDom1+15)=AnnoCalendario,MONTH(MarDom1+15)=3),MarDom1+15,""))</f>
        <v>43899</v>
      </c>
      <c r="S9" s="13">
        <f>IF(DAY(MarDom1)=1,IF(AND(YEAR(MarDom1+9)=AnnoCalendario,MONTH(MarDom1+9)=3),MarDom1+9,""),IF(AND(YEAR(MarDom1+16)=AnnoCalendario,MONTH(MarDom1+16)=3),MarDom1+16,""))</f>
        <v>43900</v>
      </c>
      <c r="T9" s="12">
        <f>IF(DAY(MarDom1)=1,IF(AND(YEAR(MarDom1+10)=AnnoCalendario,MONTH(MarDom1+10)=3),MarDom1+10,""),IF(AND(YEAR(MarDom1+17)=AnnoCalendario,MONTH(MarDom1+17)=3),MarDom1+17,""))</f>
        <v>43901</v>
      </c>
      <c r="U9" s="12">
        <f>IF(DAY(MarDom1)=1,IF(AND(YEAR(MarDom1+11)=AnnoCalendario,MONTH(MarDom1+11)=3),MarDom1+11,""),IF(AND(YEAR(MarDom1+18)=AnnoCalendario,MONTH(MarDom1+18)=3),MarDom1+18,""))</f>
        <v>43902</v>
      </c>
      <c r="V9" s="15">
        <f>IF(DAY(MarDom1)=1,IF(AND(YEAR(MarDom1+12)=AnnoCalendario,MONTH(MarDom1+12)=3),MarDom1+12,""),IF(AND(YEAR(MarDom1+19)=AnnoCalendario,MONTH(MarDom1+19)=3),MarDom1+19,""))</f>
        <v>43903</v>
      </c>
      <c r="W9" s="15">
        <f>IF(DAY(MarDom1)=1,IF(AND(YEAR(MarDom1+13)=AnnoCalendario,MONTH(MarDom1+13)=3),MarDom1+13,""),IF(AND(YEAR(MarDom1+20)=AnnoCalendario,MONTH(MarDom1+20)=3),MarDom1+20,""))</f>
        <v>43904</v>
      </c>
      <c r="X9" s="13">
        <f>IF(DAY(MarDom1)=1,IF(AND(YEAR(MarDom1+14)=AnnoCalendario,MONTH(MarDom1+14)=3),MarDom1+14,""),IF(AND(YEAR(MarDom1+21)=AnnoCalendario,MONTH(MarDom1+21)=3),MarDom1+21,""))</f>
        <v>43905</v>
      </c>
      <c r="Z9" s="13">
        <f>IF(DAY(AprDom1)=1,IF(AND(YEAR(AprDom1+8)=AnnoCalendario,MONTH(AprDom1+8)=4),AprDom1+8,""),IF(AND(YEAR(AprDom1+15)=AnnoCalendario,MONTH(AprDom1+15)=4),AprDom1+15,""))</f>
        <v>43934</v>
      </c>
      <c r="AA9" s="13">
        <f>IF(DAY(AprDom1)=1,IF(AND(YEAR(AprDom1+9)=AnnoCalendario,MONTH(AprDom1+9)=4),AprDom1+9,""),IF(AND(YEAR(AprDom1+16)=AnnoCalendario,MONTH(AprDom1+16)=4),AprDom1+16,""))</f>
        <v>43935</v>
      </c>
      <c r="AB9" s="12">
        <f>IF(DAY(AprDom1)=1,IF(AND(YEAR(AprDom1+10)=AnnoCalendario,MONTH(AprDom1+10)=4),AprDom1+10,""),IF(AND(YEAR(AprDom1+17)=AnnoCalendario,MONTH(AprDom1+17)=4),AprDom1+17,""))</f>
        <v>43936</v>
      </c>
      <c r="AC9" s="12">
        <f>IF(DAY(AprDom1)=1,IF(AND(YEAR(AprDom1+11)=AnnoCalendario,MONTH(AprDom1+11)=4),AprDom1+11,""),IF(AND(YEAR(AprDom1+18)=AnnoCalendario,MONTH(AprDom1+18)=4),AprDom1+18,""))</f>
        <v>43937</v>
      </c>
      <c r="AD9" s="15">
        <f>IF(DAY(AprDom1)=1,IF(AND(YEAR(AprDom1+12)=AnnoCalendario,MONTH(AprDom1+12)=4),AprDom1+12,""),IF(AND(YEAR(AprDom1+19)=AnnoCalendario,MONTH(AprDom1+19)=4),AprDom1+19,""))</f>
        <v>43938</v>
      </c>
      <c r="AE9" s="15">
        <f>IF(DAY(AprDom1)=1,IF(AND(YEAR(AprDom1+13)=AnnoCalendario,MONTH(AprDom1+13)=4),AprDom1+13,""),IF(AND(YEAR(AprDom1+20)=AnnoCalendario,MONTH(AprDom1+20)=4),AprDom1+20,""))</f>
        <v>43939</v>
      </c>
      <c r="AF9" s="13">
        <f>IF(DAY(AprDom1)=1,IF(AND(YEAR(AprDom1+14)=AnnoCalendario,MONTH(AprDom1+14)=4),AprDom1+14,""),IF(AND(YEAR(AprDom1+21)=AnnoCalendario,MONTH(AprDom1+21)=4),AprDom1+21,""))</f>
        <v>43940</v>
      </c>
    </row>
    <row r="10" spans="2:33" s="8" customFormat="1" ht="26.1" customHeight="1" x14ac:dyDescent="0.3">
      <c r="B10" s="14">
        <f>IF(DAY(GenDom1)=1,IF(AND(YEAR(GenDom1+15)=AnnoCalendario,MONTH(GenDom1+15)=1),GenDom1+15,""),IF(AND(YEAR(GenDom1+22)=AnnoCalendario,MONTH(GenDom1+22)=1),GenDom1+22,""))</f>
        <v>43850</v>
      </c>
      <c r="C10" s="14">
        <f>IF(DAY(GenDom1)=1,IF(AND(YEAR(GenDom1+16)=AnnoCalendario,MONTH(GenDom1+16)=1),GenDom1+16,""),IF(AND(YEAR(GenDom1+23)=AnnoCalendario,MONTH(GenDom1+23)=1),GenDom1+23,""))</f>
        <v>43851</v>
      </c>
      <c r="D10" s="14">
        <f>IF(DAY(GenDom1)=1,IF(AND(YEAR(GenDom1+17)=AnnoCalendario,MONTH(GenDom1+17)=1),GenDom1+17,""),IF(AND(YEAR(GenDom1+24)=AnnoCalendario,MONTH(GenDom1+24)=1),GenDom1+24,""))</f>
        <v>43852</v>
      </c>
      <c r="E10" s="13">
        <f>IF(DAY(GenDom1)=1,IF(AND(YEAR(GenDom1+18)=AnnoCalendario,MONTH(GenDom1+18)=1),GenDom1+18,""),IF(AND(YEAR(GenDom1+25)=AnnoCalendario,MONTH(GenDom1+25)=1),GenDom1+25,""))</f>
        <v>43853</v>
      </c>
      <c r="F10" s="16">
        <f>IF(DAY(GenDom1)=1,IF(AND(YEAR(GenDom1+19)=AnnoCalendario,MONTH(GenDom1+19)=1),GenDom1+19,""),IF(AND(YEAR(GenDom1+26)=AnnoCalendario,MONTH(GenDom1+26)=1),GenDom1+26,""))</f>
        <v>43854</v>
      </c>
      <c r="G10" s="13">
        <f>IF(DAY(GenDom1)=1,IF(AND(YEAR(GenDom1+20)=AnnoCalendario,MONTH(GenDom1+20)=1),GenDom1+20,""),IF(AND(YEAR(GenDom1+27)=AnnoCalendario,MONTH(GenDom1+27)=1),GenDom1+27,""))</f>
        <v>43855</v>
      </c>
      <c r="H10" s="13">
        <f>IF(DAY(GenDom1)=1,IF(AND(YEAR(GenDom1+21)=AnnoCalendario,MONTH(GenDom1+21)=1),GenDom1+21,""),IF(AND(YEAR(GenDom1+28)=AnnoCalendario,MONTH(GenDom1+28)=1),GenDom1+28,""))</f>
        <v>43856</v>
      </c>
      <c r="J10" s="14">
        <f>IF(DAY(FebDom1)=1,IF(AND(YEAR(FebDom1+15)=AnnoCalendario,MONTH(FebDom1+15)=2),FebDom1+15,""),IF(AND(YEAR(FebDom1+22)=AnnoCalendario,MONTH(FebDom1+22)=2),FebDom1+22,""))</f>
        <v>43878</v>
      </c>
      <c r="K10" s="14">
        <f>IF(DAY(FebDom1)=1,IF(AND(YEAR(FebDom1+16)=AnnoCalendario,MONTH(FebDom1+16)=2),FebDom1+16,""),IF(AND(YEAR(FebDom1+23)=AnnoCalendario,MONTH(FebDom1+23)=2),FebDom1+23,""))</f>
        <v>43879</v>
      </c>
      <c r="L10" s="14">
        <f>IF(DAY(FebDom1)=1,IF(AND(YEAR(FebDom1+17)=AnnoCalendario,MONTH(FebDom1+17)=2),FebDom1+17,""),IF(AND(YEAR(FebDom1+24)=AnnoCalendario,MONTH(FebDom1+24)=2),FebDom1+24,""))</f>
        <v>43880</v>
      </c>
      <c r="M10" s="13">
        <f>IF(DAY(FebDom1)=1,IF(AND(YEAR(FebDom1+18)=AnnoCalendario,MONTH(FebDom1+18)=2),FebDom1+18,""),IF(AND(YEAR(FebDom1+25)=AnnoCalendario,MONTH(FebDom1+25)=2),FebDom1+25,""))</f>
        <v>43881</v>
      </c>
      <c r="N10" s="16">
        <f>IF(DAY(FebDom1)=1,IF(AND(YEAR(FebDom1+19)=AnnoCalendario,MONTH(FebDom1+19)=2),FebDom1+19,""),IF(AND(YEAR(FebDom1+26)=AnnoCalendario,MONTH(FebDom1+26)=2),FebDom1+26,""))</f>
        <v>43882</v>
      </c>
      <c r="O10" s="13">
        <f>IF(DAY(FebDom1)=1,IF(AND(YEAR(FebDom1+20)=AnnoCalendario,MONTH(FebDom1+20)=2),FebDom1+20,""),IF(AND(YEAR(FebDom1+27)=AnnoCalendario,MONTH(FebDom1+27)=2),FebDom1+27,""))</f>
        <v>43883</v>
      </c>
      <c r="P10" s="13">
        <f>IF(DAY(FebDom1)=1,IF(AND(YEAR(FebDom1+21)=AnnoCalendario,MONTH(FebDom1+21)=2),FebDom1+21,""),IF(AND(YEAR(FebDom1+28)=AnnoCalendario,MONTH(FebDom1+28)=2),FebDom1+28,""))</f>
        <v>43884</v>
      </c>
      <c r="R10" s="14">
        <f>IF(DAY(MarDom1)=1,IF(AND(YEAR(MarDom1+15)=AnnoCalendario,MONTH(MarDom1+15)=3),MarDom1+15,""),IF(AND(YEAR(MarDom1+22)=AnnoCalendario,MONTH(MarDom1+22)=3),MarDom1+22,""))</f>
        <v>43906</v>
      </c>
      <c r="S10" s="14">
        <f>IF(DAY(MarDom1)=1,IF(AND(YEAR(MarDom1+16)=AnnoCalendario,MONTH(MarDom1+16)=3),MarDom1+16,""),IF(AND(YEAR(MarDom1+23)=AnnoCalendario,MONTH(MarDom1+23)=3),MarDom1+23,""))</f>
        <v>43907</v>
      </c>
      <c r="T10" s="14">
        <f>IF(DAY(MarDom1)=1,IF(AND(YEAR(MarDom1+17)=AnnoCalendario,MONTH(MarDom1+17)=3),MarDom1+17,""),IF(AND(YEAR(MarDom1+24)=AnnoCalendario,MONTH(MarDom1+24)=3),MarDom1+24,""))</f>
        <v>43908</v>
      </c>
      <c r="U10" s="13">
        <f>IF(DAY(MarDom1)=1,IF(AND(YEAR(MarDom1+18)=AnnoCalendario,MONTH(MarDom1+18)=3),MarDom1+18,""),IF(AND(YEAR(MarDom1+25)=AnnoCalendario,MONTH(MarDom1+25)=3),MarDom1+25,""))</f>
        <v>43909</v>
      </c>
      <c r="V10" s="16">
        <f>IF(DAY(MarDom1)=1,IF(AND(YEAR(MarDom1+19)=AnnoCalendario,MONTH(MarDom1+19)=3),MarDom1+19,""),IF(AND(YEAR(MarDom1+26)=AnnoCalendario,MONTH(MarDom1+26)=3),MarDom1+26,""))</f>
        <v>43910</v>
      </c>
      <c r="W10" s="13">
        <f>IF(DAY(MarDom1)=1,IF(AND(YEAR(MarDom1+20)=AnnoCalendario,MONTH(MarDom1+20)=3),MarDom1+20,""),IF(AND(YEAR(MarDom1+27)=AnnoCalendario,MONTH(MarDom1+27)=3),MarDom1+27,""))</f>
        <v>43911</v>
      </c>
      <c r="X10" s="13">
        <f>IF(DAY(MarDom1)=1,IF(AND(YEAR(MarDom1+21)=AnnoCalendario,MONTH(MarDom1+21)=3),MarDom1+21,""),IF(AND(YEAR(MarDom1+28)=AnnoCalendario,MONTH(MarDom1+28)=3),MarDom1+28,""))</f>
        <v>43912</v>
      </c>
      <c r="Z10" s="14">
        <f>IF(DAY(AprDom1)=1,IF(AND(YEAR(AprDom1+15)=AnnoCalendario,MONTH(AprDom1+15)=4),AprDom1+15,""),IF(AND(YEAR(AprDom1+22)=AnnoCalendario,MONTH(AprDom1+22)=4),AprDom1+22,""))</f>
        <v>43941</v>
      </c>
      <c r="AA10" s="14">
        <f>IF(DAY(AprDom1)=1,IF(AND(YEAR(AprDom1+16)=AnnoCalendario,MONTH(AprDom1+16)=4),AprDom1+16,""),IF(AND(YEAR(AprDom1+23)=AnnoCalendario,MONTH(AprDom1+23)=4),AprDom1+23,""))</f>
        <v>43942</v>
      </c>
      <c r="AB10" s="14">
        <f>IF(DAY(AprDom1)=1,IF(AND(YEAR(AprDom1+17)=AnnoCalendario,MONTH(AprDom1+17)=4),AprDom1+17,""),IF(AND(YEAR(AprDom1+24)=AnnoCalendario,MONTH(AprDom1+24)=4),AprDom1+24,""))</f>
        <v>43943</v>
      </c>
      <c r="AC10" s="13">
        <f>IF(DAY(AprDom1)=1,IF(AND(YEAR(AprDom1+18)=AnnoCalendario,MONTH(AprDom1+18)=4),AprDom1+18,""),IF(AND(YEAR(AprDom1+25)=AnnoCalendario,MONTH(AprDom1+25)=4),AprDom1+25,""))</f>
        <v>43944</v>
      </c>
      <c r="AD10" s="16">
        <f>IF(DAY(AprDom1)=1,IF(AND(YEAR(AprDom1+19)=AnnoCalendario,MONTH(AprDom1+19)=4),AprDom1+19,""),IF(AND(YEAR(AprDom1+26)=AnnoCalendario,MONTH(AprDom1+26)=4),AprDom1+26,""))</f>
        <v>43945</v>
      </c>
      <c r="AE10" s="13">
        <f>IF(DAY(AprDom1)=1,IF(AND(YEAR(AprDom1+20)=AnnoCalendario,MONTH(AprDom1+20)=4),AprDom1+20,""),IF(AND(YEAR(AprDom1+27)=AnnoCalendario,MONTH(AprDom1+27)=4),AprDom1+27,""))</f>
        <v>43946</v>
      </c>
      <c r="AF10" s="13">
        <f>IF(DAY(AprDom1)=1,IF(AND(YEAR(AprDom1+21)=AnnoCalendario,MONTH(AprDom1+21)=4),AprDom1+21,""),IF(AND(YEAR(AprDom1+28)=AnnoCalendario,MONTH(AprDom1+28)=4),AprDom1+28,""))</f>
        <v>43947</v>
      </c>
    </row>
    <row r="11" spans="2:33" s="8" customFormat="1" ht="26.1" customHeight="1" x14ac:dyDescent="0.3">
      <c r="B11" s="12">
        <f>IF(DAY(GenDom1)=1,IF(AND(YEAR(GenDom1+22)=AnnoCalendario,MONTH(GenDom1+22)=1),GenDom1+22,""),IF(AND(YEAR(GenDom1+29)=AnnoCalendario,MONTH(GenDom1+29)=1),GenDom1+29,""))</f>
        <v>43857</v>
      </c>
      <c r="C11" s="12">
        <f>IF(DAY(GenDom1)=1,IF(AND(YEAR(GenDom1+23)=AnnoCalendario,MONTH(GenDom1+23)=1),GenDom1+23,""),IF(AND(YEAR(GenDom1+30)=AnnoCalendario,MONTH(GenDom1+30)=1),GenDom1+30,""))</f>
        <v>43858</v>
      </c>
      <c r="D11" s="17">
        <f>IF(DAY(GenDom1)=1,IF(AND(YEAR(GenDom1+24)=AnnoCalendario,MONTH(GenDom1+24)=1),GenDom1+24,""),IF(AND(YEAR(GenDom1+31)=AnnoCalendario,MONTH(GenDom1+31)=1),GenDom1+31,""))</f>
        <v>43859</v>
      </c>
      <c r="E11" s="17">
        <f>IF(DAY(GenDom1)=1,IF(AND(YEAR(GenDom1+25)=AnnoCalendario,MONTH(GenDom1+25)=1),GenDom1+25,""),IF(AND(YEAR(GenDom1+32)=AnnoCalendario,MONTH(GenDom1+32)=1),GenDom1+32,""))</f>
        <v>43860</v>
      </c>
      <c r="F11" s="17">
        <f>IF(DAY(GenDom1)=1,IF(AND(YEAR(GenDom1+26)=AnnoCalendario,MONTH(GenDom1+26)=1),GenDom1+26,""),IF(AND(YEAR(GenDom1+33)=AnnoCalendario,MONTH(GenDom1+33)=1),GenDom1+33,""))</f>
        <v>43861</v>
      </c>
      <c r="G11" s="18" t="str">
        <f>IF(DAY(GenDom1)=1,IF(AND(YEAR(GenDom1+27)=AnnoCalendario,MONTH(GenDom1+27)=1),GenDom1+27,""),IF(AND(YEAR(GenDom1+34)=AnnoCalendario,MONTH(GenDom1+34)=1),GenDom1+34,""))</f>
        <v/>
      </c>
      <c r="H11" s="18" t="str">
        <f>IF(DAY(GenDom1)=1,IF(AND(YEAR(GenDom1+28)=AnnoCalendario,MONTH(GenDom1+28)=1),GenDom1+28,""),IF(AND(YEAR(GenDom1+35)=AnnoCalendario,MONTH(GenDom1+35)=1),GenDom1+35,""))</f>
        <v/>
      </c>
      <c r="J11" s="12">
        <f>IF(DAY(FebDom1)=1,IF(AND(YEAR(FebDom1+22)=AnnoCalendario,MONTH(FebDom1+22)=2),FebDom1+22,""),IF(AND(YEAR(FebDom1+29)=AnnoCalendario,MONTH(FebDom1+29)=2),FebDom1+29,""))</f>
        <v>43885</v>
      </c>
      <c r="K11" s="12">
        <f>IF(DAY(FebDom1)=1,IF(AND(YEAR(FebDom1+23)=AnnoCalendario,MONTH(FebDom1+23)=2),FebDom1+23,""),IF(AND(YEAR(FebDom1+30)=AnnoCalendario,MONTH(FebDom1+30)=2),FebDom1+30,""))</f>
        <v>43886</v>
      </c>
      <c r="L11" s="17">
        <f>IF(DAY(FebDom1)=1,IF(AND(YEAR(FebDom1+24)=AnnoCalendario,MONTH(FebDom1+24)=2),FebDom1+24,""),IF(AND(YEAR(FebDom1+31)=AnnoCalendario,MONTH(FebDom1+31)=2),FebDom1+31,""))</f>
        <v>43887</v>
      </c>
      <c r="M11" s="17">
        <f>IF(DAY(FebDom1)=1,IF(AND(YEAR(FebDom1+25)=AnnoCalendario,MONTH(FebDom1+25)=2),FebDom1+25,""),IF(AND(YEAR(FebDom1+32)=AnnoCalendario,MONTH(FebDom1+32)=2),FebDom1+32,""))</f>
        <v>43888</v>
      </c>
      <c r="N11" s="17">
        <f>IF(DAY(FebDom1)=1,IF(AND(YEAR(FebDom1+26)=AnnoCalendario,MONTH(FebDom1+26)=2),FebDom1+26,""),IF(AND(YEAR(FebDom1+33)=AnnoCalendario,MONTH(FebDom1+33)=2),FebDom1+33,""))</f>
        <v>43889</v>
      </c>
      <c r="O11" s="18">
        <f>IF(DAY(FebDom1)=1,IF(AND(YEAR(FebDom1+27)=AnnoCalendario,MONTH(FebDom1+27)=2),FebDom1+27,""),IF(AND(YEAR(FebDom1+34)=AnnoCalendario,MONTH(FebDom1+34)=2),FebDom1+34,""))</f>
        <v>43890</v>
      </c>
      <c r="P11" s="18" t="str">
        <f>IF(DAY(FebDom1)=1,IF(AND(YEAR(FebDom1+28)=AnnoCalendario,MONTH(FebDom1+28)=2),FebDom1+28,""),IF(AND(YEAR(FebDom1+35)=AnnoCalendario,MONTH(FebDom1+35)=2),FebDom1+35,""))</f>
        <v/>
      </c>
      <c r="R11" s="12">
        <f>IF(DAY(MarDom1)=1,IF(AND(YEAR(MarDom1+22)=AnnoCalendario,MONTH(MarDom1+22)=3),MarDom1+22,""),IF(AND(YEAR(MarDom1+29)=AnnoCalendario,MONTH(MarDom1+29)=3),MarDom1+29,""))</f>
        <v>43913</v>
      </c>
      <c r="S11" s="12">
        <f>IF(DAY(MarDom1)=1,IF(AND(YEAR(MarDom1+23)=AnnoCalendario,MONTH(MarDom1+23)=3),MarDom1+23,""),IF(AND(YEAR(MarDom1+30)=AnnoCalendario,MONTH(MarDom1+30)=3),MarDom1+30,""))</f>
        <v>43914</v>
      </c>
      <c r="T11" s="17">
        <f>IF(DAY(MarDom1)=1,IF(AND(YEAR(MarDom1+24)=AnnoCalendario,MONTH(MarDom1+24)=3),MarDom1+24,""),IF(AND(YEAR(MarDom1+31)=AnnoCalendario,MONTH(MarDom1+31)=3),MarDom1+31,""))</f>
        <v>43915</v>
      </c>
      <c r="U11" s="17">
        <f>IF(DAY(MarDom1)=1,IF(AND(YEAR(MarDom1+25)=AnnoCalendario,MONTH(MarDom1+25)=3),MarDom1+25,""),IF(AND(YEAR(MarDom1+32)=AnnoCalendario,MONTH(MarDom1+32)=3),MarDom1+32,""))</f>
        <v>43916</v>
      </c>
      <c r="V11" s="17">
        <f>IF(DAY(MarDom1)=1,IF(AND(YEAR(MarDom1+26)=AnnoCalendario,MONTH(MarDom1+26)=3),MarDom1+26,""),IF(AND(YEAR(MarDom1+33)=AnnoCalendario,MONTH(MarDom1+33)=3),MarDom1+33,""))</f>
        <v>43917</v>
      </c>
      <c r="W11" s="18">
        <f>IF(DAY(MarDom1)=1,IF(AND(YEAR(MarDom1+27)=AnnoCalendario,MONTH(MarDom1+27)=3),MarDom1+27,""),IF(AND(YEAR(MarDom1+34)=AnnoCalendario,MONTH(MarDom1+34)=3),MarDom1+34,""))</f>
        <v>43918</v>
      </c>
      <c r="X11" s="18">
        <f>IF(DAY(MarDom1)=1,IF(AND(YEAR(MarDom1+28)=AnnoCalendario,MONTH(MarDom1+28)=3),MarDom1+28,""),IF(AND(YEAR(MarDom1+35)=AnnoCalendario,MONTH(MarDom1+35)=3),MarDom1+35,""))</f>
        <v>43919</v>
      </c>
      <c r="Z11" s="12">
        <f>IF(DAY(AprDom1)=1,IF(AND(YEAR(AprDom1+22)=AnnoCalendario,MONTH(AprDom1+22)=4),AprDom1+22,""),IF(AND(YEAR(AprDom1+29)=AnnoCalendario,MONTH(AprDom1+29)=4),AprDom1+29,""))</f>
        <v>43948</v>
      </c>
      <c r="AA11" s="12">
        <f>IF(DAY(AprDom1)=1,IF(AND(YEAR(AprDom1+23)=AnnoCalendario,MONTH(AprDom1+23)=4),AprDom1+23,""),IF(AND(YEAR(AprDom1+30)=AnnoCalendario,MONTH(AprDom1+30)=4),AprDom1+30,""))</f>
        <v>43949</v>
      </c>
      <c r="AB11" s="17">
        <f>IF(DAY(AprDom1)=1,IF(AND(YEAR(AprDom1+24)=AnnoCalendario,MONTH(AprDom1+24)=4),AprDom1+24,""),IF(AND(YEAR(AprDom1+31)=AnnoCalendario,MONTH(AprDom1+31)=4),AprDom1+31,""))</f>
        <v>43950</v>
      </c>
      <c r="AC11" s="17">
        <f>IF(DAY(AprDom1)=1,IF(AND(YEAR(AprDom1+25)=AnnoCalendario,MONTH(AprDom1+25)=4),AprDom1+25,""),IF(AND(YEAR(AprDom1+32)=AnnoCalendario,MONTH(AprDom1+32)=4),AprDom1+32,""))</f>
        <v>43951</v>
      </c>
      <c r="AD11" s="17" t="str">
        <f>IF(DAY(AprDom1)=1,IF(AND(YEAR(AprDom1+26)=AnnoCalendario,MONTH(AprDom1+26)=4),AprDom1+26,""),IF(AND(YEAR(AprDom1+33)=AnnoCalendario,MONTH(AprDom1+33)=4),AprDom1+33,""))</f>
        <v/>
      </c>
      <c r="AE11" s="18" t="str">
        <f>IF(DAY(AprDom1)=1,IF(AND(YEAR(AprDom1+27)=AnnoCalendario,MONTH(AprDom1+27)=4),AprDom1+27,""),IF(AND(YEAR(AprDom1+34)=AnnoCalendario,MONTH(AprDom1+34)=4),AprDom1+34,""))</f>
        <v/>
      </c>
      <c r="AF11" s="18" t="str">
        <f>IF(DAY(AprDom1)=1,IF(AND(YEAR(AprDom1+28)=AnnoCalendario,MONTH(AprDom1+28)=4),AprDom1+28,""),IF(AND(YEAR(AprDom1+35)=AnnoCalendario,MONTH(AprDom1+35)=4),AprDom1+35,""))</f>
        <v/>
      </c>
    </row>
    <row r="12" spans="2:33" s="8" customFormat="1" ht="26.1" customHeight="1" x14ac:dyDescent="0.3">
      <c r="B12" s="12" t="str">
        <f>IF(DAY(GenDom1)=1,IF(AND(YEAR(GenDom1+29)=AnnoCalendario,MONTH(GenDom1+29)=1),GenDom1+29,""),IF(AND(YEAR(GenDom1+36)=AnnoCalendario,MONTH(GenDom1+36)=1),GenDom1+36,""))</f>
        <v/>
      </c>
      <c r="C12" s="12" t="str">
        <f>IF(DAY(GenDom1)=1,IF(AND(YEAR(GenDom1+30)=AnnoCalendario,MONTH(GenDom1+30)=1),GenDom1+30,""),IF(AND(YEAR(GenDom1+37)=AnnoCalendario,MONTH(GenDom1+37)=1),GenDom1+37,""))</f>
        <v/>
      </c>
      <c r="D12" s="17" t="str">
        <f>IF(DAY(GenDom1)=1,IF(AND(YEAR(GenDom1+31)=AnnoCalendario,MONTH(GenDom1+31)=1),GenDom1+31,""),IF(AND(YEAR(GenDom1+38)=AnnoCalendario,MONTH(GenDom1+38)=1),GenDom1+38,""))</f>
        <v/>
      </c>
      <c r="E12" s="17" t="str">
        <f>IF(DAY(GenDom1)=1,IF(AND(YEAR(GenDom1+32)=AnnoCalendario,MONTH(GenDom1+32)=1),GenDom1+32,""),IF(AND(YEAR(GenDom1+39)=AnnoCalendario,MONTH(GenDom1+39)=1),GenDom1+39,""))</f>
        <v/>
      </c>
      <c r="F12" s="17" t="str">
        <f>IF(DAY(GenDom1)=1,IF(AND(YEAR(GenDom1+33)=AnnoCalendario,MONTH(GenDom1+33)=1),GenDom1+33,""),IF(AND(YEAR(GenDom1+40)=AnnoCalendario,MONTH(GenDom1+40)=1),GenDom1+40,""))</f>
        <v/>
      </c>
      <c r="G12" s="18" t="str">
        <f>IF(DAY(GenDom1)=1,IF(AND(YEAR(GenDom1+34)=AnnoCalendario,MONTH(GenDom1+34)=1),GenDom1+34,""),IF(AND(YEAR(GenDom1+41)=AnnoCalendario,MONTH(GenDom1+41)=1),GenDom1+41,""))</f>
        <v/>
      </c>
      <c r="H12" s="18" t="str">
        <f>IF(DAY(GenDom1)=1,IF(AND(YEAR(GenDom1+35)=AnnoCalendario,MONTH(GenDom1+35)=1),GenDom1+35,""),IF(AND(YEAR(GenDom1+42)=AnnoCalendario,MONTH(GenDom1+42)=1),GenDom1+42,""))</f>
        <v/>
      </c>
      <c r="J12" s="12" t="str">
        <f>IF(DAY(FebDom1)=1,IF(AND(YEAR(FebDom1+29)=AnnoCalendario,MONTH(FebDom1+29)=2),FebDom1+29,""),IF(AND(YEAR(FebDom1+36)=AnnoCalendario,MONTH(FebDom1+36)=2),FebDom1+36,""))</f>
        <v/>
      </c>
      <c r="K12" s="12" t="str">
        <f>IF(DAY(FebDom1)=1,IF(AND(YEAR(FebDom1+30)=AnnoCalendario,MONTH(FebDom1+30)=2),FebDom1+30,""),IF(AND(YEAR(FebDom1+37)=AnnoCalendario,MONTH(FebDom1+37)=2),FebDom1+37,""))</f>
        <v/>
      </c>
      <c r="L12" s="17" t="str">
        <f>IF(DAY(FebDom1)=1,IF(AND(YEAR(FebDom1+31)=AnnoCalendario,MONTH(FebDom1+31)=2),FebDom1+31,""),IF(AND(YEAR(FebDom1+38)=AnnoCalendario,MONTH(FebDom1+38)=2),FebDom1+38,""))</f>
        <v/>
      </c>
      <c r="M12" s="17" t="str">
        <f>IF(DAY(FebDom1)=1,IF(AND(YEAR(FebDom1+32)=AnnoCalendario,MONTH(FebDom1+32)=2),FebDom1+32,""),IF(AND(YEAR(FebDom1+39)=AnnoCalendario,MONTH(FebDom1+39)=2),FebDom1+39,""))</f>
        <v/>
      </c>
      <c r="N12" s="17" t="str">
        <f>IF(DAY(FebDom1)=1,IF(AND(YEAR(FebDom1+33)=AnnoCalendario,MONTH(FebDom1+33)=2),FebDom1+33,""),IF(AND(YEAR(FebDom1+40)=AnnoCalendario,MONTH(FebDom1+40)=2),FebDom1+40,""))</f>
        <v/>
      </c>
      <c r="O12" s="18" t="str">
        <f>IF(DAY(FebDom1)=1,IF(AND(YEAR(FebDom1+34)=AnnoCalendario,MONTH(FebDom1+34)=2),FebDom1+34,""),IF(AND(YEAR(FebDom1+41)=AnnoCalendario,MONTH(FebDom1+41)=2),FebDom1+41,""))</f>
        <v/>
      </c>
      <c r="P12" s="18" t="str">
        <f>IF(DAY(FebDom1)=1,IF(AND(YEAR(FebDom1+35)=AnnoCalendario,MONTH(FebDom1+35)=2),FebDom1+35,""),IF(AND(YEAR(FebDom1+42)=AnnoCalendario,MONTH(FebDom1+42)=2),FebDom1+42,""))</f>
        <v/>
      </c>
      <c r="R12" s="12">
        <f>IF(DAY(MarDom1)=1,IF(AND(YEAR(MarDom1+29)=AnnoCalendario,MONTH(MarDom1+29)=3),MarDom1+29,""),IF(AND(YEAR(MarDom1+36)=AnnoCalendario,MONTH(MarDom1+36)=3),MarDom1+36,""))</f>
        <v>43920</v>
      </c>
      <c r="S12" s="12">
        <f>IF(DAY(MarDom1)=1,IF(AND(YEAR(MarDom1+30)=AnnoCalendario,MONTH(MarDom1+30)=3),MarDom1+30,""),IF(AND(YEAR(MarDom1+37)=AnnoCalendario,MONTH(MarDom1+37)=3),MarDom1+37,""))</f>
        <v>43921</v>
      </c>
      <c r="T12" s="17" t="str">
        <f>IF(DAY(MarDom1)=1,IF(AND(YEAR(MarDom1+31)=AnnoCalendario,MONTH(MarDom1+31)=3),MarDom1+31,""),IF(AND(YEAR(MarDom1+38)=AnnoCalendario,MONTH(MarDom1+38)=3),MarDom1+38,""))</f>
        <v/>
      </c>
      <c r="U12" s="17" t="str">
        <f>IF(DAY(MarDom1)=1,IF(AND(YEAR(MarDom1+32)=AnnoCalendario,MONTH(MarDom1+32)=3),MarDom1+32,""),IF(AND(YEAR(MarDom1+39)=AnnoCalendario,MONTH(MarDom1+39)=3),MarDom1+39,""))</f>
        <v/>
      </c>
      <c r="V12" s="17" t="str">
        <f>IF(DAY(MarDom1)=1,IF(AND(YEAR(MarDom1+33)=AnnoCalendario,MONTH(MarDom1+33)=3),MarDom1+33,""),IF(AND(YEAR(MarDom1+40)=AnnoCalendario,MONTH(MarDom1+40)=3),MarDom1+40,""))</f>
        <v/>
      </c>
      <c r="W12" s="18" t="str">
        <f>IF(DAY(MarDom1)=1,IF(AND(YEAR(MarDom1+34)=AnnoCalendario,MONTH(MarDom1+34)=3),MarDom1+34,""),IF(AND(YEAR(MarDom1+41)=AnnoCalendario,MONTH(MarDom1+41)=3),MarDom1+41,""))</f>
        <v/>
      </c>
      <c r="X12" s="18" t="str">
        <f>IF(DAY(MarDom1)=1,IF(AND(YEAR(MarDom1+35)=AnnoCalendario,MONTH(MarDom1+35)=3),MarDom1+35,""),IF(AND(YEAR(MarDom1+42)=AnnoCalendario,MONTH(MarDom1+42)=3),MarDom1+42,""))</f>
        <v/>
      </c>
      <c r="Z12" s="12" t="str">
        <f>IF(DAY(AprDom1)=1,IF(AND(YEAR(AprDom1+29)=AnnoCalendario,MONTH(AprDom1+29)=4),AprDom1+29,""),IF(AND(YEAR(AprDom1+36)=AnnoCalendario,MONTH(AprDom1+36)=4),AprDom1+36,""))</f>
        <v/>
      </c>
      <c r="AA12" s="12" t="str">
        <f>IF(DAY(AprDom1)=1,IF(AND(YEAR(AprDom1+30)=AnnoCalendario,MONTH(AprDom1+30)=4),AprDom1+30,""),IF(AND(YEAR(AprDom1+37)=AnnoCalendario,MONTH(AprDom1+37)=4),AprDom1+37,""))</f>
        <v/>
      </c>
      <c r="AB12" s="17" t="str">
        <f>IF(DAY(AprDom1)=1,IF(AND(YEAR(AprDom1+31)=AnnoCalendario,MONTH(AprDom1+31)=4),AprDom1+31,""),IF(AND(YEAR(AprDom1+38)=AnnoCalendario,MONTH(AprDom1+38)=4),AprDom1+38,""))</f>
        <v/>
      </c>
      <c r="AC12" s="17" t="str">
        <f>IF(DAY(AprDom1)=1,IF(AND(YEAR(AprDom1+32)=AnnoCalendario,MONTH(AprDom1+32)=4),AprDom1+32,""),IF(AND(YEAR(AprDom1+39)=AnnoCalendario,MONTH(AprDom1+39)=4),AprDom1+39,""))</f>
        <v/>
      </c>
      <c r="AD12" s="17" t="str">
        <f>IF(DAY(AprDom1)=1,IF(AND(YEAR(AprDom1+33)=AnnoCalendario,MONTH(AprDom1+33)=4),AprDom1+33,""),IF(AND(YEAR(AprDom1+40)=AnnoCalendario,MONTH(AprDom1+40)=4),AprDom1+40,""))</f>
        <v/>
      </c>
      <c r="AE12" s="18" t="str">
        <f>IF(DAY(AprDom1)=1,IF(AND(YEAR(AprDom1+34)=AnnoCalendario,MONTH(AprDom1+34)=4),AprDom1+34,""),IF(AND(YEAR(AprDom1+41)=AnnoCalendario,MONTH(AprDom1+41)=4),AprDom1+41,""))</f>
        <v/>
      </c>
      <c r="AF12" s="18" t="str">
        <f>IF(DAY(AprDom1)=1,IF(AND(YEAR(AprDom1+35)=AnnoCalendario,MONTH(AprDom1+35)=4),AprDom1+35,""),IF(AND(YEAR(AprDom1+42)=AnnoCalendario,MONTH(AprDom1+42)=4),AprDom1+42,""))</f>
        <v/>
      </c>
    </row>
    <row r="13" spans="2:33" s="7" customFormat="1" ht="18" customHeight="1" x14ac:dyDescent="0.3"/>
    <row r="14" spans="2:33" s="34" customFormat="1" ht="25.5" customHeight="1" x14ac:dyDescent="0.3">
      <c r="B14" s="50" t="s">
        <v>2</v>
      </c>
      <c r="C14" s="50"/>
      <c r="D14" s="50"/>
      <c r="E14" s="50"/>
      <c r="F14" s="50"/>
      <c r="G14" s="50"/>
      <c r="H14" s="50"/>
      <c r="J14" s="50" t="s">
        <v>11</v>
      </c>
      <c r="K14" s="50"/>
      <c r="L14" s="50"/>
      <c r="M14" s="50"/>
      <c r="N14" s="50"/>
      <c r="O14" s="50"/>
      <c r="P14" s="50"/>
      <c r="R14" s="50" t="s">
        <v>14</v>
      </c>
      <c r="S14" s="50"/>
      <c r="T14" s="50"/>
      <c r="U14" s="50"/>
      <c r="V14" s="50"/>
      <c r="W14" s="50"/>
      <c r="X14" s="50"/>
      <c r="Z14" s="50" t="s">
        <v>17</v>
      </c>
      <c r="AA14" s="50"/>
      <c r="AB14" s="50"/>
      <c r="AC14" s="50"/>
      <c r="AD14" s="50"/>
      <c r="AE14" s="50"/>
      <c r="AF14" s="50"/>
    </row>
    <row r="15" spans="2:33" s="6" customFormat="1" ht="26.1" customHeight="1" x14ac:dyDescent="0.25">
      <c r="B15" s="55" t="s">
        <v>1</v>
      </c>
      <c r="C15" s="19" t="s">
        <v>4</v>
      </c>
      <c r="D15" s="19" t="s">
        <v>5</v>
      </c>
      <c r="E15" s="19" t="s">
        <v>6</v>
      </c>
      <c r="F15" s="19" t="s">
        <v>7</v>
      </c>
      <c r="G15" s="56" t="s">
        <v>8</v>
      </c>
      <c r="H15" s="57" t="s">
        <v>9</v>
      </c>
      <c r="J15" s="55" t="s">
        <v>1</v>
      </c>
      <c r="K15" s="19" t="s">
        <v>4</v>
      </c>
      <c r="L15" s="19" t="s">
        <v>5</v>
      </c>
      <c r="M15" s="19" t="s">
        <v>6</v>
      </c>
      <c r="N15" s="19" t="s">
        <v>7</v>
      </c>
      <c r="O15" s="56" t="s">
        <v>8</v>
      </c>
      <c r="P15" s="57" t="s">
        <v>9</v>
      </c>
      <c r="R15" s="55" t="s">
        <v>1</v>
      </c>
      <c r="S15" s="19" t="s">
        <v>4</v>
      </c>
      <c r="T15" s="19" t="s">
        <v>5</v>
      </c>
      <c r="U15" s="19" t="s">
        <v>6</v>
      </c>
      <c r="V15" s="19" t="s">
        <v>7</v>
      </c>
      <c r="W15" s="56" t="s">
        <v>8</v>
      </c>
      <c r="X15" s="57" t="s">
        <v>9</v>
      </c>
      <c r="Z15" s="55" t="s">
        <v>1</v>
      </c>
      <c r="AA15" s="19" t="s">
        <v>4</v>
      </c>
      <c r="AB15" s="19" t="s">
        <v>5</v>
      </c>
      <c r="AC15" s="19" t="s">
        <v>6</v>
      </c>
      <c r="AD15" s="19" t="s">
        <v>7</v>
      </c>
      <c r="AE15" s="56" t="s">
        <v>8</v>
      </c>
      <c r="AF15" s="57" t="s">
        <v>9</v>
      </c>
    </row>
    <row r="16" spans="2:33" s="8" customFormat="1" ht="26.1" customHeight="1" x14ac:dyDescent="0.3">
      <c r="B16" s="9" t="str">
        <f>IF(DAY(MagDom1)=1,"",IF(AND(YEAR(MagDom1+1)=AnnoCalendario,MONTH(MagDom1+1)=5),MagDom1+1,""))</f>
        <v/>
      </c>
      <c r="C16" s="9" t="str">
        <f>IF(DAY(MagDom1)=1,"",IF(AND(YEAR(MagDom1+2)=AnnoCalendario,MONTH(MagDom1+2)=5),MagDom1+2,""))</f>
        <v/>
      </c>
      <c r="D16" s="10" t="str">
        <f>IF(DAY(MagDom1)=1,"",IF(AND(YEAR(MagDom1+3)=AnnoCalendario,MONTH(MagDom1+3)=5),MagDom1+3,""))</f>
        <v/>
      </c>
      <c r="E16" s="10" t="str">
        <f>IF(DAY(MagDom1)=1,"",IF(AND(YEAR(MagDom1+4)=AnnoCalendario,MONTH(MagDom1+4)=5),MagDom1+4,""))</f>
        <v/>
      </c>
      <c r="F16" s="10">
        <f>IF(DAY(MagDom1)=1,"",IF(AND(YEAR(MagDom1+5)=AnnoCalendario,MONTH(MagDom1+5)=5),MagDom1+5,""))</f>
        <v>43952</v>
      </c>
      <c r="G16" s="11">
        <f>IF(DAY(MagDom1)=1,"",IF(AND(YEAR(MagDom1+6)=AnnoCalendario,MONTH(MagDom1+6)=5),MagDom1+6,""))</f>
        <v>43953</v>
      </c>
      <c r="H16" s="11">
        <f>IF(DAY(MagDom1)=1,IF(AND(YEAR(MagDom1)=AnnoCalendario,MONTH(MagDom1)=5),MagDom1,""),IF(AND(YEAR(MagDom1+7)=AnnoCalendario,MONTH(MagDom1+7)=5),MagDom1+7,""))</f>
        <v>43954</v>
      </c>
      <c r="J16" s="9">
        <f>IF(DAY(GiuDom1)=1,"",IF(AND(YEAR(GiuDom1+1)=AnnoCalendario,MONTH(GiuDom1+1)=6),GiuDom1+1,""))</f>
        <v>43983</v>
      </c>
      <c r="K16" s="9">
        <f>IF(DAY(GiuDom1)=1,"",IF(AND(YEAR(GiuDom1+2)=AnnoCalendario,MONTH(GiuDom1+2)=6),GiuDom1+2,""))</f>
        <v>43984</v>
      </c>
      <c r="L16" s="10">
        <f>IF(DAY(GiuDom1)=1,"",IF(AND(YEAR(GiuDom1+3)=AnnoCalendario,MONTH(GiuDom1+3)=6),GiuDom1+3,""))</f>
        <v>43985</v>
      </c>
      <c r="M16" s="10">
        <f>IF(DAY(GiuDom1)=1,"",IF(AND(YEAR(GiuDom1+4)=AnnoCalendario,MONTH(GiuDom1+4)=6),GiuDom1+4,""))</f>
        <v>43986</v>
      </c>
      <c r="N16" s="10">
        <f>IF(DAY(GiuDom1)=1,"",IF(AND(YEAR(GiuDom1+5)=AnnoCalendario,MONTH(GiuDom1+5)=6),GiuDom1+5,""))</f>
        <v>43987</v>
      </c>
      <c r="O16" s="11">
        <f>IF(DAY(GiuDom1)=1,"",IF(AND(YEAR(GiuDom1+6)=AnnoCalendario,MONTH(GiuDom1+6)=6),GiuDom1+6,""))</f>
        <v>43988</v>
      </c>
      <c r="P16" s="11">
        <f>IF(DAY(GiuDom1)=1,IF(AND(YEAR(GiuDom1)=AnnoCalendario,MONTH(GiuDom1)=6),GiuDom1,""),IF(AND(YEAR(GiuDom1+7)=AnnoCalendario,MONTH(GiuDom1+7)=6),GiuDom1+7,""))</f>
        <v>43989</v>
      </c>
      <c r="R16" s="9" t="str">
        <f>IF(DAY(LugDom1)=1,"",IF(AND(YEAR(LugDom1+1)=AnnoCalendario,MONTH(LugDom1+1)=7),LugDom1+1,""))</f>
        <v/>
      </c>
      <c r="S16" s="9" t="str">
        <f>IF(DAY(LugDom1)=1,"",IF(AND(YEAR(LugDom1+2)=AnnoCalendario,MONTH(LugDom1+2)=7),LugDom1+2,""))</f>
        <v/>
      </c>
      <c r="T16" s="10">
        <f>IF(DAY(LugDom1)=1,"",IF(AND(YEAR(LugDom1+3)=AnnoCalendario,MONTH(LugDom1+3)=7),LugDom1+3,""))</f>
        <v>44013</v>
      </c>
      <c r="U16" s="10">
        <f>IF(DAY(LugDom1)=1,"",IF(AND(YEAR(LugDom1+4)=AnnoCalendario,MONTH(LugDom1+4)=7),LugDom1+4,""))</f>
        <v>44014</v>
      </c>
      <c r="V16" s="10">
        <f>IF(DAY(LugDom1)=1,"",IF(AND(YEAR(LugDom1+5)=AnnoCalendario,MONTH(LugDom1+5)=7),LugDom1+5,""))</f>
        <v>44015</v>
      </c>
      <c r="W16" s="11">
        <f>IF(DAY(LugDom1)=1,"",IF(AND(YEAR(LugDom1+6)=AnnoCalendario,MONTH(LugDom1+6)=7),LugDom1+6,""))</f>
        <v>44016</v>
      </c>
      <c r="X16" s="11">
        <f>IF(DAY(LugDom1)=1,IF(AND(YEAR(LugDom1)=AnnoCalendario,MONTH(LugDom1)=7),LugDom1,""),IF(AND(YEAR(LugDom1+7)=AnnoCalendario,MONTH(LugDom1+7)=7),LugDom1+7,""))</f>
        <v>44017</v>
      </c>
      <c r="Z16" s="9" t="str">
        <f>IF(DAY(AgoDom1)=1,"",IF(AND(YEAR(AgoDom1+1)=AnnoCalendario,MONTH(AgoDom1+1)=8),AgoDom1+1,""))</f>
        <v/>
      </c>
      <c r="AA16" s="9" t="str">
        <f>IF(DAY(AgoDom1)=1,"",IF(AND(YEAR(AgoDom1+2)=AnnoCalendario,MONTH(AgoDom1+2)=8),AgoDom1+2,""))</f>
        <v/>
      </c>
      <c r="AB16" s="10" t="str">
        <f>IF(DAY(AgoDom1)=1,"",IF(AND(YEAR(AgoDom1+3)=AnnoCalendario,MONTH(AgoDom1+3)=8),AgoDom1+3,""))</f>
        <v/>
      </c>
      <c r="AC16" s="10" t="str">
        <f>IF(DAY(AgoDom1)=1,"",IF(AND(YEAR(AgoDom1+4)=AnnoCalendario,MONTH(AgoDom1+4)=8),AgoDom1+4,""))</f>
        <v/>
      </c>
      <c r="AD16" s="10" t="str">
        <f>IF(DAY(AgoDom1)=1,"",IF(AND(YEAR(AgoDom1+5)=AnnoCalendario,MONTH(AgoDom1+5)=8),AgoDom1+5,""))</f>
        <v/>
      </c>
      <c r="AE16" s="11">
        <f>IF(DAY(AgoDom1)=1,"",IF(AND(YEAR(AgoDom1+6)=AnnoCalendario,MONTH(AgoDom1+6)=8),AgoDom1+6,""))</f>
        <v>44044</v>
      </c>
      <c r="AF16" s="11">
        <f>IF(DAY(AgoDom1)=1,IF(AND(YEAR(AgoDom1)=AnnoCalendario,MONTH(AgoDom1)=8),AgoDom1,""),IF(AND(YEAR(AgoDom1+7)=AnnoCalendario,MONTH(AgoDom1+7)=8),AgoDom1+7,""))</f>
        <v>44045</v>
      </c>
    </row>
    <row r="17" spans="2:32" s="8" customFormat="1" ht="26.1" customHeight="1" x14ac:dyDescent="0.3">
      <c r="B17" s="12">
        <f>IF(DAY(MagDom1)=1,IF(AND(YEAR(MagDom1+1)=AnnoCalendario,MONTH(MagDom1+1)=5),MagDom1+1,""),IF(AND(YEAR(MagDom1+8)=AnnoCalendario,MONTH(MagDom1+8)=5),MagDom1+8,""))</f>
        <v>43955</v>
      </c>
      <c r="C17" s="12">
        <f>IF(DAY(MagDom1)=1,IF(AND(YEAR(MagDom1+2)=AnnoCalendario,MONTH(MagDom1+2)=5),MagDom1+2,""),IF(AND(YEAR(MagDom1+9)=AnnoCalendario,MONTH(MagDom1+9)=5),MagDom1+9,""))</f>
        <v>43956</v>
      </c>
      <c r="D17" s="12">
        <f>IF(DAY(MagDom1)=1,IF(AND(YEAR(MagDom1+3)=AnnoCalendario,MONTH(MagDom1+3)=5),MagDom1+3,""),IF(AND(YEAR(MagDom1+10)=AnnoCalendario,MONTH(MagDom1+10)=5),MagDom1+10,""))</f>
        <v>43957</v>
      </c>
      <c r="E17" s="13">
        <f>IF(DAY(MagDom1)=1,IF(AND(YEAR(MagDom1+4)=AnnoCalendario,MONTH(MagDom1+4)=5),MagDom1+4,""),IF(AND(YEAR(MagDom1+11)=AnnoCalendario,MONTH(MagDom1+11)=5),MagDom1+11,""))</f>
        <v>43958</v>
      </c>
      <c r="F17" s="13">
        <f>IF(DAY(MagDom1)=1,IF(AND(YEAR(MagDom1+5)=AnnoCalendario,MONTH(MagDom1+5)=5),MagDom1+5,""),IF(AND(YEAR(MagDom1+12)=AnnoCalendario,MONTH(MagDom1+12)=5),MagDom1+12,""))</f>
        <v>43959</v>
      </c>
      <c r="G17" s="14">
        <f>IF(DAY(MagDom1)=1,IF(AND(YEAR(MagDom1+6)=AnnoCalendario,MONTH(MagDom1+6)=5),MagDom1+6,""),IF(AND(YEAR(MagDom1+13)=AnnoCalendario,MONTH(MagDom1+13)=5),MagDom1+13,""))</f>
        <v>43960</v>
      </c>
      <c r="H17" s="14">
        <f>IF(DAY(MagDom1)=1,IF(AND(YEAR(MagDom1+7)=AnnoCalendario,MONTH(MagDom1+7)=5),MagDom1+7,""),IF(AND(YEAR(MagDom1+14)=AnnoCalendario,MONTH(MagDom1+14)=5),MagDom1+14,""))</f>
        <v>43961</v>
      </c>
      <c r="J17" s="12">
        <f>IF(DAY(GiuDom1)=1,IF(AND(YEAR(GiuDom1+1)=AnnoCalendario,MONTH(GiuDom1+1)=6),GiuDom1+1,""),IF(AND(YEAR(GiuDom1+8)=AnnoCalendario,MONTH(GiuDom1+8)=6),GiuDom1+8,""))</f>
        <v>43990</v>
      </c>
      <c r="K17" s="12">
        <f>IF(DAY(GiuDom1)=1,IF(AND(YEAR(GiuDom1+2)=AnnoCalendario,MONTH(GiuDom1+2)=6),GiuDom1+2,""),IF(AND(YEAR(GiuDom1+9)=AnnoCalendario,MONTH(GiuDom1+9)=6),GiuDom1+9,""))</f>
        <v>43991</v>
      </c>
      <c r="L17" s="12">
        <f>IF(DAY(GiuDom1)=1,IF(AND(YEAR(GiuDom1+3)=AnnoCalendario,MONTH(GiuDom1+3)=6),GiuDom1+3,""),IF(AND(YEAR(GiuDom1+10)=AnnoCalendario,MONTH(GiuDom1+10)=6),GiuDom1+10,""))</f>
        <v>43992</v>
      </c>
      <c r="M17" s="13">
        <f>IF(DAY(GiuDom1)=1,IF(AND(YEAR(GiuDom1+4)=AnnoCalendario,MONTH(GiuDom1+4)=6),GiuDom1+4,""),IF(AND(YEAR(GiuDom1+11)=AnnoCalendario,MONTH(GiuDom1+11)=6),GiuDom1+11,""))</f>
        <v>43993</v>
      </c>
      <c r="N17" s="13">
        <f>IF(DAY(GiuDom1)=1,IF(AND(YEAR(GiuDom1+5)=AnnoCalendario,MONTH(GiuDom1+5)=6),GiuDom1+5,""),IF(AND(YEAR(GiuDom1+12)=AnnoCalendario,MONTH(GiuDom1+12)=6),GiuDom1+12,""))</f>
        <v>43994</v>
      </c>
      <c r="O17" s="14">
        <f>IF(DAY(GiuDom1)=1,IF(AND(YEAR(GiuDom1+6)=AnnoCalendario,MONTH(GiuDom1+6)=6),GiuDom1+6,""),IF(AND(YEAR(GiuDom1+13)=AnnoCalendario,MONTH(GiuDom1+13)=6),GiuDom1+13,""))</f>
        <v>43995</v>
      </c>
      <c r="P17" s="14">
        <f>IF(DAY(GiuDom1)=1,IF(AND(YEAR(GiuDom1+7)=AnnoCalendario,MONTH(GiuDom1+7)=6),GiuDom1+7,""),IF(AND(YEAR(GiuDom1+14)=AnnoCalendario,MONTH(GiuDom1+14)=6),GiuDom1+14,""))</f>
        <v>43996</v>
      </c>
      <c r="R17" s="12">
        <f>IF(DAY(LugDom1)=1,IF(AND(YEAR(LugDom1+1)=AnnoCalendario,MONTH(LugDom1+1)=7),LugDom1+1,""),IF(AND(YEAR(LugDom1+8)=AnnoCalendario,MONTH(LugDom1+8)=7),LugDom1+8,""))</f>
        <v>44018</v>
      </c>
      <c r="S17" s="12">
        <f>IF(DAY(LugDom1)=1,IF(AND(YEAR(LugDom1+2)=AnnoCalendario,MONTH(LugDom1+2)=7),LugDom1+2,""),IF(AND(YEAR(LugDom1+9)=AnnoCalendario,MONTH(LugDom1+9)=7),LugDom1+9,""))</f>
        <v>44019</v>
      </c>
      <c r="T17" s="12">
        <f>IF(DAY(LugDom1)=1,IF(AND(YEAR(LugDom1+3)=AnnoCalendario,MONTH(LugDom1+3)=7),LugDom1+3,""),IF(AND(YEAR(LugDom1+10)=AnnoCalendario,MONTH(LugDom1+10)=7),LugDom1+10,""))</f>
        <v>44020</v>
      </c>
      <c r="U17" s="13">
        <f>IF(DAY(LugDom1)=1,IF(AND(YEAR(LugDom1+4)=AnnoCalendario,MONTH(LugDom1+4)=7),LugDom1+4,""),IF(AND(YEAR(LugDom1+11)=AnnoCalendario,MONTH(LugDom1+11)=7),LugDom1+11,""))</f>
        <v>44021</v>
      </c>
      <c r="V17" s="13">
        <f>IF(DAY(LugDom1)=1,IF(AND(YEAR(LugDom1+5)=AnnoCalendario,MONTH(LugDom1+5)=7),LugDom1+5,""),IF(AND(YEAR(LugDom1+12)=AnnoCalendario,MONTH(LugDom1+12)=7),LugDom1+12,""))</f>
        <v>44022</v>
      </c>
      <c r="W17" s="14">
        <f>IF(DAY(LugDom1)=1,IF(AND(YEAR(LugDom1+6)=AnnoCalendario,MONTH(LugDom1+6)=7),LugDom1+6,""),IF(AND(YEAR(LugDom1+13)=AnnoCalendario,MONTH(LugDom1+13)=7),LugDom1+13,""))</f>
        <v>44023</v>
      </c>
      <c r="X17" s="14">
        <f>IF(DAY(LugDom1)=1,IF(AND(YEAR(LugDom1+7)=AnnoCalendario,MONTH(LugDom1+7)=7),LugDom1+7,""),IF(AND(YEAR(LugDom1+14)=AnnoCalendario,MONTH(LugDom1+14)=7),LugDom1+14,""))</f>
        <v>44024</v>
      </c>
      <c r="Z17" s="12">
        <f>IF(DAY(AgoDom1)=1,IF(AND(YEAR(AgoDom1+1)=AnnoCalendario,MONTH(AgoDom1+1)=8),AgoDom1+1,""),IF(AND(YEAR(AgoDom1+8)=AnnoCalendario,MONTH(AgoDom1+8)=8),AgoDom1+8,""))</f>
        <v>44046</v>
      </c>
      <c r="AA17" s="12">
        <f>IF(DAY(AgoDom1)=1,IF(AND(YEAR(AgoDom1+2)=AnnoCalendario,MONTH(AgoDom1+2)=8),AgoDom1+2,""),IF(AND(YEAR(AgoDom1+9)=AnnoCalendario,MONTH(AgoDom1+9)=8),AgoDom1+9,""))</f>
        <v>44047</v>
      </c>
      <c r="AB17" s="12">
        <f>IF(DAY(AgoDom1)=1,IF(AND(YEAR(AgoDom1+3)=AnnoCalendario,MONTH(AgoDom1+3)=8),AgoDom1+3,""),IF(AND(YEAR(AgoDom1+10)=AnnoCalendario,MONTH(AgoDom1+10)=8),AgoDom1+10,""))</f>
        <v>44048</v>
      </c>
      <c r="AC17" s="13">
        <f>IF(DAY(AgoDom1)=1,IF(AND(YEAR(AgoDom1+4)=AnnoCalendario,MONTH(AgoDom1+4)=8),AgoDom1+4,""),IF(AND(YEAR(AgoDom1+11)=AnnoCalendario,MONTH(AgoDom1+11)=8),AgoDom1+11,""))</f>
        <v>44049</v>
      </c>
      <c r="AD17" s="13">
        <f>IF(DAY(AgoDom1)=1,IF(AND(YEAR(AgoDom1+5)=AnnoCalendario,MONTH(AgoDom1+5)=8),AgoDom1+5,""),IF(AND(YEAR(AgoDom1+12)=AnnoCalendario,MONTH(AgoDom1+12)=8),AgoDom1+12,""))</f>
        <v>44050</v>
      </c>
      <c r="AE17" s="14">
        <f>IF(DAY(AgoDom1)=1,IF(AND(YEAR(AgoDom1+6)=AnnoCalendario,MONTH(AgoDom1+6)=8),AgoDom1+6,""),IF(AND(YEAR(AgoDom1+13)=AnnoCalendario,MONTH(AgoDom1+13)=8),AgoDom1+13,""))</f>
        <v>44051</v>
      </c>
      <c r="AF17" s="14">
        <f>IF(DAY(AgoDom1)=1,IF(AND(YEAR(AgoDom1+7)=AnnoCalendario,MONTH(AgoDom1+7)=8),AgoDom1+7,""),IF(AND(YEAR(AgoDom1+14)=AnnoCalendario,MONTH(AgoDom1+14)=8),AgoDom1+14,""))</f>
        <v>44052</v>
      </c>
    </row>
    <row r="18" spans="2:32" s="8" customFormat="1" ht="26.1" customHeight="1" x14ac:dyDescent="0.3">
      <c r="B18" s="13">
        <f>IF(DAY(MagDom1)=1,IF(AND(YEAR(MagDom1+8)=AnnoCalendario,MONTH(MagDom1+8)=5),MagDom1+8,""),IF(AND(YEAR(MagDom1+15)=AnnoCalendario,MONTH(MagDom1+15)=5),MagDom1+15,""))</f>
        <v>43962</v>
      </c>
      <c r="C18" s="13">
        <f>IF(DAY(MagDom1)=1,IF(AND(YEAR(MagDom1+9)=AnnoCalendario,MONTH(MagDom1+9)=5),MagDom1+9,""),IF(AND(YEAR(MagDom1+16)=AnnoCalendario,MONTH(MagDom1+16)=5),MagDom1+16,""))</f>
        <v>43963</v>
      </c>
      <c r="D18" s="12">
        <f>IF(DAY(MagDom1)=1,IF(AND(YEAR(MagDom1+10)=AnnoCalendario,MONTH(MagDom1+10)=5),MagDom1+10,""),IF(AND(YEAR(MagDom1+17)=AnnoCalendario,MONTH(MagDom1+17)=5),MagDom1+17,""))</f>
        <v>43964</v>
      </c>
      <c r="E18" s="12">
        <f>IF(DAY(MagDom1)=1,IF(AND(YEAR(MagDom1+11)=AnnoCalendario,MONTH(MagDom1+11)=5),MagDom1+11,""),IF(AND(YEAR(MagDom1+18)=AnnoCalendario,MONTH(MagDom1+18)=5),MagDom1+18,""))</f>
        <v>43965</v>
      </c>
      <c r="F18" s="15">
        <f>IF(DAY(MagDom1)=1,IF(AND(YEAR(MagDom1+12)=AnnoCalendario,MONTH(MagDom1+12)=5),MagDom1+12,""),IF(AND(YEAR(MagDom1+19)=AnnoCalendario,MONTH(MagDom1+19)=5),MagDom1+19,""))</f>
        <v>43966</v>
      </c>
      <c r="G18" s="15">
        <f>IF(DAY(MagDom1)=1,IF(AND(YEAR(MagDom1+13)=AnnoCalendario,MONTH(MagDom1+13)=5),MagDom1+13,""),IF(AND(YEAR(MagDom1+20)=AnnoCalendario,MONTH(MagDom1+20)=5),MagDom1+20,""))</f>
        <v>43967</v>
      </c>
      <c r="H18" s="13">
        <f>IF(DAY(MagDom1)=1,IF(AND(YEAR(MagDom1+14)=AnnoCalendario,MONTH(MagDom1+14)=5),MagDom1+14,""),IF(AND(YEAR(MagDom1+21)=AnnoCalendario,MONTH(MagDom1+21)=5),MagDom1+21,""))</f>
        <v>43968</v>
      </c>
      <c r="J18" s="13">
        <f>IF(DAY(GiuDom1)=1,IF(AND(YEAR(GiuDom1+8)=AnnoCalendario,MONTH(GiuDom1+8)=6),GiuDom1+8,""),IF(AND(YEAR(GiuDom1+15)=AnnoCalendario,MONTH(GiuDom1+15)=6),GiuDom1+15,""))</f>
        <v>43997</v>
      </c>
      <c r="K18" s="13">
        <f>IF(DAY(GiuDom1)=1,IF(AND(YEAR(GiuDom1+9)=AnnoCalendario,MONTH(GiuDom1+9)=6),GiuDom1+9,""),IF(AND(YEAR(GiuDom1+16)=AnnoCalendario,MONTH(GiuDom1+16)=6),GiuDom1+16,""))</f>
        <v>43998</v>
      </c>
      <c r="L18" s="12">
        <f>IF(DAY(GiuDom1)=1,IF(AND(YEAR(GiuDom1+10)=AnnoCalendario,MONTH(GiuDom1+10)=6),GiuDom1+10,""),IF(AND(YEAR(GiuDom1+17)=AnnoCalendario,MONTH(GiuDom1+17)=6),GiuDom1+17,""))</f>
        <v>43999</v>
      </c>
      <c r="M18" s="12">
        <f>IF(DAY(GiuDom1)=1,IF(AND(YEAR(GiuDom1+11)=AnnoCalendario,MONTH(GiuDom1+11)=6),GiuDom1+11,""),IF(AND(YEAR(GiuDom1+18)=AnnoCalendario,MONTH(GiuDom1+18)=6),GiuDom1+18,""))</f>
        <v>44000</v>
      </c>
      <c r="N18" s="15">
        <f>IF(DAY(GiuDom1)=1,IF(AND(YEAR(GiuDom1+12)=AnnoCalendario,MONTH(GiuDom1+12)=6),GiuDom1+12,""),IF(AND(YEAR(GiuDom1+19)=AnnoCalendario,MONTH(GiuDom1+19)=6),GiuDom1+19,""))</f>
        <v>44001</v>
      </c>
      <c r="O18" s="15">
        <f>IF(DAY(GiuDom1)=1,IF(AND(YEAR(GiuDom1+13)=AnnoCalendario,MONTH(GiuDom1+13)=6),GiuDom1+13,""),IF(AND(YEAR(GiuDom1+20)=AnnoCalendario,MONTH(GiuDom1+20)=6),GiuDom1+20,""))</f>
        <v>44002</v>
      </c>
      <c r="P18" s="13">
        <f>IF(DAY(GiuDom1)=1,IF(AND(YEAR(GiuDom1+14)=AnnoCalendario,MONTH(GiuDom1+14)=6),GiuDom1+14,""),IF(AND(YEAR(GiuDom1+21)=AnnoCalendario,MONTH(GiuDom1+21)=6),GiuDom1+21,""))</f>
        <v>44003</v>
      </c>
      <c r="R18" s="13">
        <f>IF(DAY(LugDom1)=1,IF(AND(YEAR(LugDom1+8)=AnnoCalendario,MONTH(LugDom1+8)=7),LugDom1+8,""),IF(AND(YEAR(LugDom1+15)=AnnoCalendario,MONTH(LugDom1+15)=7),LugDom1+15,""))</f>
        <v>44025</v>
      </c>
      <c r="S18" s="13">
        <f>IF(DAY(LugDom1)=1,IF(AND(YEAR(LugDom1+9)=AnnoCalendario,MONTH(LugDom1+9)=7),LugDom1+9,""),IF(AND(YEAR(LugDom1+16)=AnnoCalendario,MONTH(LugDom1+16)=7),LugDom1+16,""))</f>
        <v>44026</v>
      </c>
      <c r="T18" s="12">
        <f>IF(DAY(LugDom1)=1,IF(AND(YEAR(LugDom1+10)=AnnoCalendario,MONTH(LugDom1+10)=7),LugDom1+10,""),IF(AND(YEAR(LugDom1+17)=AnnoCalendario,MONTH(LugDom1+17)=7),LugDom1+17,""))</f>
        <v>44027</v>
      </c>
      <c r="U18" s="12">
        <f>IF(DAY(LugDom1)=1,IF(AND(YEAR(LugDom1+11)=AnnoCalendario,MONTH(LugDom1+11)=7),LugDom1+11,""),IF(AND(YEAR(LugDom1+18)=AnnoCalendario,MONTH(LugDom1+18)=7),LugDom1+18,""))</f>
        <v>44028</v>
      </c>
      <c r="V18" s="15">
        <f>IF(DAY(LugDom1)=1,IF(AND(YEAR(LugDom1+12)=AnnoCalendario,MONTH(LugDom1+12)=7),LugDom1+12,""),IF(AND(YEAR(LugDom1+19)=AnnoCalendario,MONTH(LugDom1+19)=7),LugDom1+19,""))</f>
        <v>44029</v>
      </c>
      <c r="W18" s="15">
        <f>IF(DAY(LugDom1)=1,IF(AND(YEAR(LugDom1+13)=AnnoCalendario,MONTH(LugDom1+13)=7),LugDom1+13,""),IF(AND(YEAR(LugDom1+20)=AnnoCalendario,MONTH(LugDom1+20)=7),LugDom1+20,""))</f>
        <v>44030</v>
      </c>
      <c r="X18" s="13">
        <f>IF(DAY(LugDom1)=1,IF(AND(YEAR(LugDom1+14)=AnnoCalendario,MONTH(LugDom1+14)=7),LugDom1+14,""),IF(AND(YEAR(LugDom1+21)=AnnoCalendario,MONTH(LugDom1+21)=7),LugDom1+21,""))</f>
        <v>44031</v>
      </c>
      <c r="Z18" s="13">
        <f>IF(DAY(AgoDom1)=1,IF(AND(YEAR(AgoDom1+8)=AnnoCalendario,MONTH(AgoDom1+8)=8),AgoDom1+8,""),IF(AND(YEAR(AgoDom1+15)=AnnoCalendario,MONTH(AgoDom1+15)=8),AgoDom1+15,""))</f>
        <v>44053</v>
      </c>
      <c r="AA18" s="13">
        <f>IF(DAY(AgoDom1)=1,IF(AND(YEAR(AgoDom1+9)=AnnoCalendario,MONTH(AgoDom1+9)=8),AgoDom1+9,""),IF(AND(YEAR(AgoDom1+16)=AnnoCalendario,MONTH(AgoDom1+16)=8),AgoDom1+16,""))</f>
        <v>44054</v>
      </c>
      <c r="AB18" s="12">
        <f>IF(DAY(AgoDom1)=1,IF(AND(YEAR(AgoDom1+10)=AnnoCalendario,MONTH(AgoDom1+10)=8),AgoDom1+10,""),IF(AND(YEAR(AgoDom1+17)=AnnoCalendario,MONTH(AgoDom1+17)=8),AgoDom1+17,""))</f>
        <v>44055</v>
      </c>
      <c r="AC18" s="12">
        <f>IF(DAY(AgoDom1)=1,IF(AND(YEAR(AgoDom1+11)=AnnoCalendario,MONTH(AgoDom1+11)=8),AgoDom1+11,""),IF(AND(YEAR(AgoDom1+18)=AnnoCalendario,MONTH(AgoDom1+18)=8),AgoDom1+18,""))</f>
        <v>44056</v>
      </c>
      <c r="AD18" s="15">
        <f>IF(DAY(AgoDom1)=1,IF(AND(YEAR(AgoDom1+12)=AnnoCalendario,MONTH(AgoDom1+12)=8),AgoDom1+12,""),IF(AND(YEAR(AgoDom1+19)=AnnoCalendario,MONTH(AgoDom1+19)=8),AgoDom1+19,""))</f>
        <v>44057</v>
      </c>
      <c r="AE18" s="15">
        <f>IF(DAY(AgoDom1)=1,IF(AND(YEAR(AgoDom1+13)=AnnoCalendario,MONTH(AgoDom1+13)=8),AgoDom1+13,""),IF(AND(YEAR(AgoDom1+20)=AnnoCalendario,MONTH(AgoDom1+20)=8),AgoDom1+20,""))</f>
        <v>44058</v>
      </c>
      <c r="AF18" s="13">
        <f>IF(DAY(AgoDom1)=1,IF(AND(YEAR(AgoDom1+14)=AnnoCalendario,MONTH(AgoDom1+14)=8),AgoDom1+14,""),IF(AND(YEAR(AgoDom1+21)=AnnoCalendario,MONTH(AgoDom1+21)=8),AgoDom1+21,""))</f>
        <v>44059</v>
      </c>
    </row>
    <row r="19" spans="2:32" s="8" customFormat="1" ht="26.1" customHeight="1" x14ac:dyDescent="0.3">
      <c r="B19" s="14">
        <f>IF(DAY(MagDom1)=1,IF(AND(YEAR(MagDom1+15)=AnnoCalendario,MONTH(MagDom1+15)=5),MagDom1+15,""),IF(AND(YEAR(MagDom1+22)=AnnoCalendario,MONTH(MagDom1+22)=5),MagDom1+22,""))</f>
        <v>43969</v>
      </c>
      <c r="C19" s="14">
        <f>IF(DAY(MagDom1)=1,IF(AND(YEAR(MagDom1+16)=AnnoCalendario,MONTH(MagDom1+16)=5),MagDom1+16,""),IF(AND(YEAR(MagDom1+23)=AnnoCalendario,MONTH(MagDom1+23)=5),MagDom1+23,""))</f>
        <v>43970</v>
      </c>
      <c r="D19" s="14">
        <f>IF(DAY(MagDom1)=1,IF(AND(YEAR(MagDom1+17)=AnnoCalendario,MONTH(MagDom1+17)=5),MagDom1+17,""),IF(AND(YEAR(MagDom1+24)=AnnoCalendario,MONTH(MagDom1+24)=5),MagDom1+24,""))</f>
        <v>43971</v>
      </c>
      <c r="E19" s="13">
        <f>IF(DAY(MagDom1)=1,IF(AND(YEAR(MagDom1+18)=AnnoCalendario,MONTH(MagDom1+18)=5),MagDom1+18,""),IF(AND(YEAR(MagDom1+25)=AnnoCalendario,MONTH(MagDom1+25)=5),MagDom1+25,""))</f>
        <v>43972</v>
      </c>
      <c r="F19" s="16">
        <f>IF(DAY(MagDom1)=1,IF(AND(YEAR(MagDom1+19)=AnnoCalendario,MONTH(MagDom1+19)=5),MagDom1+19,""),IF(AND(YEAR(MagDom1+26)=AnnoCalendario,MONTH(MagDom1+26)=5),MagDom1+26,""))</f>
        <v>43973</v>
      </c>
      <c r="G19" s="13">
        <f>IF(DAY(MagDom1)=1,IF(AND(YEAR(MagDom1+20)=AnnoCalendario,MONTH(MagDom1+20)=5),MagDom1+20,""),IF(AND(YEAR(MagDom1+27)=AnnoCalendario,MONTH(MagDom1+27)=5),MagDom1+27,""))</f>
        <v>43974</v>
      </c>
      <c r="H19" s="13">
        <f>IF(DAY(MagDom1)=1,IF(AND(YEAR(MagDom1+21)=AnnoCalendario,MONTH(MagDom1+21)=5),MagDom1+21,""),IF(AND(YEAR(MagDom1+28)=AnnoCalendario,MONTH(MagDom1+28)=5),MagDom1+28,""))</f>
        <v>43975</v>
      </c>
      <c r="J19" s="14">
        <f>IF(DAY(GiuDom1)=1,IF(AND(YEAR(GiuDom1+15)=AnnoCalendario,MONTH(GiuDom1+15)=6),GiuDom1+15,""),IF(AND(YEAR(GiuDom1+22)=AnnoCalendario,MONTH(GiuDom1+22)=6),GiuDom1+22,""))</f>
        <v>44004</v>
      </c>
      <c r="K19" s="14">
        <f>IF(DAY(GiuDom1)=1,IF(AND(YEAR(GiuDom1+16)=AnnoCalendario,MONTH(GiuDom1+16)=6),GiuDom1+16,""),IF(AND(YEAR(GiuDom1+23)=AnnoCalendario,MONTH(GiuDom1+23)=6),GiuDom1+23,""))</f>
        <v>44005</v>
      </c>
      <c r="L19" s="14">
        <f>IF(DAY(GiuDom1)=1,IF(AND(YEAR(GiuDom1+17)=AnnoCalendario,MONTH(GiuDom1+17)=6),GiuDom1+17,""),IF(AND(YEAR(GiuDom1+24)=AnnoCalendario,MONTH(GiuDom1+24)=6),GiuDom1+24,""))</f>
        <v>44006</v>
      </c>
      <c r="M19" s="13">
        <f>IF(DAY(GiuDom1)=1,IF(AND(YEAR(GiuDom1+18)=AnnoCalendario,MONTH(GiuDom1+18)=6),GiuDom1+18,""),IF(AND(YEAR(GiuDom1+25)=AnnoCalendario,MONTH(GiuDom1+25)=6),GiuDom1+25,""))</f>
        <v>44007</v>
      </c>
      <c r="N19" s="16">
        <f>IF(DAY(GiuDom1)=1,IF(AND(YEAR(GiuDom1+19)=AnnoCalendario,MONTH(GiuDom1+19)=6),GiuDom1+19,""),IF(AND(YEAR(GiuDom1+26)=AnnoCalendario,MONTH(GiuDom1+26)=6),GiuDom1+26,""))</f>
        <v>44008</v>
      </c>
      <c r="O19" s="13">
        <f>IF(DAY(GiuDom1)=1,IF(AND(YEAR(GiuDom1+20)=AnnoCalendario,MONTH(GiuDom1+20)=6),GiuDom1+20,""),IF(AND(YEAR(GiuDom1+27)=AnnoCalendario,MONTH(GiuDom1+27)=6),GiuDom1+27,""))</f>
        <v>44009</v>
      </c>
      <c r="P19" s="13">
        <f>IF(DAY(GiuDom1)=1,IF(AND(YEAR(GiuDom1+21)=AnnoCalendario,MONTH(GiuDom1+21)=6),GiuDom1+21,""),IF(AND(YEAR(GiuDom1+28)=AnnoCalendario,MONTH(GiuDom1+28)=6),GiuDom1+28,""))</f>
        <v>44010</v>
      </c>
      <c r="R19" s="14">
        <f>IF(DAY(LugDom1)=1,IF(AND(YEAR(LugDom1+15)=AnnoCalendario,MONTH(LugDom1+15)=7),LugDom1+15,""),IF(AND(YEAR(LugDom1+22)=AnnoCalendario,MONTH(LugDom1+22)=7),LugDom1+22,""))</f>
        <v>44032</v>
      </c>
      <c r="S19" s="14">
        <f>IF(DAY(LugDom1)=1,IF(AND(YEAR(LugDom1+16)=AnnoCalendario,MONTH(LugDom1+16)=7),LugDom1+16,""),IF(AND(YEAR(LugDom1+23)=AnnoCalendario,MONTH(LugDom1+23)=7),LugDom1+23,""))</f>
        <v>44033</v>
      </c>
      <c r="T19" s="14">
        <f>IF(DAY(LugDom1)=1,IF(AND(YEAR(LugDom1+17)=AnnoCalendario,MONTH(LugDom1+17)=7),LugDom1+17,""),IF(AND(YEAR(LugDom1+24)=AnnoCalendario,MONTH(LugDom1+24)=7),LugDom1+24,""))</f>
        <v>44034</v>
      </c>
      <c r="U19" s="13">
        <f>IF(DAY(LugDom1)=1,IF(AND(YEAR(LugDom1+18)=AnnoCalendario,MONTH(LugDom1+18)=7),LugDom1+18,""),IF(AND(YEAR(LugDom1+25)=AnnoCalendario,MONTH(LugDom1+25)=7),LugDom1+25,""))</f>
        <v>44035</v>
      </c>
      <c r="V19" s="16">
        <f>IF(DAY(LugDom1)=1,IF(AND(YEAR(LugDom1+19)=AnnoCalendario,MONTH(LugDom1+19)=7),LugDom1+19,""),IF(AND(YEAR(LugDom1+26)=AnnoCalendario,MONTH(LugDom1+26)=7),LugDom1+26,""))</f>
        <v>44036</v>
      </c>
      <c r="W19" s="13">
        <f>IF(DAY(LugDom1)=1,IF(AND(YEAR(LugDom1+20)=AnnoCalendario,MONTH(LugDom1+20)=7),LugDom1+20,""),IF(AND(YEAR(LugDom1+27)=AnnoCalendario,MONTH(LugDom1+27)=7),LugDom1+27,""))</f>
        <v>44037</v>
      </c>
      <c r="X19" s="13">
        <f>IF(DAY(LugDom1)=1,IF(AND(YEAR(LugDom1+21)=AnnoCalendario,MONTH(LugDom1+21)=7),LugDom1+21,""),IF(AND(YEAR(LugDom1+28)=AnnoCalendario,MONTH(LugDom1+28)=7),LugDom1+28,""))</f>
        <v>44038</v>
      </c>
      <c r="Z19" s="14">
        <f>IF(DAY(AgoDom1)=1,IF(AND(YEAR(AgoDom1+15)=AnnoCalendario,MONTH(AgoDom1+15)=8),AgoDom1+15,""),IF(AND(YEAR(AgoDom1+22)=AnnoCalendario,MONTH(AgoDom1+22)=8),AgoDom1+22,""))</f>
        <v>44060</v>
      </c>
      <c r="AA19" s="14">
        <f>IF(DAY(AgoDom1)=1,IF(AND(YEAR(AgoDom1+16)=AnnoCalendario,MONTH(AgoDom1+16)=8),AgoDom1+16,""),IF(AND(YEAR(AgoDom1+23)=AnnoCalendario,MONTH(AgoDom1+23)=8),AgoDom1+23,""))</f>
        <v>44061</v>
      </c>
      <c r="AB19" s="14">
        <f>IF(DAY(AgoDom1)=1,IF(AND(YEAR(AgoDom1+17)=AnnoCalendario,MONTH(AgoDom1+17)=8),AgoDom1+17,""),IF(AND(YEAR(AgoDom1+24)=AnnoCalendario,MONTH(AgoDom1+24)=8),AgoDom1+24,""))</f>
        <v>44062</v>
      </c>
      <c r="AC19" s="13">
        <f>IF(DAY(AgoDom1)=1,IF(AND(YEAR(AgoDom1+18)=AnnoCalendario,MONTH(AgoDom1+18)=8),AgoDom1+18,""),IF(AND(YEAR(AgoDom1+25)=AnnoCalendario,MONTH(AgoDom1+25)=8),AgoDom1+25,""))</f>
        <v>44063</v>
      </c>
      <c r="AD19" s="16">
        <f>IF(DAY(AgoDom1)=1,IF(AND(YEAR(AgoDom1+19)=AnnoCalendario,MONTH(AgoDom1+19)=8),AgoDom1+19,""),IF(AND(YEAR(AgoDom1+26)=AnnoCalendario,MONTH(AgoDom1+26)=8),AgoDom1+26,""))</f>
        <v>44064</v>
      </c>
      <c r="AE19" s="13">
        <f>IF(DAY(AgoDom1)=1,IF(AND(YEAR(AgoDom1+20)=AnnoCalendario,MONTH(AgoDom1+20)=8),AgoDom1+20,""),IF(AND(YEAR(AgoDom1+27)=AnnoCalendario,MONTH(AgoDom1+27)=8),AgoDom1+27,""))</f>
        <v>44065</v>
      </c>
      <c r="AF19" s="13">
        <f>IF(DAY(AgoDom1)=1,IF(AND(YEAR(AgoDom1+21)=AnnoCalendario,MONTH(AgoDom1+21)=8),AgoDom1+21,""),IF(AND(YEAR(AgoDom1+28)=AnnoCalendario,MONTH(AgoDom1+28)=8),AgoDom1+28,""))</f>
        <v>44066</v>
      </c>
    </row>
    <row r="20" spans="2:32" s="8" customFormat="1" ht="26.1" customHeight="1" x14ac:dyDescent="0.3">
      <c r="B20" s="12">
        <f>IF(DAY(MagDom1)=1,IF(AND(YEAR(MagDom1+22)=AnnoCalendario,MONTH(MagDom1+22)=5),MagDom1+22,""),IF(AND(YEAR(MagDom1+29)=AnnoCalendario,MONTH(MagDom1+29)=5),MagDom1+29,""))</f>
        <v>43976</v>
      </c>
      <c r="C20" s="12">
        <f>IF(DAY(MagDom1)=1,IF(AND(YEAR(MagDom1+23)=AnnoCalendario,MONTH(MagDom1+23)=5),MagDom1+23,""),IF(AND(YEAR(MagDom1+30)=AnnoCalendario,MONTH(MagDom1+30)=5),MagDom1+30,""))</f>
        <v>43977</v>
      </c>
      <c r="D20" s="17">
        <f>IF(DAY(MagDom1)=1,IF(AND(YEAR(MagDom1+24)=AnnoCalendario,MONTH(MagDom1+24)=5),MagDom1+24,""),IF(AND(YEAR(MagDom1+31)=AnnoCalendario,MONTH(MagDom1+31)=5),MagDom1+31,""))</f>
        <v>43978</v>
      </c>
      <c r="E20" s="17">
        <f>IF(DAY(MagDom1)=1,IF(AND(YEAR(MagDom1+25)=AnnoCalendario,MONTH(MagDom1+25)=5),MagDom1+25,""),IF(AND(YEAR(MagDom1+32)=AnnoCalendario,MONTH(MagDom1+32)=5),MagDom1+32,""))</f>
        <v>43979</v>
      </c>
      <c r="F20" s="17">
        <f>IF(DAY(MagDom1)=1,IF(AND(YEAR(MagDom1+26)=AnnoCalendario,MONTH(MagDom1+26)=5),MagDom1+26,""),IF(AND(YEAR(MagDom1+33)=AnnoCalendario,MONTH(MagDom1+33)=5),MagDom1+33,""))</f>
        <v>43980</v>
      </c>
      <c r="G20" s="18">
        <f>IF(DAY(MagDom1)=1,IF(AND(YEAR(MagDom1+27)=AnnoCalendario,MONTH(MagDom1+27)=5),MagDom1+27,""),IF(AND(YEAR(MagDom1+34)=AnnoCalendario,MONTH(MagDom1+34)=5),MagDom1+34,""))</f>
        <v>43981</v>
      </c>
      <c r="H20" s="18">
        <f>IF(DAY(MagDom1)=1,IF(AND(YEAR(MagDom1+28)=AnnoCalendario,MONTH(MagDom1+28)=5),MagDom1+28,""),IF(AND(YEAR(MagDom1+35)=AnnoCalendario,MONTH(MagDom1+35)=5),MagDom1+35,""))</f>
        <v>43982</v>
      </c>
      <c r="J20" s="12">
        <f>IF(DAY(GiuDom1)=1,IF(AND(YEAR(GiuDom1+22)=AnnoCalendario,MONTH(GiuDom1+22)=6),GiuDom1+22,""),IF(AND(YEAR(GiuDom1+29)=AnnoCalendario,MONTH(GiuDom1+29)=6),GiuDom1+29,""))</f>
        <v>44011</v>
      </c>
      <c r="K20" s="12">
        <f>IF(DAY(GiuDom1)=1,IF(AND(YEAR(GiuDom1+23)=AnnoCalendario,MONTH(GiuDom1+23)=6),GiuDom1+23,""),IF(AND(YEAR(GiuDom1+30)=AnnoCalendario,MONTH(GiuDom1+30)=6),GiuDom1+30,""))</f>
        <v>44012</v>
      </c>
      <c r="L20" s="17" t="str">
        <f>IF(DAY(GiuDom1)=1,IF(AND(YEAR(GiuDom1+24)=AnnoCalendario,MONTH(GiuDom1+24)=6),GiuDom1+24,""),IF(AND(YEAR(GiuDom1+31)=AnnoCalendario,MONTH(GiuDom1+31)=6),GiuDom1+31,""))</f>
        <v/>
      </c>
      <c r="M20" s="17" t="str">
        <f>IF(DAY(GiuDom1)=1,IF(AND(YEAR(GiuDom1+25)=AnnoCalendario,MONTH(GiuDom1+25)=6),GiuDom1+25,""),IF(AND(YEAR(GiuDom1+32)=AnnoCalendario,MONTH(GiuDom1+32)=6),GiuDom1+32,""))</f>
        <v/>
      </c>
      <c r="N20" s="17" t="str">
        <f>IF(DAY(GiuDom1)=1,IF(AND(YEAR(GiuDom1+26)=AnnoCalendario,MONTH(GiuDom1+26)=6),GiuDom1+26,""),IF(AND(YEAR(GiuDom1+33)=AnnoCalendario,MONTH(GiuDom1+33)=6),GiuDom1+33,""))</f>
        <v/>
      </c>
      <c r="O20" s="18" t="str">
        <f>IF(DAY(GiuDom1)=1,IF(AND(YEAR(GiuDom1+27)=AnnoCalendario,MONTH(GiuDom1+27)=6),GiuDom1+27,""),IF(AND(YEAR(GiuDom1+34)=AnnoCalendario,MONTH(GiuDom1+34)=6),GiuDom1+34,""))</f>
        <v/>
      </c>
      <c r="P20" s="18" t="str">
        <f>IF(DAY(GiuDom1)=1,IF(AND(YEAR(GiuDom1+28)=AnnoCalendario,MONTH(GiuDom1+28)=6),GiuDom1+28,""),IF(AND(YEAR(GiuDom1+35)=AnnoCalendario,MONTH(GiuDom1+35)=6),GiuDom1+35,""))</f>
        <v/>
      </c>
      <c r="R20" s="12">
        <f>IF(DAY(LugDom1)=1,IF(AND(YEAR(LugDom1+22)=AnnoCalendario,MONTH(LugDom1+22)=7),LugDom1+22,""),IF(AND(YEAR(LugDom1+29)=AnnoCalendario,MONTH(LugDom1+29)=7),LugDom1+29,""))</f>
        <v>44039</v>
      </c>
      <c r="S20" s="12">
        <f>IF(DAY(LugDom1)=1,IF(AND(YEAR(LugDom1+23)=AnnoCalendario,MONTH(LugDom1+23)=7),LugDom1+23,""),IF(AND(YEAR(LugDom1+30)=AnnoCalendario,MONTH(LugDom1+30)=7),LugDom1+30,""))</f>
        <v>44040</v>
      </c>
      <c r="T20" s="17">
        <f>IF(DAY(LugDom1)=1,IF(AND(YEAR(LugDom1+24)=AnnoCalendario,MONTH(LugDom1+24)=7),LugDom1+24,""),IF(AND(YEAR(LugDom1+31)=AnnoCalendario,MONTH(LugDom1+31)=7),LugDom1+31,""))</f>
        <v>44041</v>
      </c>
      <c r="U20" s="17">
        <f>IF(DAY(LugDom1)=1,IF(AND(YEAR(LugDom1+25)=AnnoCalendario,MONTH(LugDom1+25)=7),LugDom1+25,""),IF(AND(YEAR(LugDom1+32)=AnnoCalendario,MONTH(LugDom1+32)=7),LugDom1+32,""))</f>
        <v>44042</v>
      </c>
      <c r="V20" s="17">
        <f>IF(DAY(LugDom1)=1,IF(AND(YEAR(LugDom1+26)=AnnoCalendario,MONTH(LugDom1+26)=7),LugDom1+26,""),IF(AND(YEAR(LugDom1+33)=AnnoCalendario,MONTH(LugDom1+33)=7),LugDom1+33,""))</f>
        <v>44043</v>
      </c>
      <c r="W20" s="18" t="str">
        <f>IF(DAY(LugDom1)=1,IF(AND(YEAR(LugDom1+27)=AnnoCalendario,MONTH(LugDom1+27)=7),LugDom1+27,""),IF(AND(YEAR(LugDom1+34)=AnnoCalendario,MONTH(LugDom1+34)=7),LugDom1+34,""))</f>
        <v/>
      </c>
      <c r="X20" s="18" t="str">
        <f>IF(DAY(LugDom1)=1,IF(AND(YEAR(LugDom1+28)=AnnoCalendario,MONTH(LugDom1+28)=7),LugDom1+28,""),IF(AND(YEAR(LugDom1+35)=AnnoCalendario,MONTH(LugDom1+35)=7),LugDom1+35,""))</f>
        <v/>
      </c>
      <c r="Z20" s="12">
        <f>IF(DAY(AgoDom1)=1,IF(AND(YEAR(AgoDom1+22)=AnnoCalendario,MONTH(AgoDom1+22)=8),AgoDom1+22,""),IF(AND(YEAR(AgoDom1+29)=AnnoCalendario,MONTH(AgoDom1+29)=8),AgoDom1+29,""))</f>
        <v>44067</v>
      </c>
      <c r="AA20" s="12">
        <f>IF(DAY(AgoDom1)=1,IF(AND(YEAR(AgoDom1+23)=AnnoCalendario,MONTH(AgoDom1+23)=8),AgoDom1+23,""),IF(AND(YEAR(AgoDom1+30)=AnnoCalendario,MONTH(AgoDom1+30)=8),AgoDom1+30,""))</f>
        <v>44068</v>
      </c>
      <c r="AB20" s="17">
        <f>IF(DAY(AgoDom1)=1,IF(AND(YEAR(AgoDom1+24)=AnnoCalendario,MONTH(AgoDom1+24)=8),AgoDom1+24,""),IF(AND(YEAR(AgoDom1+31)=AnnoCalendario,MONTH(AgoDom1+31)=8),AgoDom1+31,""))</f>
        <v>44069</v>
      </c>
      <c r="AC20" s="17">
        <f>IF(DAY(AgoDom1)=1,IF(AND(YEAR(AgoDom1+25)=AnnoCalendario,MONTH(AgoDom1+25)=8),AgoDom1+25,""),IF(AND(YEAR(AgoDom1+32)=AnnoCalendario,MONTH(AgoDom1+32)=8),AgoDom1+32,""))</f>
        <v>44070</v>
      </c>
      <c r="AD20" s="17">
        <f>IF(DAY(AgoDom1)=1,IF(AND(YEAR(AgoDom1+26)=AnnoCalendario,MONTH(AgoDom1+26)=8),AgoDom1+26,""),IF(AND(YEAR(AgoDom1+33)=AnnoCalendario,MONTH(AgoDom1+33)=8),AgoDom1+33,""))</f>
        <v>44071</v>
      </c>
      <c r="AE20" s="18">
        <f>IF(DAY(AgoDom1)=1,IF(AND(YEAR(AgoDom1+27)=AnnoCalendario,MONTH(AgoDom1+27)=8),AgoDom1+27,""),IF(AND(YEAR(AgoDom1+34)=AnnoCalendario,MONTH(AgoDom1+34)=8),AgoDom1+34,""))</f>
        <v>44072</v>
      </c>
      <c r="AF20" s="18">
        <f>IF(DAY(AgoDom1)=1,IF(AND(YEAR(AgoDom1+28)=AnnoCalendario,MONTH(AgoDom1+28)=8),AgoDom1+28,""),IF(AND(YEAR(AgoDom1+35)=AnnoCalendario,MONTH(AgoDom1+35)=8),AgoDom1+35,""))</f>
        <v>44073</v>
      </c>
    </row>
    <row r="21" spans="2:32" s="8" customFormat="1" ht="26.1" customHeight="1" x14ac:dyDescent="0.3">
      <c r="B21" s="12" t="str">
        <f>IF(DAY(MagDom1)=1,IF(AND(YEAR(MagDom1+29)=AnnoCalendario,MONTH(MagDom1+29)=5),MagDom1+29,""),IF(AND(YEAR(MagDom1+36)=AnnoCalendario,MONTH(MagDom1+36)=5),MagDom1+36,""))</f>
        <v/>
      </c>
      <c r="C21" s="12" t="str">
        <f>IF(DAY(MagDom1)=1,IF(AND(YEAR(MagDom1+30)=AnnoCalendario,MONTH(MagDom1+30)=5),MagDom1+30,""),IF(AND(YEAR(MagDom1+37)=AnnoCalendario,MONTH(MagDom1+37)=5),MagDom1+37,""))</f>
        <v/>
      </c>
      <c r="D21" s="17" t="str">
        <f>IF(DAY(MagDom1)=1,IF(AND(YEAR(MagDom1+31)=AnnoCalendario,MONTH(MagDom1+31)=5),MagDom1+31,""),IF(AND(YEAR(MagDom1+38)=AnnoCalendario,MONTH(MagDom1+38)=5),MagDom1+38,""))</f>
        <v/>
      </c>
      <c r="E21" s="17" t="str">
        <f>IF(DAY(MagDom1)=1,IF(AND(YEAR(MagDom1+32)=AnnoCalendario,MONTH(MagDom1+32)=5),MagDom1+32,""),IF(AND(YEAR(MagDom1+39)=AnnoCalendario,MONTH(MagDom1+39)=5),MagDom1+39,""))</f>
        <v/>
      </c>
      <c r="F21" s="17" t="str">
        <f>IF(DAY(MagDom1)=1,IF(AND(YEAR(MagDom1+33)=AnnoCalendario,MONTH(MagDom1+33)=5),MagDom1+33,""),IF(AND(YEAR(MagDom1+40)=AnnoCalendario,MONTH(MagDom1+40)=5),MagDom1+40,""))</f>
        <v/>
      </c>
      <c r="G21" s="18" t="str">
        <f>IF(DAY(MagDom1)=1,IF(AND(YEAR(MagDom1+34)=AnnoCalendario,MONTH(MagDom1+34)=5),MagDom1+34,""),IF(AND(YEAR(MagDom1+41)=AnnoCalendario,MONTH(MagDom1+41)=5),MagDom1+41,""))</f>
        <v/>
      </c>
      <c r="H21" s="18" t="str">
        <f>IF(DAY(MagDom1)=1,IF(AND(YEAR(MagDom1+35)=AnnoCalendario,MONTH(MagDom1+35)=5),MagDom1+35,""),IF(AND(YEAR(MagDom1+42)=AnnoCalendario,MONTH(MagDom1+42)=5),MagDom1+42,""))</f>
        <v/>
      </c>
      <c r="J21" s="12" t="str">
        <f>IF(DAY(GiuDom1)=1,IF(AND(YEAR(GiuDom1+29)=AnnoCalendario,MONTH(GiuDom1+29)=6),GiuDom1+29,""),IF(AND(YEAR(GiuDom1+36)=AnnoCalendario,MONTH(GiuDom1+36)=6),GiuDom1+36,""))</f>
        <v/>
      </c>
      <c r="K21" s="12" t="str">
        <f>IF(DAY(GiuDom1)=1,IF(AND(YEAR(GiuDom1+30)=AnnoCalendario,MONTH(GiuDom1+30)=6),GiuDom1+30,""),IF(AND(YEAR(GiuDom1+37)=AnnoCalendario,MONTH(GiuDom1+37)=6),GiuDom1+37,""))</f>
        <v/>
      </c>
      <c r="L21" s="17" t="str">
        <f>IF(DAY(GiuDom1)=1,IF(AND(YEAR(GiuDom1+31)=AnnoCalendario,MONTH(GiuDom1+31)=6),GiuDom1+31,""),IF(AND(YEAR(GiuDom1+38)=AnnoCalendario,MONTH(GiuDom1+38)=6),GiuDom1+38,""))</f>
        <v/>
      </c>
      <c r="M21" s="17" t="str">
        <f>IF(DAY(GiuDom1)=1,IF(AND(YEAR(GiuDom1+32)=AnnoCalendario,MONTH(GiuDom1+32)=6),GiuDom1+32,""),IF(AND(YEAR(GiuDom1+39)=AnnoCalendario,MONTH(GiuDom1+39)=6),GiuDom1+39,""))</f>
        <v/>
      </c>
      <c r="N21" s="17" t="str">
        <f>IF(DAY(GiuDom1)=1,IF(AND(YEAR(GiuDom1+33)=AnnoCalendario,MONTH(GiuDom1+33)=6),GiuDom1+33,""),IF(AND(YEAR(GiuDom1+40)=AnnoCalendario,MONTH(GiuDom1+40)=6),GiuDom1+40,""))</f>
        <v/>
      </c>
      <c r="O21" s="18" t="str">
        <f>IF(DAY(GiuDom1)=1,IF(AND(YEAR(GiuDom1+34)=AnnoCalendario,MONTH(GiuDom1+34)=6),GiuDom1+34,""),IF(AND(YEAR(GiuDom1+41)=AnnoCalendario,MONTH(GiuDom1+41)=6),GiuDom1+41,""))</f>
        <v/>
      </c>
      <c r="P21" s="18" t="str">
        <f>IF(DAY(GiuDom1)=1,IF(AND(YEAR(GiuDom1+35)=AnnoCalendario,MONTH(GiuDom1+35)=6),GiuDom1+35,""),IF(AND(YEAR(GiuDom1+42)=AnnoCalendario,MONTH(GiuDom1+42)=6),GiuDom1+42,""))</f>
        <v/>
      </c>
      <c r="R21" s="12" t="str">
        <f>IF(DAY(LugDom1)=1,IF(AND(YEAR(LugDom1+29)=AnnoCalendario,MONTH(LugDom1+29)=7),LugDom1+29,""),IF(AND(YEAR(LugDom1+36)=AnnoCalendario,MONTH(LugDom1+36)=7),LugDom1+36,""))</f>
        <v/>
      </c>
      <c r="S21" s="12" t="str">
        <f>IF(DAY(LugDom1)=1,IF(AND(YEAR(LugDom1+30)=AnnoCalendario,MONTH(LugDom1+30)=7),LugDom1+30,""),IF(AND(YEAR(LugDom1+37)=AnnoCalendario,MONTH(LugDom1+37)=7),LugDom1+37,""))</f>
        <v/>
      </c>
      <c r="T21" s="17" t="str">
        <f>IF(DAY(LugDom1)=1,IF(AND(YEAR(LugDom1+31)=AnnoCalendario,MONTH(LugDom1+31)=7),LugDom1+31,""),IF(AND(YEAR(LugDom1+38)=AnnoCalendario,MONTH(LugDom1+38)=7),LugDom1+38,""))</f>
        <v/>
      </c>
      <c r="U21" s="17" t="str">
        <f>IF(DAY(LugDom1)=1,IF(AND(YEAR(LugDom1+32)=AnnoCalendario,MONTH(LugDom1+32)=7),LugDom1+32,""),IF(AND(YEAR(LugDom1+39)=AnnoCalendario,MONTH(LugDom1+39)=7),LugDom1+39,""))</f>
        <v/>
      </c>
      <c r="V21" s="17" t="str">
        <f>IF(DAY(LugDom1)=1,IF(AND(YEAR(LugDom1+33)=AnnoCalendario,MONTH(LugDom1+33)=7),LugDom1+33,""),IF(AND(YEAR(LugDom1+40)=AnnoCalendario,MONTH(LugDom1+40)=7),LugDom1+40,""))</f>
        <v/>
      </c>
      <c r="W21" s="18" t="str">
        <f>IF(DAY(LugDom1)=1,IF(AND(YEAR(LugDom1+34)=AnnoCalendario,MONTH(LugDom1+34)=7),LugDom1+34,""),IF(AND(YEAR(LugDom1+41)=AnnoCalendario,MONTH(LugDom1+41)=7),LugDom1+41,""))</f>
        <v/>
      </c>
      <c r="X21" s="18" t="str">
        <f>IF(DAY(LugDom1)=1,IF(AND(YEAR(LugDom1+35)=AnnoCalendario,MONTH(LugDom1+35)=7),LugDom1+35,""),IF(AND(YEAR(LugDom1+42)=AnnoCalendario,MONTH(LugDom1+42)=7),LugDom1+42,""))</f>
        <v/>
      </c>
      <c r="Z21" s="12">
        <f>IF(DAY(AgoDom1)=1,IF(AND(YEAR(AgoDom1+29)=AnnoCalendario,MONTH(AgoDom1+29)=8),AgoDom1+29,""),IF(AND(YEAR(AgoDom1+36)=AnnoCalendario,MONTH(AgoDom1+36)=8),AgoDom1+36,""))</f>
        <v>44074</v>
      </c>
      <c r="AA21" s="12" t="str">
        <f>IF(DAY(AgoDom1)=1,IF(AND(YEAR(AgoDom1+30)=AnnoCalendario,MONTH(AgoDom1+30)=8),AgoDom1+30,""),IF(AND(YEAR(AgoDom1+37)=AnnoCalendario,MONTH(AgoDom1+37)=8),AgoDom1+37,""))</f>
        <v/>
      </c>
      <c r="AB21" s="17" t="str">
        <f>IF(DAY(AgoDom1)=1,IF(AND(YEAR(AgoDom1+31)=AnnoCalendario,MONTH(AgoDom1+31)=8),AgoDom1+31,""),IF(AND(YEAR(AgoDom1+38)=AnnoCalendario,MONTH(AgoDom1+38)=8),AgoDom1+38,""))</f>
        <v/>
      </c>
      <c r="AC21" s="17" t="str">
        <f>IF(DAY(AgoDom1)=1,IF(AND(YEAR(AgoDom1+32)=AnnoCalendario,MONTH(AgoDom1+32)=8),AgoDom1+32,""),IF(AND(YEAR(AgoDom1+39)=AnnoCalendario,MONTH(AgoDom1+39)=8),AgoDom1+39,""))</f>
        <v/>
      </c>
      <c r="AD21" s="17" t="str">
        <f>IF(DAY(AgoDom1)=1,IF(AND(YEAR(AgoDom1+33)=AnnoCalendario,MONTH(AgoDom1+33)=8),AgoDom1+33,""),IF(AND(YEAR(AgoDom1+40)=AnnoCalendario,MONTH(AgoDom1+40)=8),AgoDom1+40,""))</f>
        <v/>
      </c>
      <c r="AE21" s="18" t="str">
        <f>IF(DAY(AgoDom1)=1,IF(AND(YEAR(AgoDom1+34)=AnnoCalendario,MONTH(AgoDom1+34)=8),AgoDom1+34,""),IF(AND(YEAR(AgoDom1+41)=AnnoCalendario,MONTH(AgoDom1+41)=8),AgoDom1+41,""))</f>
        <v/>
      </c>
      <c r="AF21" s="18" t="str">
        <f>IF(DAY(AgoDom1)=1,IF(AND(YEAR(AgoDom1+35)=AnnoCalendario,MONTH(AgoDom1+35)=8),AgoDom1+35,""),IF(AND(YEAR(AgoDom1+42)=AnnoCalendario,MONTH(AgoDom1+42)=8),AgoDom1+42,""))</f>
        <v/>
      </c>
    </row>
    <row r="22" spans="2:32" s="7" customFormat="1" ht="18" customHeight="1" x14ac:dyDescent="0.3"/>
    <row r="23" spans="2:32" s="34" customFormat="1" ht="25.5" customHeight="1" x14ac:dyDescent="0.3">
      <c r="B23" s="50" t="s">
        <v>3</v>
      </c>
      <c r="C23" s="50"/>
      <c r="D23" s="50"/>
      <c r="E23" s="50"/>
      <c r="F23" s="50"/>
      <c r="G23" s="50"/>
      <c r="H23" s="50"/>
      <c r="J23" s="50" t="s">
        <v>12</v>
      </c>
      <c r="K23" s="50"/>
      <c r="L23" s="50"/>
      <c r="M23" s="50"/>
      <c r="N23" s="50"/>
      <c r="O23" s="50"/>
      <c r="P23" s="50"/>
      <c r="R23" s="50" t="s">
        <v>15</v>
      </c>
      <c r="S23" s="50"/>
      <c r="T23" s="50"/>
      <c r="U23" s="50"/>
      <c r="V23" s="50"/>
      <c r="W23" s="50"/>
      <c r="X23" s="50"/>
      <c r="Z23" s="50" t="s">
        <v>18</v>
      </c>
      <c r="AA23" s="50"/>
      <c r="AB23" s="50"/>
      <c r="AC23" s="50"/>
      <c r="AD23" s="50"/>
      <c r="AE23" s="50"/>
      <c r="AF23" s="50"/>
    </row>
    <row r="24" spans="2:32" s="6" customFormat="1" ht="26.1" customHeight="1" x14ac:dyDescent="0.25">
      <c r="B24" s="55" t="s">
        <v>1</v>
      </c>
      <c r="C24" s="19" t="s">
        <v>4</v>
      </c>
      <c r="D24" s="19" t="s">
        <v>5</v>
      </c>
      <c r="E24" s="19" t="s">
        <v>6</v>
      </c>
      <c r="F24" s="19" t="s">
        <v>7</v>
      </c>
      <c r="G24" s="56" t="s">
        <v>8</v>
      </c>
      <c r="H24" s="57" t="s">
        <v>9</v>
      </c>
      <c r="J24" s="55" t="s">
        <v>1</v>
      </c>
      <c r="K24" s="19" t="s">
        <v>4</v>
      </c>
      <c r="L24" s="19" t="s">
        <v>5</v>
      </c>
      <c r="M24" s="19" t="s">
        <v>6</v>
      </c>
      <c r="N24" s="19" t="s">
        <v>7</v>
      </c>
      <c r="O24" s="56" t="s">
        <v>8</v>
      </c>
      <c r="P24" s="57" t="s">
        <v>9</v>
      </c>
      <c r="R24" s="55" t="s">
        <v>1</v>
      </c>
      <c r="S24" s="19" t="s">
        <v>4</v>
      </c>
      <c r="T24" s="19" t="s">
        <v>5</v>
      </c>
      <c r="U24" s="19" t="s">
        <v>6</v>
      </c>
      <c r="V24" s="19" t="s">
        <v>7</v>
      </c>
      <c r="W24" s="56" t="s">
        <v>8</v>
      </c>
      <c r="X24" s="57" t="s">
        <v>9</v>
      </c>
      <c r="Z24" s="55" t="s">
        <v>1</v>
      </c>
      <c r="AA24" s="19" t="s">
        <v>4</v>
      </c>
      <c r="AB24" s="19" t="s">
        <v>5</v>
      </c>
      <c r="AC24" s="19" t="s">
        <v>6</v>
      </c>
      <c r="AD24" s="19" t="s">
        <v>7</v>
      </c>
      <c r="AE24" s="56" t="s">
        <v>8</v>
      </c>
      <c r="AF24" s="57" t="s">
        <v>9</v>
      </c>
    </row>
    <row r="25" spans="2:32" s="8" customFormat="1" ht="26.1" customHeight="1" x14ac:dyDescent="0.3">
      <c r="B25" s="9" t="str">
        <f>IF(DAY(SetDom1)=1,"",IF(AND(YEAR(SetDom1+1)=AnnoCalendario,MONTH(SetDom1+1)=9),SetDom1+1,""))</f>
        <v/>
      </c>
      <c r="C25" s="9">
        <f>IF(DAY(SetDom1)=1,"",IF(AND(YEAR(SetDom1+2)=AnnoCalendario,MONTH(SetDom1+2)=9),SetDom1+2,""))</f>
        <v>44075</v>
      </c>
      <c r="D25" s="10">
        <f>IF(DAY(SetDom1)=1,"",IF(AND(YEAR(SetDom1+3)=AnnoCalendario,MONTH(SetDom1+3)=9),SetDom1+3,""))</f>
        <v>44076</v>
      </c>
      <c r="E25" s="10">
        <f>IF(DAY(SetDom1)=1,"",IF(AND(YEAR(SetDom1+4)=AnnoCalendario,MONTH(SetDom1+4)=9),SetDom1+4,""))</f>
        <v>44077</v>
      </c>
      <c r="F25" s="10">
        <f>IF(DAY(SetDom1)=1,"",IF(AND(YEAR(SetDom1+5)=AnnoCalendario,MONTH(SetDom1+5)=9),SetDom1+5,""))</f>
        <v>44078</v>
      </c>
      <c r="G25" s="11">
        <f>IF(DAY(SetDom1)=1,"",IF(AND(YEAR(SetDom1+6)=AnnoCalendario,MONTH(SetDom1+6)=9),SetDom1+6,""))</f>
        <v>44079</v>
      </c>
      <c r="H25" s="11">
        <f>IF(DAY(SetDom1)=1,IF(AND(YEAR(SetDom1)=AnnoCalendario,MONTH(SetDom1)=9),SetDom1,""),IF(AND(YEAR(SetDom1+7)=AnnoCalendario,MONTH(SetDom1+7)=9),SetDom1+7,""))</f>
        <v>44080</v>
      </c>
      <c r="J25" s="9" t="str">
        <f>IF(DAY(OttDom1)=1,"",IF(AND(YEAR(OttDom1+1)=AnnoCalendario,MONTH(OttDom1+1)=10),OttDom1+1,""))</f>
        <v/>
      </c>
      <c r="K25" s="9" t="str">
        <f>IF(DAY(OttDom1)=1,"",IF(AND(YEAR(OttDom1+2)=AnnoCalendario,MONTH(OttDom1+2)=10),OttDom1+2,""))</f>
        <v/>
      </c>
      <c r="L25" s="10" t="str">
        <f>IF(DAY(OttDom1)=1,"",IF(AND(YEAR(OttDom1+3)=AnnoCalendario,MONTH(OttDom1+3)=10),OttDom1+3,""))</f>
        <v/>
      </c>
      <c r="M25" s="10">
        <f>IF(DAY(OttDom1)=1,"",IF(AND(YEAR(OttDom1+4)=AnnoCalendario,MONTH(OttDom1+4)=10),OttDom1+4,""))</f>
        <v>44105</v>
      </c>
      <c r="N25" s="10">
        <f>IF(DAY(OttDom1)=1,"",IF(AND(YEAR(OttDom1+5)=AnnoCalendario,MONTH(OttDom1+5)=10),OttDom1+5,""))</f>
        <v>44106</v>
      </c>
      <c r="O25" s="11">
        <f>IF(DAY(OttDom1)=1,"",IF(AND(YEAR(OttDom1+6)=AnnoCalendario,MONTH(OttDom1+6)=10),OttDom1+6,""))</f>
        <v>44107</v>
      </c>
      <c r="P25" s="11">
        <f>IF(DAY(OttDom1)=1,IF(AND(YEAR(OttDom1)=AnnoCalendario,MONTH(OttDom1)=10),OttDom1,""),IF(AND(YEAR(OttDom1+7)=AnnoCalendario,MONTH(OttDom1+7)=10),OttDom1+7,""))</f>
        <v>44108</v>
      </c>
      <c r="R25" s="9" t="str">
        <f>IF(DAY(NovDom1)=1,"",IF(AND(YEAR(NovDom1+1)=AnnoCalendario,MONTH(NovDom1+1)=11),NovDom1+1,""))</f>
        <v/>
      </c>
      <c r="S25" s="9" t="str">
        <f>IF(DAY(NovDom1)=1,"",IF(AND(YEAR(NovDom1+2)=AnnoCalendario,MONTH(NovDom1+2)=11),NovDom1+2,""))</f>
        <v/>
      </c>
      <c r="T25" s="10" t="str">
        <f>IF(DAY(NovDom1)=1,"",IF(AND(YEAR(NovDom1+3)=AnnoCalendario,MONTH(NovDom1+3)=11),NovDom1+3,""))</f>
        <v/>
      </c>
      <c r="U25" s="10" t="str">
        <f>IF(DAY(NovDom1)=1,"",IF(AND(YEAR(NovDom1+4)=AnnoCalendario,MONTH(NovDom1+4)=11),NovDom1+4,""))</f>
        <v/>
      </c>
      <c r="V25" s="10" t="str">
        <f>IF(DAY(NovDom1)=1,"",IF(AND(YEAR(NovDom1+5)=AnnoCalendario,MONTH(NovDom1+5)=11),NovDom1+5,""))</f>
        <v/>
      </c>
      <c r="W25" s="11" t="str">
        <f>IF(DAY(NovDom1)=1,"",IF(AND(YEAR(NovDom1+6)=AnnoCalendario,MONTH(NovDom1+6)=11),NovDom1+6,""))</f>
        <v/>
      </c>
      <c r="X25" s="11">
        <f>IF(DAY(NovDom1)=1,IF(AND(YEAR(NovDom1)=AnnoCalendario,MONTH(NovDom1)=11),NovDom1,""),IF(AND(YEAR(NovDom1+7)=AnnoCalendario,MONTH(NovDom1+7)=11),NovDom1+7,""))</f>
        <v>44136</v>
      </c>
      <c r="Z25" s="9" t="str">
        <f>IF(DAY(DicDom1)=1,"",IF(AND(YEAR(DicDom1+1)=AnnoCalendario,MONTH(DicDom1+1)=12),DicDom1+1,""))</f>
        <v/>
      </c>
      <c r="AA25" s="9">
        <f>IF(DAY(DicDom1)=1,"",IF(AND(YEAR(DicDom1+2)=AnnoCalendario,MONTH(DicDom1+2)=12),DicDom1+2,""))</f>
        <v>44166</v>
      </c>
      <c r="AB25" s="10">
        <f>IF(DAY(DicDom1)=1,"",IF(AND(YEAR(DicDom1+3)=AnnoCalendario,MONTH(DicDom1+3)=12),DicDom1+3,""))</f>
        <v>44167</v>
      </c>
      <c r="AC25" s="10">
        <f>IF(DAY(DicDom1)=1,"",IF(AND(YEAR(DicDom1+4)=AnnoCalendario,MONTH(DicDom1+4)=12),DicDom1+4,""))</f>
        <v>44168</v>
      </c>
      <c r="AD25" s="10">
        <f>IF(DAY(DicDom1)=1,"",IF(AND(YEAR(DicDom1+5)=AnnoCalendario,MONTH(DicDom1+5)=12),DicDom1+5,""))</f>
        <v>44169</v>
      </c>
      <c r="AE25" s="11">
        <f>IF(DAY(DicDom1)=1,"",IF(AND(YEAR(DicDom1+6)=AnnoCalendario,MONTH(DicDom1+6)=12),DicDom1+6,""))</f>
        <v>44170</v>
      </c>
      <c r="AF25" s="11">
        <f>IF(DAY(DicDom1)=1,IF(AND(YEAR(DicDom1)=AnnoCalendario,MONTH(DicDom1)=12),DicDom1,""),IF(AND(YEAR(DicDom1+7)=AnnoCalendario,MONTH(DicDom1+7)=12),DicDom1+7,""))</f>
        <v>44171</v>
      </c>
    </row>
    <row r="26" spans="2:32" s="8" customFormat="1" ht="26.1" customHeight="1" x14ac:dyDescent="0.3">
      <c r="B26" s="12">
        <f>IF(DAY(SetDom1)=1,IF(AND(YEAR(SetDom1+1)=AnnoCalendario,MONTH(SetDom1+1)=9),SetDom1+1,""),IF(AND(YEAR(SetDom1+8)=AnnoCalendario,MONTH(SetDom1+8)=9),SetDom1+8,""))</f>
        <v>44081</v>
      </c>
      <c r="C26" s="12">
        <f>IF(DAY(SetDom1)=1,IF(AND(YEAR(SetDom1+2)=AnnoCalendario,MONTH(SetDom1+2)=9),SetDom1+2,""),IF(AND(YEAR(SetDom1+9)=AnnoCalendario,MONTH(SetDom1+9)=9),SetDom1+9,""))</f>
        <v>44082</v>
      </c>
      <c r="D26" s="12">
        <f>IF(DAY(SetDom1)=1,IF(AND(YEAR(SetDom1+3)=AnnoCalendario,MONTH(SetDom1+3)=9),SetDom1+3,""),IF(AND(YEAR(SetDom1+10)=AnnoCalendario,MONTH(SetDom1+10)=9),SetDom1+10,""))</f>
        <v>44083</v>
      </c>
      <c r="E26" s="13">
        <f>IF(DAY(SetDom1)=1,IF(AND(YEAR(SetDom1+4)=AnnoCalendario,MONTH(SetDom1+4)=9),SetDom1+4,""),IF(AND(YEAR(SetDom1+11)=AnnoCalendario,MONTH(SetDom1+11)=9),SetDom1+11,""))</f>
        <v>44084</v>
      </c>
      <c r="F26" s="13">
        <f>IF(DAY(SetDom1)=1,IF(AND(YEAR(SetDom1+5)=AnnoCalendario,MONTH(SetDom1+5)=9),SetDom1+5,""),IF(AND(YEAR(SetDom1+12)=AnnoCalendario,MONTH(SetDom1+12)=9),SetDom1+12,""))</f>
        <v>44085</v>
      </c>
      <c r="G26" s="14">
        <f>IF(DAY(SetDom1)=1,IF(AND(YEAR(SetDom1+6)=AnnoCalendario,MONTH(SetDom1+6)=9),SetDom1+6,""),IF(AND(YEAR(SetDom1+13)=AnnoCalendario,MONTH(SetDom1+13)=9),SetDom1+13,""))</f>
        <v>44086</v>
      </c>
      <c r="H26" s="14">
        <f>IF(DAY(SetDom1)=1,IF(AND(YEAR(SetDom1+7)=AnnoCalendario,MONTH(SetDom1+7)=9),SetDom1+7,""),IF(AND(YEAR(SetDom1+14)=AnnoCalendario,MONTH(SetDom1+14)=9),SetDom1+14,""))</f>
        <v>44087</v>
      </c>
      <c r="J26" s="12">
        <f>IF(DAY(OttDom1)=1,IF(AND(YEAR(OttDom1+1)=AnnoCalendario,MONTH(OttDom1+1)=10),OttDom1+1,""),IF(AND(YEAR(OttDom1+8)=AnnoCalendario,MONTH(OttDom1+8)=10),OttDom1+8,""))</f>
        <v>44109</v>
      </c>
      <c r="K26" s="12">
        <f>IF(DAY(OttDom1)=1,IF(AND(YEAR(OttDom1+2)=AnnoCalendario,MONTH(OttDom1+2)=10),OttDom1+2,""),IF(AND(YEAR(OttDom1+9)=AnnoCalendario,MONTH(OttDom1+9)=10),OttDom1+9,""))</f>
        <v>44110</v>
      </c>
      <c r="L26" s="12">
        <f>IF(DAY(OttDom1)=1,IF(AND(YEAR(OttDom1+3)=AnnoCalendario,MONTH(OttDom1+3)=10),OttDom1+3,""),IF(AND(YEAR(OttDom1+10)=AnnoCalendario,MONTH(OttDom1+10)=10),OttDom1+10,""))</f>
        <v>44111</v>
      </c>
      <c r="M26" s="13">
        <f>IF(DAY(OttDom1)=1,IF(AND(YEAR(OttDom1+4)=AnnoCalendario,MONTH(OttDom1+4)=10),OttDom1+4,""),IF(AND(YEAR(OttDom1+11)=AnnoCalendario,MONTH(OttDom1+11)=10),OttDom1+11,""))</f>
        <v>44112</v>
      </c>
      <c r="N26" s="13">
        <f>IF(DAY(OttDom1)=1,IF(AND(YEAR(OttDom1+5)=AnnoCalendario,MONTH(OttDom1+5)=10),OttDom1+5,""),IF(AND(YEAR(OttDom1+12)=AnnoCalendario,MONTH(OttDom1+12)=10),OttDom1+12,""))</f>
        <v>44113</v>
      </c>
      <c r="O26" s="14">
        <f>IF(DAY(OttDom1)=1,IF(AND(YEAR(OttDom1+6)=AnnoCalendario,MONTH(OttDom1+6)=10),OttDom1+6,""),IF(AND(YEAR(OttDom1+13)=AnnoCalendario,MONTH(OttDom1+13)=10),OttDom1+13,""))</f>
        <v>44114</v>
      </c>
      <c r="P26" s="14">
        <f>IF(DAY(OttDom1)=1,IF(AND(YEAR(OttDom1+7)=AnnoCalendario,MONTH(OttDom1+7)=10),OttDom1+7,""),IF(AND(YEAR(OttDom1+14)=AnnoCalendario,MONTH(OttDom1+14)=10),OttDom1+14,""))</f>
        <v>44115</v>
      </c>
      <c r="R26" s="12">
        <f>IF(DAY(NovDom1)=1,IF(AND(YEAR(NovDom1+1)=AnnoCalendario,MONTH(NovDom1+1)=11),NovDom1+1,""),IF(AND(YEAR(NovDom1+8)=AnnoCalendario,MONTH(NovDom1+8)=11),NovDom1+8,""))</f>
        <v>44137</v>
      </c>
      <c r="S26" s="12">
        <f>IF(DAY(NovDom1)=1,IF(AND(YEAR(NovDom1+2)=AnnoCalendario,MONTH(NovDom1+2)=11),NovDom1+2,""),IF(AND(YEAR(NovDom1+9)=AnnoCalendario,MONTH(NovDom1+9)=11),NovDom1+9,""))</f>
        <v>44138</v>
      </c>
      <c r="T26" s="12">
        <f>IF(DAY(NovDom1)=1,IF(AND(YEAR(NovDom1+3)=AnnoCalendario,MONTH(NovDom1+3)=11),NovDom1+3,""),IF(AND(YEAR(NovDom1+10)=AnnoCalendario,MONTH(NovDom1+10)=11),NovDom1+10,""))</f>
        <v>44139</v>
      </c>
      <c r="U26" s="13">
        <f>IF(DAY(NovDom1)=1,IF(AND(YEAR(NovDom1+4)=AnnoCalendario,MONTH(NovDom1+4)=11),NovDom1+4,""),IF(AND(YEAR(NovDom1+11)=AnnoCalendario,MONTH(NovDom1+11)=11),NovDom1+11,""))</f>
        <v>44140</v>
      </c>
      <c r="V26" s="13">
        <f>IF(DAY(NovDom1)=1,IF(AND(YEAR(NovDom1+5)=AnnoCalendario,MONTH(NovDom1+5)=11),NovDom1+5,""),IF(AND(YEAR(NovDom1+12)=AnnoCalendario,MONTH(NovDom1+12)=11),NovDom1+12,""))</f>
        <v>44141</v>
      </c>
      <c r="W26" s="14">
        <f>IF(DAY(NovDom1)=1,IF(AND(YEAR(NovDom1+6)=AnnoCalendario,MONTH(NovDom1+6)=11),NovDom1+6,""),IF(AND(YEAR(NovDom1+13)=AnnoCalendario,MONTH(NovDom1+13)=11),NovDom1+13,""))</f>
        <v>44142</v>
      </c>
      <c r="X26" s="14">
        <f>IF(DAY(NovDom1)=1,IF(AND(YEAR(NovDom1+7)=AnnoCalendario,MONTH(NovDom1+7)=11),NovDom1+7,""),IF(AND(YEAR(NovDom1+14)=AnnoCalendario,MONTH(NovDom1+14)=11),NovDom1+14,""))</f>
        <v>44143</v>
      </c>
      <c r="Z26" s="12">
        <f>IF(DAY(DicDom1)=1,IF(AND(YEAR(DicDom1+1)=AnnoCalendario,MONTH(DicDom1+1)=12),DicDom1+1,""),IF(AND(YEAR(DicDom1+8)=AnnoCalendario,MONTH(DicDom1+8)=12),DicDom1+8,""))</f>
        <v>44172</v>
      </c>
      <c r="AA26" s="12">
        <f>IF(DAY(DicDom1)=1,IF(AND(YEAR(DicDom1+2)=AnnoCalendario,MONTH(DicDom1+2)=12),DicDom1+2,""),IF(AND(YEAR(DicDom1+9)=AnnoCalendario,MONTH(DicDom1+9)=12),DicDom1+9,""))</f>
        <v>44173</v>
      </c>
      <c r="AB26" s="12">
        <f>IF(DAY(DicDom1)=1,IF(AND(YEAR(DicDom1+3)=AnnoCalendario,MONTH(DicDom1+3)=12),DicDom1+3,""),IF(AND(YEAR(DicDom1+10)=AnnoCalendario,MONTH(DicDom1+10)=12),DicDom1+10,""))</f>
        <v>44174</v>
      </c>
      <c r="AC26" s="13">
        <f>IF(DAY(DicDom1)=1,IF(AND(YEAR(DicDom1+4)=AnnoCalendario,MONTH(DicDom1+4)=12),DicDom1+4,""),IF(AND(YEAR(DicDom1+11)=AnnoCalendario,MONTH(DicDom1+11)=12),DicDom1+11,""))</f>
        <v>44175</v>
      </c>
      <c r="AD26" s="13">
        <f>IF(DAY(DicDom1)=1,IF(AND(YEAR(DicDom1+5)=AnnoCalendario,MONTH(DicDom1+5)=12),DicDom1+5,""),IF(AND(YEAR(DicDom1+12)=AnnoCalendario,MONTH(DicDom1+12)=12),DicDom1+12,""))</f>
        <v>44176</v>
      </c>
      <c r="AE26" s="14">
        <f>IF(DAY(DicDom1)=1,IF(AND(YEAR(DicDom1+6)=AnnoCalendario,MONTH(DicDom1+6)=12),DicDom1+6,""),IF(AND(YEAR(DicDom1+13)=AnnoCalendario,MONTH(DicDom1+13)=12),DicDom1+13,""))</f>
        <v>44177</v>
      </c>
      <c r="AF26" s="14">
        <f>IF(DAY(DicDom1)=1,IF(AND(YEAR(DicDom1+7)=AnnoCalendario,MONTH(DicDom1+7)=12),DicDom1+7,""),IF(AND(YEAR(DicDom1+14)=AnnoCalendario,MONTH(DicDom1+14)=12),DicDom1+14,""))</f>
        <v>44178</v>
      </c>
    </row>
    <row r="27" spans="2:32" s="8" customFormat="1" ht="26.1" customHeight="1" x14ac:dyDescent="0.3">
      <c r="B27" s="13">
        <f>IF(DAY(SetDom1)=1,IF(AND(YEAR(SetDom1+8)=AnnoCalendario,MONTH(SetDom1+8)=9),SetDom1+8,""),IF(AND(YEAR(SetDom1+15)=AnnoCalendario,MONTH(SetDom1+15)=9),SetDom1+15,""))</f>
        <v>44088</v>
      </c>
      <c r="C27" s="13">
        <f>IF(DAY(SetDom1)=1,IF(AND(YEAR(SetDom1+9)=AnnoCalendario,MONTH(SetDom1+9)=9),SetDom1+9,""),IF(AND(YEAR(SetDom1+16)=AnnoCalendario,MONTH(SetDom1+16)=9),SetDom1+16,""))</f>
        <v>44089</v>
      </c>
      <c r="D27" s="12">
        <f>IF(DAY(SetDom1)=1,IF(AND(YEAR(SetDom1+10)=AnnoCalendario,MONTH(SetDom1+10)=9),SetDom1+10,""),IF(AND(YEAR(SetDom1+17)=AnnoCalendario,MONTH(SetDom1+17)=9),SetDom1+17,""))</f>
        <v>44090</v>
      </c>
      <c r="E27" s="12">
        <f>IF(DAY(SetDom1)=1,IF(AND(YEAR(SetDom1+11)=AnnoCalendario,MONTH(SetDom1+11)=9),SetDom1+11,""),IF(AND(YEAR(SetDom1+18)=AnnoCalendario,MONTH(SetDom1+18)=9),SetDom1+18,""))</f>
        <v>44091</v>
      </c>
      <c r="F27" s="15">
        <f>IF(DAY(SetDom1)=1,IF(AND(YEAR(SetDom1+12)=AnnoCalendario,MONTH(SetDom1+12)=9),SetDom1+12,""),IF(AND(YEAR(SetDom1+19)=AnnoCalendario,MONTH(SetDom1+19)=9),SetDom1+19,""))</f>
        <v>44092</v>
      </c>
      <c r="G27" s="15">
        <f>IF(DAY(SetDom1)=1,IF(AND(YEAR(SetDom1+13)=AnnoCalendario,MONTH(SetDom1+13)=9),SetDom1+13,""),IF(AND(YEAR(SetDom1+20)=AnnoCalendario,MONTH(SetDom1+20)=9),SetDom1+20,""))</f>
        <v>44093</v>
      </c>
      <c r="H27" s="13">
        <f>IF(DAY(SetDom1)=1,IF(AND(YEAR(SetDom1+14)=AnnoCalendario,MONTH(SetDom1+14)=9),SetDom1+14,""),IF(AND(YEAR(SetDom1+21)=AnnoCalendario,MONTH(SetDom1+21)=9),SetDom1+21,""))</f>
        <v>44094</v>
      </c>
      <c r="J27" s="13">
        <f>IF(DAY(OttDom1)=1,IF(AND(YEAR(OttDom1+8)=AnnoCalendario,MONTH(OttDom1+8)=10),OttDom1+8,""),IF(AND(YEAR(OttDom1+15)=AnnoCalendario,MONTH(OttDom1+15)=10),OttDom1+15,""))</f>
        <v>44116</v>
      </c>
      <c r="K27" s="13">
        <f>IF(DAY(OttDom1)=1,IF(AND(YEAR(OttDom1+9)=AnnoCalendario,MONTH(OttDom1+9)=10),OttDom1+9,""),IF(AND(YEAR(OttDom1+16)=AnnoCalendario,MONTH(OttDom1+16)=10),OttDom1+16,""))</f>
        <v>44117</v>
      </c>
      <c r="L27" s="12">
        <f>IF(DAY(OttDom1)=1,IF(AND(YEAR(OttDom1+10)=AnnoCalendario,MONTH(OttDom1+10)=10),OttDom1+10,""),IF(AND(YEAR(OttDom1+17)=AnnoCalendario,MONTH(OttDom1+17)=10),OttDom1+17,""))</f>
        <v>44118</v>
      </c>
      <c r="M27" s="12">
        <f>IF(DAY(OttDom1)=1,IF(AND(YEAR(OttDom1+11)=AnnoCalendario,MONTH(OttDom1+11)=10),OttDom1+11,""),IF(AND(YEAR(OttDom1+18)=AnnoCalendario,MONTH(OttDom1+18)=10),OttDom1+18,""))</f>
        <v>44119</v>
      </c>
      <c r="N27" s="15">
        <f>IF(DAY(OttDom1)=1,IF(AND(YEAR(OttDom1+12)=AnnoCalendario,MONTH(OttDom1+12)=10),OttDom1+12,""),IF(AND(YEAR(OttDom1+19)=AnnoCalendario,MONTH(OttDom1+19)=10),OttDom1+19,""))</f>
        <v>44120</v>
      </c>
      <c r="O27" s="15">
        <f>IF(DAY(OttDom1)=1,IF(AND(YEAR(OttDom1+13)=AnnoCalendario,MONTH(OttDom1+13)=10),OttDom1+13,""),IF(AND(YEAR(OttDom1+20)=AnnoCalendario,MONTH(OttDom1+20)=10),OttDom1+20,""))</f>
        <v>44121</v>
      </c>
      <c r="P27" s="13">
        <f>IF(DAY(OttDom1)=1,IF(AND(YEAR(OttDom1+14)=AnnoCalendario,MONTH(OttDom1+14)=10),OttDom1+14,""),IF(AND(YEAR(OttDom1+21)=AnnoCalendario,MONTH(OttDom1+21)=10),OttDom1+21,""))</f>
        <v>44122</v>
      </c>
      <c r="R27" s="13">
        <f>IF(DAY(NovDom1)=1,IF(AND(YEAR(NovDom1+8)=AnnoCalendario,MONTH(NovDom1+8)=11),NovDom1+8,""),IF(AND(YEAR(NovDom1+15)=AnnoCalendario,MONTH(NovDom1+15)=11),NovDom1+15,""))</f>
        <v>44144</v>
      </c>
      <c r="S27" s="13">
        <f>IF(DAY(NovDom1)=1,IF(AND(YEAR(NovDom1+9)=AnnoCalendario,MONTH(NovDom1+9)=11),NovDom1+9,""),IF(AND(YEAR(NovDom1+16)=AnnoCalendario,MONTH(NovDom1+16)=11),NovDom1+16,""))</f>
        <v>44145</v>
      </c>
      <c r="T27" s="12">
        <f>IF(DAY(NovDom1)=1,IF(AND(YEAR(NovDom1+10)=AnnoCalendario,MONTH(NovDom1+10)=11),NovDom1+10,""),IF(AND(YEAR(NovDom1+17)=AnnoCalendario,MONTH(NovDom1+17)=11),NovDom1+17,""))</f>
        <v>44146</v>
      </c>
      <c r="U27" s="12">
        <f>IF(DAY(NovDom1)=1,IF(AND(YEAR(NovDom1+11)=AnnoCalendario,MONTH(NovDom1+11)=11),NovDom1+11,""),IF(AND(YEAR(NovDom1+18)=AnnoCalendario,MONTH(NovDom1+18)=11),NovDom1+18,""))</f>
        <v>44147</v>
      </c>
      <c r="V27" s="15">
        <f>IF(DAY(NovDom1)=1,IF(AND(YEAR(NovDom1+12)=AnnoCalendario,MONTH(NovDom1+12)=11),NovDom1+12,""),IF(AND(YEAR(NovDom1+19)=AnnoCalendario,MONTH(NovDom1+19)=11),NovDom1+19,""))</f>
        <v>44148</v>
      </c>
      <c r="W27" s="15">
        <f>IF(DAY(NovDom1)=1,IF(AND(YEAR(NovDom1+13)=AnnoCalendario,MONTH(NovDom1+13)=11),NovDom1+13,""),IF(AND(YEAR(NovDom1+20)=AnnoCalendario,MONTH(NovDom1+20)=11),NovDom1+20,""))</f>
        <v>44149</v>
      </c>
      <c r="X27" s="13">
        <f>IF(DAY(NovDom1)=1,IF(AND(YEAR(NovDom1+14)=AnnoCalendario,MONTH(NovDom1+14)=11),NovDom1+14,""),IF(AND(YEAR(NovDom1+21)=AnnoCalendario,MONTH(NovDom1+21)=11),NovDom1+21,""))</f>
        <v>44150</v>
      </c>
      <c r="Z27" s="13">
        <f>IF(DAY(DicDom1)=1,IF(AND(YEAR(DicDom1+8)=AnnoCalendario,MONTH(DicDom1+8)=12),DicDom1+8,""),IF(AND(YEAR(DicDom1+15)=AnnoCalendario,MONTH(DicDom1+15)=12),DicDom1+15,""))</f>
        <v>44179</v>
      </c>
      <c r="AA27" s="13">
        <f>IF(DAY(DicDom1)=1,IF(AND(YEAR(DicDom1+9)=AnnoCalendario,MONTH(DicDom1+9)=12),DicDom1+9,""),IF(AND(YEAR(DicDom1+16)=AnnoCalendario,MONTH(DicDom1+16)=12),DicDom1+16,""))</f>
        <v>44180</v>
      </c>
      <c r="AB27" s="12">
        <f>IF(DAY(DicDom1)=1,IF(AND(YEAR(DicDom1+10)=AnnoCalendario,MONTH(DicDom1+10)=12),DicDom1+10,""),IF(AND(YEAR(DicDom1+17)=AnnoCalendario,MONTH(DicDom1+17)=12),DicDom1+17,""))</f>
        <v>44181</v>
      </c>
      <c r="AC27" s="12">
        <f>IF(DAY(DicDom1)=1,IF(AND(YEAR(DicDom1+11)=AnnoCalendario,MONTH(DicDom1+11)=12),DicDom1+11,""),IF(AND(YEAR(DicDom1+18)=AnnoCalendario,MONTH(DicDom1+18)=12),DicDom1+18,""))</f>
        <v>44182</v>
      </c>
      <c r="AD27" s="15">
        <f>IF(DAY(DicDom1)=1,IF(AND(YEAR(DicDom1+12)=AnnoCalendario,MONTH(DicDom1+12)=12),DicDom1+12,""),IF(AND(YEAR(DicDom1+19)=AnnoCalendario,MONTH(DicDom1+19)=12),DicDom1+19,""))</f>
        <v>44183</v>
      </c>
      <c r="AE27" s="15">
        <f>IF(DAY(DicDom1)=1,IF(AND(YEAR(DicDom1+13)=AnnoCalendario,MONTH(DicDom1+13)=12),DicDom1+13,""),IF(AND(YEAR(DicDom1+20)=AnnoCalendario,MONTH(DicDom1+20)=12),DicDom1+20,""))</f>
        <v>44184</v>
      </c>
      <c r="AF27" s="13">
        <f>IF(DAY(DicDom1)=1,IF(AND(YEAR(DicDom1+14)=AnnoCalendario,MONTH(DicDom1+14)=12),DicDom1+14,""),IF(AND(YEAR(DicDom1+21)=AnnoCalendario,MONTH(DicDom1+21)=12),DicDom1+21,""))</f>
        <v>44185</v>
      </c>
    </row>
    <row r="28" spans="2:32" s="8" customFormat="1" ht="26.1" customHeight="1" x14ac:dyDescent="0.3">
      <c r="B28" s="14">
        <f>IF(DAY(SetDom1)=1,IF(AND(YEAR(SetDom1+15)=AnnoCalendario,MONTH(SetDom1+15)=9),SetDom1+15,""),IF(AND(YEAR(SetDom1+22)=AnnoCalendario,MONTH(SetDom1+22)=9),SetDom1+22,""))</f>
        <v>44095</v>
      </c>
      <c r="C28" s="14">
        <f>IF(DAY(SetDom1)=1,IF(AND(YEAR(SetDom1+16)=AnnoCalendario,MONTH(SetDom1+16)=9),SetDom1+16,""),IF(AND(YEAR(SetDom1+23)=AnnoCalendario,MONTH(SetDom1+23)=9),SetDom1+23,""))</f>
        <v>44096</v>
      </c>
      <c r="D28" s="14">
        <f>IF(DAY(SetDom1)=1,IF(AND(YEAR(SetDom1+17)=AnnoCalendario,MONTH(SetDom1+17)=9),SetDom1+17,""),IF(AND(YEAR(SetDom1+24)=AnnoCalendario,MONTH(SetDom1+24)=9),SetDom1+24,""))</f>
        <v>44097</v>
      </c>
      <c r="E28" s="13">
        <f>IF(DAY(SetDom1)=1,IF(AND(YEAR(SetDom1+18)=AnnoCalendario,MONTH(SetDom1+18)=9),SetDom1+18,""),IF(AND(YEAR(SetDom1+25)=AnnoCalendario,MONTH(SetDom1+25)=9),SetDom1+25,""))</f>
        <v>44098</v>
      </c>
      <c r="F28" s="16">
        <f>IF(DAY(SetDom1)=1,IF(AND(YEAR(SetDom1+19)=AnnoCalendario,MONTH(SetDom1+19)=9),SetDom1+19,""),IF(AND(YEAR(SetDom1+26)=AnnoCalendario,MONTH(SetDom1+26)=9),SetDom1+26,""))</f>
        <v>44099</v>
      </c>
      <c r="G28" s="13">
        <f>IF(DAY(SetDom1)=1,IF(AND(YEAR(SetDom1+20)=AnnoCalendario,MONTH(SetDom1+20)=9),SetDom1+20,""),IF(AND(YEAR(SetDom1+27)=AnnoCalendario,MONTH(SetDom1+27)=9),SetDom1+27,""))</f>
        <v>44100</v>
      </c>
      <c r="H28" s="13">
        <f>IF(DAY(SetDom1)=1,IF(AND(YEAR(SetDom1+21)=AnnoCalendario,MONTH(SetDom1+21)=9),SetDom1+21,""),IF(AND(YEAR(SetDom1+28)=AnnoCalendario,MONTH(SetDom1+28)=9),SetDom1+28,""))</f>
        <v>44101</v>
      </c>
      <c r="J28" s="14">
        <f>IF(DAY(OttDom1)=1,IF(AND(YEAR(OttDom1+15)=AnnoCalendario,MONTH(OttDom1+15)=10),OttDom1+15,""),IF(AND(YEAR(OttDom1+22)=AnnoCalendario,MONTH(OttDom1+22)=10),OttDom1+22,""))</f>
        <v>44123</v>
      </c>
      <c r="K28" s="14">
        <f>IF(DAY(OttDom1)=1,IF(AND(YEAR(OttDom1+16)=AnnoCalendario,MONTH(OttDom1+16)=10),OttDom1+16,""),IF(AND(YEAR(OttDom1+23)=AnnoCalendario,MONTH(OttDom1+23)=10),OttDom1+23,""))</f>
        <v>44124</v>
      </c>
      <c r="L28" s="14">
        <f>IF(DAY(OttDom1)=1,IF(AND(YEAR(OttDom1+17)=AnnoCalendario,MONTH(OttDom1+17)=10),OttDom1+17,""),IF(AND(YEAR(OttDom1+24)=AnnoCalendario,MONTH(OttDom1+24)=10),OttDom1+24,""))</f>
        <v>44125</v>
      </c>
      <c r="M28" s="13">
        <f>IF(DAY(OttDom1)=1,IF(AND(YEAR(OttDom1+18)=AnnoCalendario,MONTH(OttDom1+18)=10),OttDom1+18,""),IF(AND(YEAR(OttDom1+25)=AnnoCalendario,MONTH(OttDom1+25)=10),OttDom1+25,""))</f>
        <v>44126</v>
      </c>
      <c r="N28" s="16">
        <f>IF(DAY(OttDom1)=1,IF(AND(YEAR(OttDom1+19)=AnnoCalendario,MONTH(OttDom1+19)=10),OttDom1+19,""),IF(AND(YEAR(OttDom1+26)=AnnoCalendario,MONTH(OttDom1+26)=10),OttDom1+26,""))</f>
        <v>44127</v>
      </c>
      <c r="O28" s="13">
        <f>IF(DAY(OttDom1)=1,IF(AND(YEAR(OttDom1+20)=AnnoCalendario,MONTH(OttDom1+20)=10),OttDom1+20,""),IF(AND(YEAR(OttDom1+27)=AnnoCalendario,MONTH(OttDom1+27)=10),OttDom1+27,""))</f>
        <v>44128</v>
      </c>
      <c r="P28" s="13">
        <f>IF(DAY(OttDom1)=1,IF(AND(YEAR(OttDom1+21)=AnnoCalendario,MONTH(OttDom1+21)=10),OttDom1+21,""),IF(AND(YEAR(OttDom1+28)=AnnoCalendario,MONTH(OttDom1+28)=10),OttDom1+28,""))</f>
        <v>44129</v>
      </c>
      <c r="R28" s="14">
        <f>IF(DAY(NovDom1)=1,IF(AND(YEAR(NovDom1+15)=AnnoCalendario,MONTH(NovDom1+15)=11),NovDom1+15,""),IF(AND(YEAR(NovDom1+22)=AnnoCalendario,MONTH(NovDom1+22)=11),NovDom1+22,""))</f>
        <v>44151</v>
      </c>
      <c r="S28" s="14">
        <f>IF(DAY(NovDom1)=1,IF(AND(YEAR(NovDom1+16)=AnnoCalendario,MONTH(NovDom1+16)=11),NovDom1+16,""),IF(AND(YEAR(NovDom1+23)=AnnoCalendario,MONTH(NovDom1+23)=11),NovDom1+23,""))</f>
        <v>44152</v>
      </c>
      <c r="T28" s="14">
        <f>IF(DAY(NovDom1)=1,IF(AND(YEAR(NovDom1+17)=AnnoCalendario,MONTH(NovDom1+17)=11),NovDom1+17,""),IF(AND(YEAR(NovDom1+24)=AnnoCalendario,MONTH(NovDom1+24)=11),NovDom1+24,""))</f>
        <v>44153</v>
      </c>
      <c r="U28" s="13">
        <f>IF(DAY(NovDom1)=1,IF(AND(YEAR(NovDom1+18)=AnnoCalendario,MONTH(NovDom1+18)=11),NovDom1+18,""),IF(AND(YEAR(NovDom1+25)=AnnoCalendario,MONTH(NovDom1+25)=11),NovDom1+25,""))</f>
        <v>44154</v>
      </c>
      <c r="V28" s="16">
        <f>IF(DAY(NovDom1)=1,IF(AND(YEAR(NovDom1+19)=AnnoCalendario,MONTH(NovDom1+19)=11),NovDom1+19,""),IF(AND(YEAR(NovDom1+26)=AnnoCalendario,MONTH(NovDom1+26)=11),NovDom1+26,""))</f>
        <v>44155</v>
      </c>
      <c r="W28" s="13">
        <f>IF(DAY(NovDom1)=1,IF(AND(YEAR(NovDom1+20)=AnnoCalendario,MONTH(NovDom1+20)=11),NovDom1+20,""),IF(AND(YEAR(NovDom1+27)=AnnoCalendario,MONTH(NovDom1+27)=11),NovDom1+27,""))</f>
        <v>44156</v>
      </c>
      <c r="X28" s="13">
        <f>IF(DAY(NovDom1)=1,IF(AND(YEAR(NovDom1+21)=AnnoCalendario,MONTH(NovDom1+21)=11),NovDom1+21,""),IF(AND(YEAR(NovDom1+28)=AnnoCalendario,MONTH(NovDom1+28)=11),NovDom1+28,""))</f>
        <v>44157</v>
      </c>
      <c r="Z28" s="14">
        <f>IF(DAY(DicDom1)=1,IF(AND(YEAR(DicDom1+15)=AnnoCalendario,MONTH(DicDom1+15)=12),DicDom1+15,""),IF(AND(YEAR(DicDom1+22)=AnnoCalendario,MONTH(DicDom1+22)=12),DicDom1+22,""))</f>
        <v>44186</v>
      </c>
      <c r="AA28" s="14">
        <f>IF(DAY(DicDom1)=1,IF(AND(YEAR(DicDom1+16)=AnnoCalendario,MONTH(DicDom1+16)=12),DicDom1+16,""),IF(AND(YEAR(DicDom1+23)=AnnoCalendario,MONTH(DicDom1+23)=12),DicDom1+23,""))</f>
        <v>44187</v>
      </c>
      <c r="AB28" s="14">
        <f>IF(DAY(DicDom1)=1,IF(AND(YEAR(DicDom1+17)=AnnoCalendario,MONTH(DicDom1+17)=12),DicDom1+17,""),IF(AND(YEAR(DicDom1+24)=AnnoCalendario,MONTH(DicDom1+24)=12),DicDom1+24,""))</f>
        <v>44188</v>
      </c>
      <c r="AC28" s="13">
        <f>IF(DAY(DicDom1)=1,IF(AND(YEAR(DicDom1+18)=AnnoCalendario,MONTH(DicDom1+18)=12),DicDom1+18,""),IF(AND(YEAR(DicDom1+25)=AnnoCalendario,MONTH(DicDom1+25)=12),DicDom1+25,""))</f>
        <v>44189</v>
      </c>
      <c r="AD28" s="16">
        <f>IF(DAY(DicDom1)=1,IF(AND(YEAR(DicDom1+19)=AnnoCalendario,MONTH(DicDom1+19)=12),DicDom1+19,""),IF(AND(YEAR(DicDom1+26)=AnnoCalendario,MONTH(DicDom1+26)=12),DicDom1+26,""))</f>
        <v>44190</v>
      </c>
      <c r="AE28" s="13">
        <f>IF(DAY(DicDom1)=1,IF(AND(YEAR(DicDom1+20)=AnnoCalendario,MONTH(DicDom1+20)=12),DicDom1+20,""),IF(AND(YEAR(DicDom1+27)=AnnoCalendario,MONTH(DicDom1+27)=12),DicDom1+27,""))</f>
        <v>44191</v>
      </c>
      <c r="AF28" s="13">
        <f>IF(DAY(DicDom1)=1,IF(AND(YEAR(DicDom1+21)=AnnoCalendario,MONTH(DicDom1+21)=12),DicDom1+21,""),IF(AND(YEAR(DicDom1+28)=AnnoCalendario,MONTH(DicDom1+28)=12),DicDom1+28,""))</f>
        <v>44192</v>
      </c>
    </row>
    <row r="29" spans="2:32" s="8" customFormat="1" ht="26.1" customHeight="1" x14ac:dyDescent="0.3">
      <c r="B29" s="12">
        <f>IF(DAY(SetDom1)=1,IF(AND(YEAR(SetDom1+22)=AnnoCalendario,MONTH(SetDom1+22)=9),SetDom1+22,""),IF(AND(YEAR(SetDom1+29)=AnnoCalendario,MONTH(SetDom1+29)=9),SetDom1+29,""))</f>
        <v>44102</v>
      </c>
      <c r="C29" s="12">
        <f>IF(DAY(SetDom1)=1,IF(AND(YEAR(SetDom1+23)=AnnoCalendario,MONTH(SetDom1+23)=9),SetDom1+23,""),IF(AND(YEAR(SetDom1+30)=AnnoCalendario,MONTH(SetDom1+30)=9),SetDom1+30,""))</f>
        <v>44103</v>
      </c>
      <c r="D29" s="17">
        <f>IF(DAY(SetDom1)=1,IF(AND(YEAR(SetDom1+24)=AnnoCalendario,MONTH(SetDom1+24)=9),SetDom1+24,""),IF(AND(YEAR(SetDom1+31)=AnnoCalendario,MONTH(SetDom1+31)=9),SetDom1+31,""))</f>
        <v>44104</v>
      </c>
      <c r="E29" s="17" t="str">
        <f>IF(DAY(SetDom1)=1,IF(AND(YEAR(SetDom1+25)=AnnoCalendario,MONTH(SetDom1+25)=9),SetDom1+25,""),IF(AND(YEAR(SetDom1+32)=AnnoCalendario,MONTH(SetDom1+32)=9),SetDom1+32,""))</f>
        <v/>
      </c>
      <c r="F29" s="17" t="str">
        <f>IF(DAY(SetDom1)=1,IF(AND(YEAR(SetDom1+26)=AnnoCalendario,MONTH(SetDom1+26)=9),SetDom1+26,""),IF(AND(YEAR(SetDom1+33)=AnnoCalendario,MONTH(SetDom1+33)=9),SetDom1+33,""))</f>
        <v/>
      </c>
      <c r="G29" s="18" t="str">
        <f>IF(DAY(SetDom1)=1,IF(AND(YEAR(SetDom1+27)=AnnoCalendario,MONTH(SetDom1+27)=9),SetDom1+27,""),IF(AND(YEAR(SetDom1+34)=AnnoCalendario,MONTH(SetDom1+34)=9),SetDom1+34,""))</f>
        <v/>
      </c>
      <c r="H29" s="18" t="str">
        <f>IF(DAY(SetDom1)=1,IF(AND(YEAR(SetDom1+28)=AnnoCalendario,MONTH(SetDom1+28)=9),SetDom1+28,""),IF(AND(YEAR(SetDom1+35)=AnnoCalendario,MONTH(SetDom1+35)=9),SetDom1+35,""))</f>
        <v/>
      </c>
      <c r="J29" s="12">
        <f>IF(DAY(OttDom1)=1,IF(AND(YEAR(OttDom1+22)=AnnoCalendario,MONTH(OttDom1+22)=10),OttDom1+22,""),IF(AND(YEAR(OttDom1+29)=AnnoCalendario,MONTH(OttDom1+29)=10),OttDom1+29,""))</f>
        <v>44130</v>
      </c>
      <c r="K29" s="12">
        <f>IF(DAY(OttDom1)=1,IF(AND(YEAR(OttDom1+23)=AnnoCalendario,MONTH(OttDom1+23)=10),OttDom1+23,""),IF(AND(YEAR(OttDom1+30)=AnnoCalendario,MONTH(OttDom1+30)=10),OttDom1+30,""))</f>
        <v>44131</v>
      </c>
      <c r="L29" s="17">
        <f>IF(DAY(OttDom1)=1,IF(AND(YEAR(OttDom1+24)=AnnoCalendario,MONTH(OttDom1+24)=10),OttDom1+24,""),IF(AND(YEAR(OttDom1+31)=AnnoCalendario,MONTH(OttDom1+31)=10),OttDom1+31,""))</f>
        <v>44132</v>
      </c>
      <c r="M29" s="17">
        <f>IF(DAY(OttDom1)=1,IF(AND(YEAR(OttDom1+25)=AnnoCalendario,MONTH(OttDom1+25)=10),OttDom1+25,""),IF(AND(YEAR(OttDom1+32)=AnnoCalendario,MONTH(OttDom1+32)=10),OttDom1+32,""))</f>
        <v>44133</v>
      </c>
      <c r="N29" s="17">
        <f>IF(DAY(OttDom1)=1,IF(AND(YEAR(OttDom1+26)=AnnoCalendario,MONTH(OttDom1+26)=10),OttDom1+26,""),IF(AND(YEAR(OttDom1+33)=AnnoCalendario,MONTH(OttDom1+33)=10),OttDom1+33,""))</f>
        <v>44134</v>
      </c>
      <c r="O29" s="18">
        <f>IF(DAY(OttDom1)=1,IF(AND(YEAR(OttDom1+27)=AnnoCalendario,MONTH(OttDom1+27)=10),OttDom1+27,""),IF(AND(YEAR(OttDom1+34)=AnnoCalendario,MONTH(OttDom1+34)=10),OttDom1+34,""))</f>
        <v>44135</v>
      </c>
      <c r="P29" s="18" t="str">
        <f>IF(DAY(OttDom1)=1,IF(AND(YEAR(OttDom1+28)=AnnoCalendario,MONTH(OttDom1+28)=10),OttDom1+28,""),IF(AND(YEAR(OttDom1+35)=AnnoCalendario,MONTH(OttDom1+35)=10),OttDom1+35,""))</f>
        <v/>
      </c>
      <c r="R29" s="12">
        <f>IF(DAY(NovDom1)=1,IF(AND(YEAR(NovDom1+22)=AnnoCalendario,MONTH(NovDom1+22)=11),NovDom1+22,""),IF(AND(YEAR(NovDom1+29)=AnnoCalendario,MONTH(NovDom1+29)=11),NovDom1+29,""))</f>
        <v>44158</v>
      </c>
      <c r="S29" s="12">
        <f>IF(DAY(NovDom1)=1,IF(AND(YEAR(NovDom1+23)=AnnoCalendario,MONTH(NovDom1+23)=11),NovDom1+23,""),IF(AND(YEAR(NovDom1+30)=AnnoCalendario,MONTH(NovDom1+30)=11),NovDom1+30,""))</f>
        <v>44159</v>
      </c>
      <c r="T29" s="17">
        <f>IF(DAY(NovDom1)=1,IF(AND(YEAR(NovDom1+24)=AnnoCalendario,MONTH(NovDom1+24)=11),NovDom1+24,""),IF(AND(YEAR(NovDom1+31)=AnnoCalendario,MONTH(NovDom1+31)=11),NovDom1+31,""))</f>
        <v>44160</v>
      </c>
      <c r="U29" s="17">
        <f>IF(DAY(NovDom1)=1,IF(AND(YEAR(NovDom1+25)=AnnoCalendario,MONTH(NovDom1+25)=11),NovDom1+25,""),IF(AND(YEAR(NovDom1+32)=AnnoCalendario,MONTH(NovDom1+32)=11),NovDom1+32,""))</f>
        <v>44161</v>
      </c>
      <c r="V29" s="17">
        <f>IF(DAY(NovDom1)=1,IF(AND(YEAR(NovDom1+26)=AnnoCalendario,MONTH(NovDom1+26)=11),NovDom1+26,""),IF(AND(YEAR(NovDom1+33)=AnnoCalendario,MONTH(NovDom1+33)=11),NovDom1+33,""))</f>
        <v>44162</v>
      </c>
      <c r="W29" s="18">
        <f>IF(DAY(NovDom1)=1,IF(AND(YEAR(NovDom1+27)=AnnoCalendario,MONTH(NovDom1+27)=11),NovDom1+27,""),IF(AND(YEAR(NovDom1+34)=AnnoCalendario,MONTH(NovDom1+34)=11),NovDom1+34,""))</f>
        <v>44163</v>
      </c>
      <c r="X29" s="18">
        <f>IF(DAY(NovDom1)=1,IF(AND(YEAR(NovDom1+28)=AnnoCalendario,MONTH(NovDom1+28)=11),NovDom1+28,""),IF(AND(YEAR(NovDom1+35)=AnnoCalendario,MONTH(NovDom1+35)=11),NovDom1+35,""))</f>
        <v>44164</v>
      </c>
      <c r="Z29" s="12">
        <f>IF(DAY(DicDom1)=1,IF(AND(YEAR(DicDom1+22)=AnnoCalendario,MONTH(DicDom1+22)=12),DicDom1+22,""),IF(AND(YEAR(DicDom1+29)=AnnoCalendario,MONTH(DicDom1+29)=12),DicDom1+29,""))</f>
        <v>44193</v>
      </c>
      <c r="AA29" s="12">
        <f>IF(DAY(DicDom1)=1,IF(AND(YEAR(DicDom1+23)=AnnoCalendario,MONTH(DicDom1+23)=12),DicDom1+23,""),IF(AND(YEAR(DicDom1+30)=AnnoCalendario,MONTH(DicDom1+30)=12),DicDom1+30,""))</f>
        <v>44194</v>
      </c>
      <c r="AB29" s="17">
        <f>IF(DAY(DicDom1)=1,IF(AND(YEAR(DicDom1+24)=AnnoCalendario,MONTH(DicDom1+24)=12),DicDom1+24,""),IF(AND(YEAR(DicDom1+31)=AnnoCalendario,MONTH(DicDom1+31)=12),DicDom1+31,""))</f>
        <v>44195</v>
      </c>
      <c r="AC29" s="17">
        <f>IF(DAY(DicDom1)=1,IF(AND(YEAR(DicDom1+25)=AnnoCalendario,MONTH(DicDom1+25)=12),DicDom1+25,""),IF(AND(YEAR(DicDom1+32)=AnnoCalendario,MONTH(DicDom1+32)=12),DicDom1+32,""))</f>
        <v>44196</v>
      </c>
      <c r="AD29" s="17" t="str">
        <f>IF(DAY(DicDom1)=1,IF(AND(YEAR(DicDom1+26)=AnnoCalendario,MONTH(DicDom1+26)=12),DicDom1+26,""),IF(AND(YEAR(DicDom1+33)=AnnoCalendario,MONTH(DicDom1+33)=12),DicDom1+33,""))</f>
        <v/>
      </c>
      <c r="AE29" s="18" t="str">
        <f>IF(DAY(DicDom1)=1,IF(AND(YEAR(DicDom1+27)=AnnoCalendario,MONTH(DicDom1+27)=12),DicDom1+27,""),IF(AND(YEAR(DicDom1+34)=AnnoCalendario,MONTH(DicDom1+34)=12),DicDom1+34,""))</f>
        <v/>
      </c>
      <c r="AF29" s="18" t="str">
        <f>IF(DAY(DicDom1)=1,IF(AND(YEAR(DicDom1+28)=AnnoCalendario,MONTH(DicDom1+28)=12),DicDom1+28,""),IF(AND(YEAR(DicDom1+35)=AnnoCalendario,MONTH(DicDom1+35)=12),DicDom1+35,""))</f>
        <v/>
      </c>
    </row>
    <row r="30" spans="2:32" s="8" customFormat="1" ht="26.1" customHeight="1" x14ac:dyDescent="0.3">
      <c r="B30" s="12" t="str">
        <f>IF(DAY(SetDom1)=1,IF(AND(YEAR(SetDom1+29)=AnnoCalendario,MONTH(SetDom1+29)=9),SetDom1+29,""),IF(AND(YEAR(SetDom1+36)=AnnoCalendario,MONTH(SetDom1+36)=9),SetDom1+36,""))</f>
        <v/>
      </c>
      <c r="C30" s="12" t="str">
        <f>IF(DAY(SetDom1)=1,IF(AND(YEAR(SetDom1+30)=AnnoCalendario,MONTH(SetDom1+30)=9),SetDom1+30,""),IF(AND(YEAR(SetDom1+37)=AnnoCalendario,MONTH(SetDom1+37)=9),SetDom1+37,""))</f>
        <v/>
      </c>
      <c r="D30" s="17" t="str">
        <f>IF(DAY(SetDom1)=1,IF(AND(YEAR(SetDom1+31)=AnnoCalendario,MONTH(SetDom1+31)=9),SetDom1+31,""),IF(AND(YEAR(SetDom1+38)=AnnoCalendario,MONTH(SetDom1+38)=9),SetDom1+38,""))</f>
        <v/>
      </c>
      <c r="E30" s="17" t="str">
        <f>IF(DAY(SetDom1)=1,IF(AND(YEAR(SetDom1+32)=AnnoCalendario,MONTH(SetDom1+32)=9),SetDom1+32,""),IF(AND(YEAR(SetDom1+39)=AnnoCalendario,MONTH(SetDom1+39)=9),SetDom1+39,""))</f>
        <v/>
      </c>
      <c r="F30" s="17" t="str">
        <f>IF(DAY(SetDom1)=1,IF(AND(YEAR(SetDom1+33)=AnnoCalendario,MONTH(SetDom1+33)=9),SetDom1+33,""),IF(AND(YEAR(SetDom1+40)=AnnoCalendario,MONTH(SetDom1+40)=9),SetDom1+40,""))</f>
        <v/>
      </c>
      <c r="G30" s="18" t="str">
        <f>IF(DAY(SetDom1)=1,IF(AND(YEAR(SetDom1+34)=AnnoCalendario,MONTH(SetDom1+34)=9),SetDom1+34,""),IF(AND(YEAR(SetDom1+41)=AnnoCalendario,MONTH(SetDom1+41)=9),SetDom1+41,""))</f>
        <v/>
      </c>
      <c r="H30" s="18" t="str">
        <f>IF(DAY(SetDom1)=1,IF(AND(YEAR(SetDom1+35)=AnnoCalendario,MONTH(SetDom1+35)=9),SetDom1+35,""),IF(AND(YEAR(SetDom1+42)=AnnoCalendario,MONTH(SetDom1+42)=9),SetDom1+42,""))</f>
        <v/>
      </c>
      <c r="J30" s="12" t="str">
        <f>IF(DAY(OttDom1)=1,IF(AND(YEAR(OttDom1+29)=AnnoCalendario,MONTH(OttDom1+29)=10),OttDom1+29,""),IF(AND(YEAR(OttDom1+36)=AnnoCalendario,MONTH(OttDom1+36)=10),OttDom1+36,""))</f>
        <v/>
      </c>
      <c r="K30" s="12" t="str">
        <f>IF(DAY(OttDom1)=1,IF(AND(YEAR(OttDom1+30)=AnnoCalendario,MONTH(OttDom1+30)=10),OttDom1+30,""),IF(AND(YEAR(OttDom1+37)=AnnoCalendario,MONTH(OttDom1+37)=10),OttDom1+37,""))</f>
        <v/>
      </c>
      <c r="L30" s="17" t="str">
        <f>IF(DAY(OttDom1)=1,IF(AND(YEAR(OttDom1+31)=AnnoCalendario,MONTH(OttDom1+31)=10),OttDom1+31,""),IF(AND(YEAR(OttDom1+38)=AnnoCalendario,MONTH(OttDom1+38)=10),OttDom1+38,""))</f>
        <v/>
      </c>
      <c r="M30" s="17" t="str">
        <f>IF(DAY(OttDom1)=1,IF(AND(YEAR(OttDom1+32)=AnnoCalendario,MONTH(OttDom1+32)=10),OttDom1+32,""),IF(AND(YEAR(OttDom1+39)=AnnoCalendario,MONTH(OttDom1+39)=10),OttDom1+39,""))</f>
        <v/>
      </c>
      <c r="N30" s="17" t="str">
        <f>IF(DAY(OttDom1)=1,IF(AND(YEAR(OttDom1+33)=AnnoCalendario,MONTH(OttDom1+33)=10),OttDom1+33,""),IF(AND(YEAR(OttDom1+40)=AnnoCalendario,MONTH(OttDom1+40)=10),OttDom1+40,""))</f>
        <v/>
      </c>
      <c r="O30" s="18" t="str">
        <f>IF(DAY(OttDom1)=1,IF(AND(YEAR(OttDom1+34)=AnnoCalendario,MONTH(OttDom1+34)=10),OttDom1+34,""),IF(AND(YEAR(OttDom1+41)=AnnoCalendario,MONTH(OttDom1+41)=10),OttDom1+41,""))</f>
        <v/>
      </c>
      <c r="P30" s="18" t="str">
        <f>IF(DAY(OttDom1)=1,IF(AND(YEAR(OttDom1+35)=AnnoCalendario,MONTH(OttDom1+35)=10),OttDom1+35,""),IF(AND(YEAR(OttDom1+42)=AnnoCalendario,MONTH(OttDom1+42)=10),OttDom1+42,""))</f>
        <v/>
      </c>
      <c r="R30" s="12">
        <f>IF(DAY(NovDom1)=1,IF(AND(YEAR(NovDom1+29)=AnnoCalendario,MONTH(NovDom1+29)=11),NovDom1+29,""),IF(AND(YEAR(NovDom1+36)=AnnoCalendario,MONTH(NovDom1+36)=11),NovDom1+36,""))</f>
        <v>44165</v>
      </c>
      <c r="S30" s="12" t="str">
        <f>IF(DAY(NovDom1)=1,IF(AND(YEAR(NovDom1+30)=AnnoCalendario,MONTH(NovDom1+30)=11),NovDom1+30,""),IF(AND(YEAR(NovDom1+37)=AnnoCalendario,MONTH(NovDom1+37)=11),NovDom1+37,""))</f>
        <v/>
      </c>
      <c r="T30" s="17" t="str">
        <f>IF(DAY(NovDom1)=1,IF(AND(YEAR(NovDom1+31)=AnnoCalendario,MONTH(NovDom1+31)=11),NovDom1+31,""),IF(AND(YEAR(NovDom1+38)=AnnoCalendario,MONTH(NovDom1+38)=11),NovDom1+38,""))</f>
        <v/>
      </c>
      <c r="U30" s="17" t="str">
        <f>IF(DAY(NovDom1)=1,IF(AND(YEAR(NovDom1+32)=AnnoCalendario,MONTH(NovDom1+32)=11),NovDom1+32,""),IF(AND(YEAR(NovDom1+39)=AnnoCalendario,MONTH(NovDom1+39)=11),NovDom1+39,""))</f>
        <v/>
      </c>
      <c r="V30" s="17" t="str">
        <f>IF(DAY(NovDom1)=1,IF(AND(YEAR(NovDom1+33)=AnnoCalendario,MONTH(NovDom1+33)=11),NovDom1+33,""),IF(AND(YEAR(NovDom1+40)=AnnoCalendario,MONTH(NovDom1+40)=11),NovDom1+40,""))</f>
        <v/>
      </c>
      <c r="W30" s="18" t="str">
        <f>IF(DAY(NovDom1)=1,IF(AND(YEAR(NovDom1+34)=AnnoCalendario,MONTH(NovDom1+34)=11),NovDom1+34,""),IF(AND(YEAR(NovDom1+41)=AnnoCalendario,MONTH(NovDom1+41)=11),NovDom1+41,""))</f>
        <v/>
      </c>
      <c r="X30" s="18" t="str">
        <f>IF(DAY(NovDom1)=1,IF(AND(YEAR(NovDom1+35)=AnnoCalendario,MONTH(NovDom1+35)=11),NovDom1+35,""),IF(AND(YEAR(NovDom1+42)=AnnoCalendario,MONTH(NovDom1+42)=11),NovDom1+42,""))</f>
        <v/>
      </c>
      <c r="Z30" s="12" t="str">
        <f>IF(DAY(DicDom1)=1,IF(AND(YEAR(DicDom1+29)=AnnoCalendario,MONTH(DicDom1+29)=12),DicDom1+29,""),IF(AND(YEAR(DicDom1+36)=AnnoCalendario,MONTH(DicDom1+36)=12),DicDom1+36,""))</f>
        <v/>
      </c>
      <c r="AA30" s="12" t="str">
        <f>IF(DAY(DicDom1)=1,IF(AND(YEAR(DicDom1+30)=AnnoCalendario,MONTH(DicDom1+30)=12),DicDom1+30,""),IF(AND(YEAR(DicDom1+37)=AnnoCalendario,MONTH(DicDom1+37)=12),DicDom1+37,""))</f>
        <v/>
      </c>
      <c r="AB30" s="17" t="str">
        <f>IF(DAY(DicDom1)=1,IF(AND(YEAR(DicDom1+31)=AnnoCalendario,MONTH(DicDom1+31)=12),DicDom1+31,""),IF(AND(YEAR(DicDom1+38)=AnnoCalendario,MONTH(DicDom1+38)=12),DicDom1+38,""))</f>
        <v/>
      </c>
      <c r="AC30" s="17" t="str">
        <f>IF(DAY(DicDom1)=1,IF(AND(YEAR(DicDom1+32)=AnnoCalendario,MONTH(DicDom1+32)=12),DicDom1+32,""),IF(AND(YEAR(DicDom1+39)=AnnoCalendario,MONTH(DicDom1+39)=12),DicDom1+39,""))</f>
        <v/>
      </c>
      <c r="AD30" s="17" t="str">
        <f>IF(DAY(DicDom1)=1,IF(AND(YEAR(DicDom1+33)=AnnoCalendario,MONTH(DicDom1+33)=12),DicDom1+33,""),IF(AND(YEAR(DicDom1+40)=AnnoCalendario,MONTH(DicDom1+40)=12),DicDom1+40,""))</f>
        <v/>
      </c>
      <c r="AE30" s="18" t="str">
        <f>IF(DAY(DicDom1)=1,IF(AND(YEAR(DicDom1+34)=AnnoCalendario,MONTH(DicDom1+34)=12),DicDom1+34,""),IF(AND(YEAR(DicDom1+41)=AnnoCalendario,MONTH(DicDom1+41)=12),DicDom1+41,""))</f>
        <v/>
      </c>
      <c r="AF30" s="18" t="str">
        <f>IF(DAY(DicDom1)=1,IF(AND(YEAR(DicDom1+35)=AnnoCalendario,MONTH(DicDom1+35)=12),DicDom1+35,""),IF(AND(YEAR(DicDom1+42)=AnnoCalendario,MONTH(DicDom1+42)=12),DicDom1+42,""))</f>
        <v/>
      </c>
    </row>
    <row r="31" spans="2:32" s="7" customFormat="1" ht="26.1" customHeight="1" x14ac:dyDescent="0.3"/>
  </sheetData>
  <mergeCells count="13">
    <mergeCell ref="AC1:AF1"/>
    <mergeCell ref="Z23:AF23"/>
    <mergeCell ref="B5:H5"/>
    <mergeCell ref="J5:P5"/>
    <mergeCell ref="R5:X5"/>
    <mergeCell ref="Z5:AF5"/>
    <mergeCell ref="B14:H14"/>
    <mergeCell ref="J14:P14"/>
    <mergeCell ref="R14:X14"/>
    <mergeCell ref="Z14:AF14"/>
    <mergeCell ref="B23:H23"/>
    <mergeCell ref="J23:P23"/>
    <mergeCell ref="R23:X23"/>
  </mergeCells>
  <phoneticPr fontId="1" type="noConversion"/>
  <conditionalFormatting sqref="B7:H12 J7:P12 R7:X12 Z7:AF12 B16:H21 J16:P21 R16:X21 Z16:AF21 B25:H30 J25:P30 R25:X30 Z25:AF30">
    <cfRule type="expression" dxfId="6" priority="1" stopIfTrue="1">
      <formula>NOT(ISNUMBER(B7))</formula>
    </cfRule>
    <cfRule type="expression" dxfId="5" priority="6" stopIfTrue="1">
      <formula>MID(Turno_Schema,MOD(B7-Modello_Inizio,LEN(Turno_Schema))+1,1)=Turno1_Codice</formula>
    </cfRule>
    <cfRule type="expression" dxfId="4" priority="7" stopIfTrue="1">
      <formula>MID(Turno_Schema,MOD(B7-Modello_Inizio,LEN(Turno_Schema))+1,1)=Turno2_Codice</formula>
    </cfRule>
    <cfRule type="expression" dxfId="3" priority="8">
      <formula>MID(Turno_Schema,MOD(B7-Modello_Inizio,LEN(Turno_Schema))+1,1)=Turno3_Codice</formula>
    </cfRule>
    <cfRule type="expression" priority="5" stopIfTrue="1">
      <formula>B7&lt;Modello_Inizio</formula>
    </cfRule>
  </conditionalFormatting>
  <conditionalFormatting sqref="B3">
    <cfRule type="expression" dxfId="2" priority="4">
      <formula>C3=""</formula>
    </cfRule>
  </conditionalFormatting>
  <conditionalFormatting sqref="H3">
    <cfRule type="expression" dxfId="1" priority="3">
      <formula>I3=""</formula>
    </cfRule>
  </conditionalFormatting>
  <conditionalFormatting sqref="N3">
    <cfRule type="expression" dxfId="0" priority="2">
      <formula>O3=""</formula>
    </cfRule>
  </conditionalFormatting>
  <dataValidations count="4">
    <dataValidation allowBlank="1" showInputMessage="1" showErrorMessage="1" promptTitle="Calendario dei turni di lavoro" prompt="Utilizzare i pulsanti di selezione per cambiare l'anno del calendario. _x000a__x000a_Calendario mostra automaticamente la pianificazione dei turni per ogni data. Configurare i dettagli dei turni e il modello dalla scheda Modello turni." sqref="A1" xr:uid="{00000000-0002-0000-0000-000000000000}"/>
    <dataValidation allowBlank="1" showInputMessage="1" showErrorMessage="1" prompt="Utilizzare i pulsanti di selezione per cambiare rapidamente l'anno di calendario" sqref="AC1:AF1" xr:uid="{00000000-0002-0000-0000-000001000000}"/>
    <dataValidation allowBlank="1" showInputMessage="1" showErrorMessage="1" prompt="Per aggiornare l'orario del turno, andare nella scheda Turni" sqref="O3" xr:uid="{00000000-0002-0000-0000-000002000000}"/>
    <dataValidation allowBlank="1" showInputMessage="1" showErrorMessage="1" prompt="Per aggiornare l'orario del turno, andare nella scheda Modello turni" sqref="I3 C3" xr:uid="{00000000-0002-0000-0000-000003000000}"/>
  </dataValidations>
  <printOptions horizontalCentered="1" verticalCentered="1"/>
  <pageMargins left="0.3" right="0.3" top="0.3" bottom="0.3" header="0" footer="0"/>
  <pageSetup paperSize="9"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asella di selezione">
              <controlPr defaultSize="0" print="0" autoPict="0" altText="Usare la casella di selezione per cambiare l'anno di calendario oppure immettere l'anno nella cella AE1">
                <anchor moveWithCells="1">
                  <from>
                    <xdr:col>27</xdr:col>
                    <xdr:colOff>400050</xdr:colOff>
                    <xdr:row>0</xdr:row>
                    <xdr:rowOff>342900</xdr:rowOff>
                  </from>
                  <to>
                    <xdr:col>28</xdr:col>
                    <xdr:colOff>142875</xdr:colOff>
                    <xdr:row>0</xdr:row>
                    <xdr:rowOff>647700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"/>
  <sheetViews>
    <sheetView showGridLines="0" showRowColHeaders="0" workbookViewId="0"/>
  </sheetViews>
  <sheetFormatPr defaultColWidth="0" defaultRowHeight="26.1" customHeight="1" x14ac:dyDescent="0.3"/>
  <cols>
    <col min="1" max="1" width="1.77734375" style="31" customWidth="1"/>
    <col min="2" max="2" width="20.44140625" style="31" customWidth="1"/>
    <col min="3" max="3" width="8.77734375" style="31" customWidth="1"/>
    <col min="4" max="4" width="29.109375" style="31" customWidth="1"/>
    <col min="5" max="5" width="1.77734375" style="31" customWidth="1"/>
    <col min="6" max="21" width="0" style="31" hidden="1" customWidth="1"/>
    <col min="22" max="16384" width="8.88671875" style="31" hidden="1"/>
  </cols>
  <sheetData>
    <row r="1" spans="2:21" s="27" customFormat="1" ht="48.75" customHeight="1" x14ac:dyDescent="0.5">
      <c r="B1" s="45" t="s">
        <v>19</v>
      </c>
      <c r="C1" s="26"/>
      <c r="D1" s="28"/>
      <c r="E1" s="28" t="s">
        <v>36</v>
      </c>
      <c r="F1" s="28"/>
      <c r="G1" s="28"/>
      <c r="H1" s="28"/>
      <c r="I1" s="28"/>
      <c r="J1" s="28"/>
      <c r="K1" s="28"/>
      <c r="L1" s="29"/>
      <c r="R1" s="51"/>
      <c r="S1" s="51">
        <v>2019</v>
      </c>
      <c r="T1" s="51"/>
      <c r="U1" s="51"/>
    </row>
    <row r="2" spans="2:21" s="27" customFormat="1" ht="14.1" customHeight="1" x14ac:dyDescent="0.3">
      <c r="D2" s="28"/>
      <c r="E2" s="28"/>
      <c r="F2" s="28"/>
      <c r="G2" s="28"/>
      <c r="H2" s="28"/>
      <c r="I2" s="28"/>
      <c r="J2" s="28"/>
      <c r="K2" s="28"/>
      <c r="L2" s="29"/>
      <c r="R2" s="33"/>
      <c r="S2" s="33"/>
      <c r="T2" s="33"/>
      <c r="U2" s="33"/>
    </row>
    <row r="3" spans="2:21" s="30" customFormat="1" ht="26.1" customHeight="1" x14ac:dyDescent="0.3">
      <c r="B3" s="24" t="s">
        <v>20</v>
      </c>
      <c r="C3" s="38" t="s">
        <v>26</v>
      </c>
      <c r="D3" s="25" t="s">
        <v>33</v>
      </c>
    </row>
    <row r="4" spans="2:21" ht="26.1" customHeight="1" x14ac:dyDescent="0.3">
      <c r="B4" s="36" t="s">
        <v>21</v>
      </c>
      <c r="C4" s="36" t="s">
        <v>27</v>
      </c>
      <c r="D4" s="36" t="s">
        <v>34</v>
      </c>
    </row>
    <row r="5" spans="2:21" ht="26.1" customHeight="1" x14ac:dyDescent="0.3">
      <c r="B5" s="35" t="s">
        <v>22</v>
      </c>
      <c r="C5" s="35" t="s">
        <v>28</v>
      </c>
      <c r="D5" s="35" t="s">
        <v>35</v>
      </c>
    </row>
    <row r="6" spans="2:21" ht="26.1" customHeight="1" x14ac:dyDescent="0.3">
      <c r="B6" s="37" t="s">
        <v>23</v>
      </c>
      <c r="C6" s="37" t="s">
        <v>29</v>
      </c>
      <c r="D6" s="37"/>
    </row>
    <row r="7" spans="2:21" ht="26.1" customHeight="1" x14ac:dyDescent="0.3">
      <c r="B7" s="32" t="s">
        <v>24</v>
      </c>
      <c r="C7" s="32" t="s">
        <v>30</v>
      </c>
      <c r="D7" s="32"/>
    </row>
    <row r="8" spans="2:21" ht="14.1" customHeight="1" x14ac:dyDescent="0.3"/>
    <row r="9" spans="2:21" ht="26.1" customHeight="1" x14ac:dyDescent="0.3">
      <c r="B9" s="44" t="s">
        <v>25</v>
      </c>
      <c r="C9" s="58">
        <f>DATE(AnnoCalendario,1,1)</f>
        <v>43831</v>
      </c>
      <c r="D9" s="59"/>
      <c r="G9" s="46"/>
    </row>
    <row r="10" spans="2:21" ht="14.1" customHeight="1" x14ac:dyDescent="0.3">
      <c r="B10" s="44"/>
    </row>
    <row r="11" spans="2:21" ht="26.1" customHeight="1" x14ac:dyDescent="0.3">
      <c r="B11" s="44" t="s">
        <v>19</v>
      </c>
      <c r="C11" s="52" t="s">
        <v>31</v>
      </c>
      <c r="D11" s="53"/>
    </row>
    <row r="12" spans="2:21" ht="46.5" customHeight="1" x14ac:dyDescent="0.3">
      <c r="C12" s="54" t="s">
        <v>32</v>
      </c>
      <c r="D12" s="54"/>
    </row>
  </sheetData>
  <mergeCells count="4">
    <mergeCell ref="R1:U1"/>
    <mergeCell ref="C11:D11"/>
    <mergeCell ref="C9:D9"/>
    <mergeCell ref="C12:D12"/>
  </mergeCells>
  <dataValidations count="4">
    <dataValidation allowBlank="1" showInputMessage="1" showErrorMessage="1" prompt="Questa scheda definisce i dettagli della pianificazione dei turni" sqref="A1" xr:uid="{00000000-0002-0000-0100-000000000000}"/>
    <dataValidation allowBlank="1" showInputMessage="1" showErrorMessage="1" prompt="In questa colonna immettere il codice lettera per ogni turno. Assicurarsi di usare solo una lettera." sqref="C3" xr:uid="{00000000-0002-0000-0100-000001000000}"/>
    <dataValidation allowBlank="1" showInputMessage="1" showErrorMessage="1" prompt="In questa colonna, immettere la pianificazione degli orari per ogni turno" sqref="D3" xr:uid="{00000000-0002-0000-0100-000002000000}"/>
    <dataValidation allowBlank="1" showInputMessage="1" showErrorMessage="1" prompt="Immettere la data di inizio del modello turni" sqref="C9:D9" xr:uid="{00000000-0002-0000-0100-000003000000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D6CA33-6873-4910-B5AD-E718BBF44A4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E863D460-7762-4589-B0B4-2E60F6C36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FB1BA8-B905-4900-A81E-521C852CD7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7</vt:i4>
      </vt:variant>
    </vt:vector>
  </HeadingPairs>
  <TitlesOfParts>
    <vt:vector size="9" baseType="lpstr">
      <vt:lpstr>Calendario dei turni di lavoro</vt:lpstr>
      <vt:lpstr>Modello turni</vt:lpstr>
      <vt:lpstr>AnnoCalendario</vt:lpstr>
      <vt:lpstr>Intervallo_Giorni</vt:lpstr>
      <vt:lpstr>Modello_Inizio</vt:lpstr>
      <vt:lpstr>Turno_Schema</vt:lpstr>
      <vt:lpstr>Turno1_Codice</vt:lpstr>
      <vt:lpstr>Turno2_Codice</vt:lpstr>
      <vt:lpstr>Turno3_Codice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2019-06-24T05:52:09Z</dcterms:created>
  <dcterms:modified xsi:type="dcterms:W3CDTF">2020-02-18T05:13:11Z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