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61.xml" ContentType="application/vnd.openxmlformats-officedocument.spreadsheetml.table+xml"/>
  <Override PartName="/xl/tables/table102.xml" ContentType="application/vnd.openxmlformats-officedocument.spreadsheetml.table+xml"/>
  <Override PartName="/xl/drawings/drawing21.xml" ContentType="application/vnd.openxmlformats-officedocument.drawing+xml"/>
  <Override PartName="/xl/tables/table93.xml" ContentType="application/vnd.openxmlformats-officedocument.spreadsheetml.table+xml"/>
  <Override PartName="/xl/tables/table84.xml" ContentType="application/vnd.openxmlformats-officedocument.spreadsheetml.table+xml"/>
  <Override PartName="/xl/tables/table75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16.xml" ContentType="application/vnd.openxmlformats-officedocument.spreadsheetml.table+xml"/>
  <Override PartName="/xl/tables/table57.xml" ContentType="application/vnd.openxmlformats-officedocument.spreadsheetml.table+xml"/>
  <Override PartName="/xl/drawings/drawing12.xml" ContentType="application/vnd.openxmlformats-officedocument.drawing+xml"/>
  <Override PartName="/xl/tables/table48.xml" ContentType="application/vnd.openxmlformats-officedocument.spreadsheetml.table+xml"/>
  <Override PartName="/xl/tables/table39.xml" ContentType="application/vnd.openxmlformats-officedocument.spreadsheetml.table+xml"/>
  <Override PartName="/xl/tables/table210.xml" ContentType="application/vnd.openxmlformats-officedocument.spreadsheetml.table+xml"/>
  <Override PartName="/xl/worksheets/sheet13.xml" ContentType="application/vnd.openxmlformats-officedocument.spreadsheetml.worksheet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1611.xml" ContentType="application/vnd.openxmlformats-officedocument.spreadsheetml.table+xml"/>
  <Override PartName="/xl/drawings/drawing43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1112.xml" ContentType="application/vnd.openxmlformats-officedocument.spreadsheetml.table+xml"/>
  <Override PartName="/xl/tables/table1513.xml" ContentType="application/vnd.openxmlformats-officedocument.spreadsheetml.table+xml"/>
  <Override PartName="/xl/drawings/drawing34.xml" ContentType="application/vnd.openxmlformats-officedocument.drawing+xml"/>
  <Override PartName="/xl/tables/table1414.xml" ContentType="application/vnd.openxmlformats-officedocument.spreadsheetml.table+xml"/>
  <Override PartName="/xl/tables/table1315.xml" ContentType="application/vnd.openxmlformats-officedocument.spreadsheetml.table+xml"/>
  <Override PartName="/xl/tables/table1216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0" documentId="13_ncr:1_{4D3A725E-754E-42C7-8C8A-06482C45DE55}" xr6:coauthVersionLast="47" xr6:coauthVersionMax="48" xr10:uidLastSave="{00000000-0000-0000-0000-000000000000}"/>
  <bookViews>
    <workbookView xWindow="-120" yWindow="-120" windowWidth="29040" windowHeight="17640" tabRatio="756" xr2:uid="{00000000-000D-0000-FFFF-FFFF00000000}"/>
  </bookViews>
  <sheets>
    <sheet name="INIZIO" sheetId="6" r:id="rId1"/>
    <sheet name="SPESE PIANIFICATE" sheetId="2" r:id="rId2"/>
    <sheet name="SPESE EFFETTIVE" sheetId="3" r:id="rId3"/>
    <sheet name="VARIAZIONI DI SPESA" sheetId="4" r:id="rId4"/>
    <sheet name="ANALISI DELLE SPESE" sheetId="5" r:id="rId5"/>
  </sheets>
  <definedNames>
    <definedName name="worksheet_title">'SPESE PIANIFICATE'!$K$2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  <c r="C8" i="5"/>
  <c r="N23" i="4"/>
  <c r="N24" i="4"/>
  <c r="N25" i="4"/>
  <c r="N26" i="4"/>
  <c r="N27" i="4"/>
  <c r="N22" i="4"/>
  <c r="M23" i="4"/>
  <c r="M24" i="4"/>
  <c r="M25" i="4"/>
  <c r="M26" i="4"/>
  <c r="M27" i="4"/>
  <c r="M22" i="4"/>
  <c r="L23" i="4"/>
  <c r="L24" i="4"/>
  <c r="L25" i="4"/>
  <c r="L26" i="4"/>
  <c r="L27" i="4"/>
  <c r="L22" i="4"/>
  <c r="K23" i="4"/>
  <c r="K24" i="4"/>
  <c r="K25" i="4"/>
  <c r="K26" i="4"/>
  <c r="K27" i="4"/>
  <c r="K22" i="4"/>
  <c r="J23" i="4"/>
  <c r="J24" i="4"/>
  <c r="J25" i="4"/>
  <c r="J26" i="4"/>
  <c r="J27" i="4"/>
  <c r="J22" i="4"/>
  <c r="I23" i="4"/>
  <c r="I24" i="4"/>
  <c r="I25" i="4"/>
  <c r="I26" i="4"/>
  <c r="I27" i="4"/>
  <c r="I22" i="4"/>
  <c r="H23" i="4"/>
  <c r="H24" i="4"/>
  <c r="H25" i="4"/>
  <c r="H26" i="4"/>
  <c r="H27" i="4"/>
  <c r="H22" i="4"/>
  <c r="G23" i="4"/>
  <c r="G24" i="4"/>
  <c r="G25" i="4"/>
  <c r="G26" i="4"/>
  <c r="G27" i="4"/>
  <c r="G22" i="4"/>
  <c r="F23" i="4"/>
  <c r="F24" i="4"/>
  <c r="F25" i="4"/>
  <c r="F26" i="4"/>
  <c r="F27" i="4"/>
  <c r="F22" i="4"/>
  <c r="E23" i="4"/>
  <c r="E24" i="4"/>
  <c r="E25" i="4"/>
  <c r="E26" i="4"/>
  <c r="E27" i="4"/>
  <c r="E22" i="4"/>
  <c r="D23" i="4"/>
  <c r="D24" i="4"/>
  <c r="D25" i="4"/>
  <c r="D26" i="4"/>
  <c r="D27" i="4"/>
  <c r="D22" i="4"/>
  <c r="C23" i="4"/>
  <c r="C24" i="4"/>
  <c r="C25" i="4"/>
  <c r="C26" i="4"/>
  <c r="C27" i="4"/>
  <c r="C22" i="4"/>
  <c r="N12" i="4"/>
  <c r="N13" i="4"/>
  <c r="N14" i="4"/>
  <c r="N15" i="4"/>
  <c r="N16" i="4"/>
  <c r="N17" i="4"/>
  <c r="N18" i="4"/>
  <c r="N11" i="4"/>
  <c r="M12" i="4"/>
  <c r="M13" i="4"/>
  <c r="M14" i="4"/>
  <c r="M15" i="4"/>
  <c r="M16" i="4"/>
  <c r="M17" i="4"/>
  <c r="M18" i="4"/>
  <c r="M11" i="4"/>
  <c r="L12" i="4"/>
  <c r="L13" i="4"/>
  <c r="L14" i="4"/>
  <c r="L15" i="4"/>
  <c r="L16" i="4"/>
  <c r="L17" i="4"/>
  <c r="L18" i="4"/>
  <c r="L11" i="4"/>
  <c r="K12" i="4"/>
  <c r="K13" i="4"/>
  <c r="K14" i="4"/>
  <c r="K15" i="4"/>
  <c r="K16" i="4"/>
  <c r="K17" i="4"/>
  <c r="K18" i="4"/>
  <c r="K11" i="4"/>
  <c r="J12" i="4"/>
  <c r="J13" i="4"/>
  <c r="J14" i="4"/>
  <c r="J15" i="4"/>
  <c r="J16" i="4"/>
  <c r="J17" i="4"/>
  <c r="J18" i="4"/>
  <c r="J11" i="4"/>
  <c r="I12" i="4"/>
  <c r="I13" i="4"/>
  <c r="I14" i="4"/>
  <c r="I15" i="4"/>
  <c r="I16" i="4"/>
  <c r="I17" i="4"/>
  <c r="I18" i="4"/>
  <c r="I11" i="4"/>
  <c r="H12" i="4"/>
  <c r="H13" i="4"/>
  <c r="H14" i="4"/>
  <c r="H15" i="4"/>
  <c r="H16" i="4"/>
  <c r="H17" i="4"/>
  <c r="H18" i="4"/>
  <c r="H11" i="4"/>
  <c r="G12" i="4"/>
  <c r="G13" i="4"/>
  <c r="G14" i="4"/>
  <c r="G15" i="4"/>
  <c r="G16" i="4"/>
  <c r="G17" i="4"/>
  <c r="G18" i="4"/>
  <c r="G11" i="4"/>
  <c r="F12" i="4"/>
  <c r="F13" i="4"/>
  <c r="F14" i="4"/>
  <c r="F15" i="4"/>
  <c r="F16" i="4"/>
  <c r="F17" i="4"/>
  <c r="F18" i="4"/>
  <c r="F11" i="4"/>
  <c r="E12" i="4"/>
  <c r="E13" i="4"/>
  <c r="E14" i="4"/>
  <c r="E15" i="4"/>
  <c r="E16" i="4"/>
  <c r="E17" i="4"/>
  <c r="E18" i="4"/>
  <c r="E11" i="4"/>
  <c r="D12" i="4"/>
  <c r="D13" i="4"/>
  <c r="D14" i="4"/>
  <c r="D15" i="4"/>
  <c r="D16" i="4"/>
  <c r="D17" i="4"/>
  <c r="D18" i="4"/>
  <c r="D11" i="4"/>
  <c r="C12" i="4"/>
  <c r="C13" i="4"/>
  <c r="C14" i="4"/>
  <c r="C15" i="4"/>
  <c r="C16" i="4"/>
  <c r="C17" i="4"/>
  <c r="C18" i="4"/>
  <c r="C11" i="4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6" i="2"/>
  <c r="O37" i="2"/>
  <c r="N36" i="2"/>
  <c r="M36" i="2"/>
  <c r="L36" i="2"/>
  <c r="K36" i="2"/>
  <c r="J36" i="2"/>
  <c r="I36" i="2"/>
  <c r="H36" i="2"/>
  <c r="G36" i="2"/>
  <c r="F36" i="2"/>
  <c r="E36" i="2"/>
  <c r="D36" i="2"/>
  <c r="C36" i="2"/>
  <c r="K2" i="3"/>
  <c r="K2" i="4"/>
  <c r="E3" i="5"/>
  <c r="B2" i="3" l="1"/>
  <c r="B2" i="5" l="1"/>
  <c r="B2" i="4"/>
  <c r="I7" i="3" l="1"/>
  <c r="J7" i="3"/>
  <c r="K7" i="3"/>
  <c r="L7" i="3"/>
  <c r="M7" i="3"/>
  <c r="N7" i="3"/>
  <c r="C32" i="4"/>
  <c r="D32" i="4"/>
  <c r="E32" i="4"/>
  <c r="F32" i="4"/>
  <c r="G32" i="4"/>
  <c r="H32" i="4"/>
  <c r="I32" i="4"/>
  <c r="J32" i="4"/>
  <c r="K32" i="4"/>
  <c r="L32" i="4"/>
  <c r="M32" i="4"/>
  <c r="N32" i="4"/>
  <c r="D31" i="4"/>
  <c r="E31" i="4"/>
  <c r="F31" i="4"/>
  <c r="G31" i="4"/>
  <c r="H31" i="4"/>
  <c r="I31" i="4"/>
  <c r="J31" i="4"/>
  <c r="K31" i="4"/>
  <c r="L31" i="4"/>
  <c r="M31" i="4"/>
  <c r="N31" i="4"/>
  <c r="C31" i="4"/>
  <c r="D6" i="4"/>
  <c r="E6" i="4"/>
  <c r="F6" i="4"/>
  <c r="G6" i="4"/>
  <c r="H6" i="4"/>
  <c r="I6" i="4"/>
  <c r="J6" i="4"/>
  <c r="K6" i="4"/>
  <c r="L6" i="4"/>
  <c r="M6" i="4"/>
  <c r="N6" i="4"/>
  <c r="C6" i="4"/>
  <c r="D19" i="3"/>
  <c r="E19" i="3"/>
  <c r="F19" i="3"/>
  <c r="G19" i="3"/>
  <c r="H19" i="3"/>
  <c r="I19" i="3"/>
  <c r="J19" i="3"/>
  <c r="K19" i="3"/>
  <c r="L19" i="3"/>
  <c r="M19" i="3"/>
  <c r="N19" i="3"/>
  <c r="D28" i="3"/>
  <c r="E28" i="3"/>
  <c r="F28" i="3"/>
  <c r="G28" i="3"/>
  <c r="H28" i="3"/>
  <c r="I28" i="3"/>
  <c r="J28" i="3"/>
  <c r="K28" i="3"/>
  <c r="L28" i="3"/>
  <c r="M28" i="3"/>
  <c r="N28" i="3"/>
  <c r="D33" i="3"/>
  <c r="E33" i="3"/>
  <c r="F33" i="3"/>
  <c r="G33" i="3"/>
  <c r="H33" i="3"/>
  <c r="I33" i="3"/>
  <c r="J33" i="3"/>
  <c r="K33" i="3"/>
  <c r="L33" i="3"/>
  <c r="M33" i="3"/>
  <c r="N33" i="3"/>
  <c r="C33" i="3"/>
  <c r="C28" i="3"/>
  <c r="C19" i="3"/>
  <c r="D33" i="2"/>
  <c r="E33" i="2"/>
  <c r="F33" i="2"/>
  <c r="G33" i="2"/>
  <c r="H33" i="2"/>
  <c r="I33" i="2"/>
  <c r="J33" i="2"/>
  <c r="K33" i="2"/>
  <c r="L33" i="2"/>
  <c r="M33" i="2"/>
  <c r="N33" i="2"/>
  <c r="C33" i="2"/>
  <c r="E28" i="2"/>
  <c r="F28" i="2"/>
  <c r="G28" i="2"/>
  <c r="H28" i="2"/>
  <c r="I28" i="2"/>
  <c r="J28" i="2"/>
  <c r="K28" i="2"/>
  <c r="L28" i="2"/>
  <c r="M28" i="2"/>
  <c r="N28" i="2"/>
  <c r="D19" i="2"/>
  <c r="E19" i="2"/>
  <c r="F19" i="2"/>
  <c r="G19" i="2"/>
  <c r="H19" i="2"/>
  <c r="I19" i="2"/>
  <c r="J19" i="2"/>
  <c r="K19" i="2"/>
  <c r="L19" i="2"/>
  <c r="M19" i="2"/>
  <c r="N19" i="2"/>
  <c r="C19" i="2"/>
  <c r="O22" i="4" l="1"/>
  <c r="O24" i="4"/>
  <c r="O6" i="4"/>
  <c r="O23" i="4"/>
  <c r="O32" i="4"/>
  <c r="O27" i="4"/>
  <c r="O26" i="4"/>
  <c r="O25" i="4"/>
  <c r="O31" i="4"/>
  <c r="O17" i="4"/>
  <c r="O16" i="4"/>
  <c r="O15" i="4"/>
  <c r="O14" i="4"/>
  <c r="O12" i="4"/>
  <c r="O18" i="4"/>
  <c r="O13" i="4"/>
  <c r="O11" i="4"/>
  <c r="B10" i="5"/>
  <c r="B9" i="5"/>
  <c r="B8" i="5"/>
  <c r="B7" i="5"/>
  <c r="N33" i="4"/>
  <c r="M33" i="4"/>
  <c r="L33" i="4"/>
  <c r="K33" i="4"/>
  <c r="J33" i="4"/>
  <c r="I33" i="4"/>
  <c r="H33" i="4"/>
  <c r="G33" i="4"/>
  <c r="F33" i="4"/>
  <c r="E33" i="4"/>
  <c r="D33" i="4"/>
  <c r="C33" i="4"/>
  <c r="N28" i="4"/>
  <c r="M28" i="4"/>
  <c r="L28" i="4"/>
  <c r="K28" i="4"/>
  <c r="J28" i="4"/>
  <c r="I28" i="4"/>
  <c r="H28" i="4"/>
  <c r="G28" i="4"/>
  <c r="F28" i="4"/>
  <c r="E28" i="4"/>
  <c r="D28" i="4"/>
  <c r="C28" i="4"/>
  <c r="N19" i="4"/>
  <c r="M19" i="4"/>
  <c r="L19" i="4"/>
  <c r="K19" i="4"/>
  <c r="J19" i="4"/>
  <c r="I19" i="4"/>
  <c r="H19" i="4"/>
  <c r="G19" i="4"/>
  <c r="F19" i="4"/>
  <c r="E19" i="4"/>
  <c r="D19" i="4"/>
  <c r="C19" i="4"/>
  <c r="O32" i="3"/>
  <c r="O31" i="3"/>
  <c r="O27" i="3"/>
  <c r="O26" i="3"/>
  <c r="O25" i="3"/>
  <c r="O24" i="3"/>
  <c r="O23" i="3"/>
  <c r="O22" i="3"/>
  <c r="O18" i="3"/>
  <c r="O17" i="3"/>
  <c r="O16" i="3"/>
  <c r="O15" i="3"/>
  <c r="O14" i="3"/>
  <c r="O13" i="3"/>
  <c r="O12" i="3"/>
  <c r="O11" i="3"/>
  <c r="N8" i="3" l="1"/>
  <c r="M8" i="3"/>
  <c r="L8" i="3"/>
  <c r="K8" i="3"/>
  <c r="J8" i="3"/>
  <c r="I8" i="3"/>
  <c r="H7" i="3"/>
  <c r="H8" i="3" s="1"/>
  <c r="G7" i="3"/>
  <c r="G8" i="3" s="1"/>
  <c r="F7" i="3"/>
  <c r="F8" i="3" s="1"/>
  <c r="E7" i="3"/>
  <c r="E8" i="3" s="1"/>
  <c r="D7" i="3"/>
  <c r="D8" i="3" s="1"/>
  <c r="C7" i="3"/>
  <c r="C8" i="3" s="1"/>
  <c r="O6" i="3"/>
  <c r="O32" i="2"/>
  <c r="O31" i="2"/>
  <c r="O33" i="2" s="1"/>
  <c r="O27" i="2"/>
  <c r="O26" i="2"/>
  <c r="O25" i="2"/>
  <c r="O24" i="2"/>
  <c r="O23" i="2"/>
  <c r="O22" i="2"/>
  <c r="O18" i="2" l="1"/>
  <c r="O17" i="2"/>
  <c r="O16" i="2"/>
  <c r="O15" i="2"/>
  <c r="O14" i="2"/>
  <c r="O13" i="2"/>
  <c r="O12" i="2"/>
  <c r="O11" i="2"/>
  <c r="N7" i="2"/>
  <c r="M7" i="2"/>
  <c r="L7" i="2"/>
  <c r="K7" i="2"/>
  <c r="J7" i="2"/>
  <c r="I7" i="2"/>
  <c r="H7" i="2"/>
  <c r="G7" i="2"/>
  <c r="F7" i="2"/>
  <c r="E7" i="2"/>
  <c r="D7" i="2"/>
  <c r="C7" i="2"/>
  <c r="O6" i="2"/>
  <c r="J8" i="2" l="1"/>
  <c r="J7" i="4"/>
  <c r="J8" i="4" s="1"/>
  <c r="J36" i="4" s="1"/>
  <c r="L8" i="2"/>
  <c r="L7" i="4"/>
  <c r="L8" i="4" s="1"/>
  <c r="L36" i="4" s="1"/>
  <c r="G8" i="2"/>
  <c r="G7" i="4"/>
  <c r="G8" i="4" s="1"/>
  <c r="G36" i="4" s="1"/>
  <c r="H8" i="2"/>
  <c r="H7" i="4"/>
  <c r="H8" i="4" s="1"/>
  <c r="H36" i="4" s="1"/>
  <c r="N8" i="2"/>
  <c r="N7" i="4"/>
  <c r="N8" i="4" s="1"/>
  <c r="N36" i="4" s="1"/>
  <c r="D8" i="2"/>
  <c r="D7" i="4"/>
  <c r="D8" i="4" s="1"/>
  <c r="D36" i="4" s="1"/>
  <c r="E7" i="4"/>
  <c r="E8" i="4" s="1"/>
  <c r="E36" i="4" s="1"/>
  <c r="E8" i="2"/>
  <c r="K8" i="2"/>
  <c r="K7" i="4"/>
  <c r="K8" i="4" s="1"/>
  <c r="K36" i="4" s="1"/>
  <c r="F7" i="4"/>
  <c r="F8" i="4" s="1"/>
  <c r="F36" i="4" s="1"/>
  <c r="F8" i="2"/>
  <c r="M8" i="2"/>
  <c r="M7" i="4"/>
  <c r="M8" i="4" s="1"/>
  <c r="M36" i="4" s="1"/>
  <c r="C7" i="4"/>
  <c r="C8" i="4" s="1"/>
  <c r="C36" i="4" s="1"/>
  <c r="C8" i="2"/>
  <c r="I7" i="4"/>
  <c r="I8" i="4" s="1"/>
  <c r="I36" i="4" s="1"/>
  <c r="I8" i="2"/>
  <c r="O33" i="3"/>
  <c r="O28" i="3"/>
  <c r="D8" i="5" s="1"/>
  <c r="O19" i="3" l="1"/>
  <c r="C9" i="5"/>
  <c r="O28" i="2" l="1"/>
  <c r="O19" i="2"/>
  <c r="C7" i="5" s="1"/>
  <c r="O7" i="3"/>
  <c r="O8" i="3" s="1"/>
  <c r="D6" i="5" s="1"/>
  <c r="O33" i="4"/>
  <c r="O7" i="2"/>
  <c r="O8" i="2" s="1"/>
  <c r="C6" i="5" s="1"/>
  <c r="E37" i="2" l="1"/>
  <c r="D37" i="2"/>
  <c r="J37" i="2"/>
  <c r="O7" i="4"/>
  <c r="O8" i="4" s="1"/>
  <c r="C10" i="5"/>
  <c r="I37" i="2"/>
  <c r="C37" i="2"/>
  <c r="F37" i="2"/>
  <c r="E8" i="5"/>
  <c r="F8" i="5" s="1"/>
  <c r="D37" i="4"/>
  <c r="J37" i="4"/>
  <c r="M37" i="4"/>
  <c r="H37" i="4"/>
  <c r="N37" i="4"/>
  <c r="C37" i="4"/>
  <c r="E37" i="4"/>
  <c r="K37" i="4"/>
  <c r="F37" i="4"/>
  <c r="L37" i="4"/>
  <c r="G37" i="4"/>
  <c r="I37" i="4"/>
  <c r="O19" i="4"/>
  <c r="O28" i="4"/>
  <c r="D9" i="5"/>
  <c r="E9" i="5" s="1"/>
  <c r="F9" i="5" s="1"/>
  <c r="D10" i="5"/>
  <c r="K37" i="2"/>
  <c r="G37" i="3"/>
  <c r="M37" i="3"/>
  <c r="J37" i="3"/>
  <c r="F37" i="3"/>
  <c r="H37" i="3"/>
  <c r="N37" i="3"/>
  <c r="I37" i="3"/>
  <c r="C37" i="3"/>
  <c r="D37" i="3"/>
  <c r="E37" i="3"/>
  <c r="K37" i="3"/>
  <c r="L37" i="3"/>
  <c r="E7" i="5"/>
  <c r="F7" i="5" s="1"/>
  <c r="N37" i="2"/>
  <c r="H37" i="2"/>
  <c r="M37" i="2"/>
  <c r="L37" i="2"/>
  <c r="G37" i="2"/>
  <c r="E6" i="5"/>
  <c r="F6" i="5" s="1"/>
  <c r="O36" i="4" l="1"/>
  <c r="E10" i="5"/>
  <c r="F10" i="5" s="1"/>
  <c r="D28" i="2"/>
  <c r="C28" i="2"/>
</calcChain>
</file>

<file path=xl/sharedStrings.xml><?xml version="1.0" encoding="utf-8"?>
<sst xmlns="http://schemas.openxmlformats.org/spreadsheetml/2006/main" count="351" uniqueCount="77">
  <si>
    <t>INFORMAZIONI SU QUESTO MODELLO</t>
  </si>
  <si>
    <t>Utilizzare la cartella di lavoro Budget spese aziendali per tenere traccia delle spese pianificate e effettive e degli scostamenti.</t>
  </si>
  <si>
    <t>Inserire il nome della società e aggiungere il logo.</t>
  </si>
  <si>
    <t>Immettere i dettagli nelle tabelle del foglio di lavoro Spese pianificate e nel foglio di lavoro Spese effettive.</t>
  </si>
  <si>
    <t>Le tabelle vengono aggiornate automaticamente nel foglio di lavoro Scostamenti di spese e i grafici nel foglio di lavoro Analisi delle spese</t>
  </si>
  <si>
    <t>Nota: </t>
  </si>
  <si>
    <t>Nella colonna A di ciascun foglio di lavoro sono disponibili altre istruzioni. Questo testo è stato nascosto intenzionalmente. Per rimuovere il testo, seleziona la colonna A, quindi scegli ELIMINA. Per visualizzare il testo, selezionare la colonna A, quindi modificare il colore del carattere.</t>
  </si>
  <si>
    <t>Per ulteriori informazioni sulle tabelle, premere MAIUSC, quindi F10 in una tabella, selezionare l'opzione TABELLA, quindi selezionare TESTO ALTERNATIVO</t>
  </si>
  <si>
    <t>Nome società</t>
  </si>
  <si>
    <t>SPESE PIANIFICATE</t>
  </si>
  <si>
    <t>Costi dei dipendenti</t>
  </si>
  <si>
    <t>Stipendi</t>
  </si>
  <si>
    <t>Indennità</t>
  </si>
  <si>
    <t>Subtotale</t>
  </si>
  <si>
    <t>Costi di ufficio</t>
  </si>
  <si>
    <t>Locazione di uffici</t>
  </si>
  <si>
    <t>Gas</t>
  </si>
  <si>
    <t>Elettricità</t>
  </si>
  <si>
    <t>Acqua</t>
  </si>
  <si>
    <t>Telefono</t>
  </si>
  <si>
    <t>Accesso a Internet</t>
  </si>
  <si>
    <t>Forniture ufficio</t>
  </si>
  <si>
    <t>Sicurezza</t>
  </si>
  <si>
    <t>Costi di marketing</t>
  </si>
  <si>
    <t>Hosting di siti Web</t>
  </si>
  <si>
    <t>Aggiornamenti del sito Web</t>
  </si>
  <si>
    <t>Preparazione materiale</t>
  </si>
  <si>
    <t>Stampa materiale</t>
  </si>
  <si>
    <t>Eventi di marketing</t>
  </si>
  <si>
    <t>Spese varie</t>
  </si>
  <si>
    <t>Formazione/viaggi</t>
  </si>
  <si>
    <t>Corsi di formazione</t>
  </si>
  <si>
    <t>Costi di viaggio relativi alla formazione</t>
  </si>
  <si>
    <t>TOTALI</t>
  </si>
  <si>
    <t>Spese pianificate mensili</t>
  </si>
  <si>
    <t>Spese pianificate TOTALI</t>
  </si>
  <si>
    <t>GEN</t>
  </si>
  <si>
    <t>Gen</t>
  </si>
  <si>
    <t>FEB</t>
  </si>
  <si>
    <t>Feb</t>
  </si>
  <si>
    <t>MAR</t>
  </si>
  <si>
    <t>Mar</t>
  </si>
  <si>
    <t>APR</t>
  </si>
  <si>
    <t>Apr</t>
  </si>
  <si>
    <t>MAG</t>
  </si>
  <si>
    <t>Mag</t>
  </si>
  <si>
    <t>GIU</t>
  </si>
  <si>
    <t>Giu</t>
  </si>
  <si>
    <t>LUG</t>
  </si>
  <si>
    <t>Lug</t>
  </si>
  <si>
    <t>AGO</t>
  </si>
  <si>
    <t>Ago</t>
  </si>
  <si>
    <t>Previsioni di spesa dettagliate</t>
  </si>
  <si>
    <t>Le celle ombreggiate sono calcoli.</t>
  </si>
  <si>
    <t>SET</t>
  </si>
  <si>
    <t>Set</t>
  </si>
  <si>
    <t>OTT</t>
  </si>
  <si>
    <t>Ott</t>
  </si>
  <si>
    <t>NOV</t>
  </si>
  <si>
    <t>Nov</t>
  </si>
  <si>
    <t>DIC</t>
  </si>
  <si>
    <t>Dic</t>
  </si>
  <si>
    <t>ANNO</t>
  </si>
  <si>
    <t>Anno</t>
  </si>
  <si>
    <t xml:space="preserve"> </t>
  </si>
  <si>
    <t>SPESE EFFETTIVE</t>
  </si>
  <si>
    <t>Spese effettive mensili</t>
  </si>
  <si>
    <t>Spese effettive TOTALI</t>
  </si>
  <si>
    <t>VARIAZIONI DI SPESA</t>
  </si>
  <si>
    <t>Categoria di spesa</t>
  </si>
  <si>
    <t>Costi dipendenti</t>
  </si>
  <si>
    <t>Spese pianificate</t>
  </si>
  <si>
    <t>Spese effettive</t>
  </si>
  <si>
    <t>Variazioni di spese</t>
  </si>
  <si>
    <t>Percentuale di scostamento</t>
  </si>
  <si>
    <t>Spese pianificate TOTALE</t>
  </si>
  <si>
    <t>Immettere i costi pianificati dei dipendenti, i costi di ufficio, i costi di marketing e i costi di formazione o viaggio nelle rispettive tabelle del foglio di lavoro. I totali vengono calcolati automaticamente. Le istruzioni su come usare il foglio di lavoro si trovano nelle celle di questa colonna. Freccia giù per iniziare.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</si>
</sst>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;[Red]\-#,##0.00\ &quot;€&quot;"/>
    <numFmt numFmtId="165" formatCode="_(&quot;$&quot;* #,##0_);_(&quot;$&quot;* \(#,##0\);_(&quot;$&quot;* &quot;-&quot;??_);_(@_)"/>
  </numFmts>
  <fonts count="40" x14ac:knownFonts="1">
    <font>
      <sz val="9"/>
      <color theme="1" tint="0.24994659260841701"/>
      <name val="Microsoft Sans Serif"/>
      <family val="2"/>
      <scheme val="minor"/>
    </font>
    <font>
      <sz val="14"/>
      <color theme="1"/>
      <name val="Microsoft Sans Serif"/>
      <family val="2"/>
      <scheme val="minor"/>
    </font>
    <font>
      <b/>
      <sz val="14"/>
      <color theme="1"/>
      <name val="Microsoft Sans Serif"/>
      <family val="2"/>
      <scheme val="minor"/>
    </font>
    <font>
      <sz val="10"/>
      <color theme="1"/>
      <name val="Microsoft Sans Serif"/>
      <family val="2"/>
      <scheme val="minor"/>
    </font>
    <font>
      <b/>
      <u/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b/>
      <i/>
      <sz val="10"/>
      <color theme="1"/>
      <name val="Microsoft Sans Serif"/>
      <family val="2"/>
      <scheme val="minor"/>
    </font>
    <font>
      <b/>
      <sz val="22"/>
      <color theme="1" tint="0.24994659260841701"/>
      <name val="Franklin Gothic Book"/>
      <family val="2"/>
      <scheme val="major"/>
    </font>
    <font>
      <sz val="11"/>
      <color theme="1" tint="0.24994659260841701"/>
      <name val="Franklin Gothic Book"/>
      <family val="2"/>
      <scheme val="major"/>
    </font>
    <font>
      <b/>
      <sz val="10"/>
      <color theme="2"/>
      <name val="Franklin Gothic Book"/>
      <family val="2"/>
      <scheme val="major"/>
    </font>
    <font>
      <b/>
      <sz val="14"/>
      <color theme="0"/>
      <name val="Franklin Gothic Book"/>
      <family val="2"/>
      <scheme val="major"/>
    </font>
    <font>
      <i/>
      <sz val="11"/>
      <color theme="3" tint="0.79998168889431442"/>
      <name val="Microsoft Sans Serif"/>
      <family val="2"/>
      <scheme val="minor"/>
    </font>
    <font>
      <b/>
      <sz val="36"/>
      <color theme="0"/>
      <name val="Franklin Gothic Book"/>
      <family val="2"/>
      <scheme val="major"/>
    </font>
    <font>
      <sz val="9"/>
      <color theme="1"/>
      <name val="Microsoft Sans Serif"/>
      <family val="2"/>
      <scheme val="minor"/>
    </font>
    <font>
      <b/>
      <sz val="9"/>
      <color theme="1"/>
      <name val="Microsoft Sans Serif"/>
      <family val="2"/>
      <scheme val="minor"/>
    </font>
    <font>
      <b/>
      <sz val="10"/>
      <color theme="0"/>
      <name val="Microsoft Sans Serif"/>
      <family val="2"/>
      <scheme val="minor"/>
    </font>
    <font>
      <b/>
      <sz val="16"/>
      <color theme="0"/>
      <name val="Franklin Gothic Book"/>
      <family val="2"/>
      <scheme val="major"/>
    </font>
    <font>
      <sz val="10"/>
      <color theme="1" tint="0.24994659260841701"/>
      <name val="Microsoft Sans Serif"/>
      <family val="2"/>
      <scheme val="minor"/>
    </font>
    <font>
      <b/>
      <sz val="10"/>
      <color theme="1" tint="0.24994659260841701"/>
      <name val="Microsoft Sans Serif"/>
      <family val="2"/>
      <scheme val="minor"/>
    </font>
    <font>
      <sz val="9"/>
      <color theme="6" tint="0.39997558519241921"/>
      <name val="Microsoft Sans Serif"/>
      <family val="2"/>
      <scheme val="minor"/>
    </font>
    <font>
      <b/>
      <sz val="14"/>
      <color theme="2"/>
      <name val="Franklin Gothic Book"/>
      <family val="2"/>
      <scheme val="major"/>
    </font>
    <font>
      <sz val="14"/>
      <color theme="3"/>
      <name val="Microsoft Sans Serif"/>
      <family val="2"/>
      <scheme val="minor"/>
    </font>
    <font>
      <b/>
      <sz val="13"/>
      <color theme="3"/>
      <name val="Franklin Gothic Book"/>
      <family val="2"/>
      <scheme val="major"/>
    </font>
    <font>
      <b/>
      <sz val="14"/>
      <color theme="0"/>
      <name val="Microsoft Sans Serif"/>
      <family val="2"/>
      <scheme val="minor"/>
    </font>
    <font>
      <sz val="9"/>
      <name val="Microsoft Sans Serif"/>
      <family val="2"/>
      <scheme val="minor"/>
    </font>
    <font>
      <b/>
      <sz val="9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 tint="-0.499984740745262"/>
      <name val="Franklin Gothic Book"/>
      <family val="2"/>
      <scheme val="major"/>
    </font>
    <font>
      <b/>
      <sz val="14"/>
      <color theme="3"/>
      <name val="Microsoft Sans Serif"/>
      <family val="2"/>
      <scheme val="minor"/>
    </font>
    <font>
      <b/>
      <sz val="14"/>
      <color theme="3" tint="-0.499984740745262"/>
      <name val="Franklin Gothic Book"/>
      <family val="2"/>
      <scheme val="major"/>
    </font>
    <font>
      <sz val="10"/>
      <color theme="5" tint="0.79998168889431442"/>
      <name val="Microsoft Sans Serif"/>
      <family val="2"/>
      <scheme val="minor"/>
    </font>
    <font>
      <b/>
      <sz val="16"/>
      <color theme="0"/>
      <name val="Arial"/>
      <family val="2"/>
    </font>
    <font>
      <sz val="14"/>
      <color theme="3" tint="-0.249977111117893"/>
      <name val="Microsoft Sans Serif"/>
      <family val="2"/>
      <scheme val="minor"/>
    </font>
    <font>
      <sz val="14"/>
      <color theme="6" tint="0.39997558519241921"/>
      <name val="Microsoft Sans Serif"/>
      <family val="2"/>
      <scheme val="minor"/>
    </font>
    <font>
      <sz val="11"/>
      <color theme="6" tint="0.39997558519241921"/>
      <name val="Calibri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i/>
      <sz val="11"/>
      <color theme="0"/>
      <name val="Microsoft Sans Serif"/>
      <family val="2"/>
      <scheme val="minor"/>
    </font>
    <font>
      <b/>
      <sz val="16"/>
      <color theme="3"/>
      <name val="Franklin Gothic Book"/>
      <family val="2"/>
      <scheme val="major"/>
    </font>
    <font>
      <sz val="14"/>
      <color theme="0"/>
      <name val="Microsoft Sans Serif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/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 style="medium">
        <color theme="6" tint="0.39997558519241921"/>
      </right>
      <top/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/>
      <bottom/>
      <diagonal/>
    </border>
    <border>
      <left/>
      <right/>
      <top/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14548173467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88402966399123"/>
      </left>
      <right style="medium">
        <color theme="6" tint="0.39985351115451523"/>
      </right>
      <top style="medium">
        <color theme="6" tint="0.39994506668294322"/>
      </top>
      <bottom style="medium">
        <color theme="6" tint="0.39985351115451523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4506668294322"/>
      </right>
      <top/>
      <bottom style="medium">
        <color theme="6" tint="0.39997558519241921"/>
      </bottom>
      <diagonal/>
    </border>
    <border>
      <left style="medium">
        <color theme="6" tint="0.39994506668294322"/>
      </left>
      <right/>
      <top/>
      <bottom/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</borders>
  <cellStyleXfs count="6">
    <xf numFmtId="0" fontId="0" fillId="10" borderId="0"/>
    <xf numFmtId="0" fontId="7" fillId="0" borderId="0" applyNumberFormat="0" applyFill="0" applyProtection="0">
      <alignment vertical="center"/>
    </xf>
    <xf numFmtId="0" fontId="16" fillId="4" borderId="0" applyNumberFormat="0" applyProtection="0">
      <alignment vertical="center"/>
    </xf>
    <xf numFmtId="0" fontId="9" fillId="2" borderId="0" applyNumberFormat="0" applyProtection="0">
      <alignment vertical="center"/>
    </xf>
    <xf numFmtId="0" fontId="8" fillId="3" borderId="1" applyNumberFormat="0" applyProtection="0">
      <alignment horizontal="left" vertical="center" indent="1"/>
    </xf>
    <xf numFmtId="0" fontId="11" fillId="0" borderId="0" applyNumberFormat="0" applyFill="0" applyBorder="0" applyAlignment="0" applyProtection="0"/>
  </cellStyleXfs>
  <cellXfs count="137">
    <xf numFmtId="0" fontId="0" fillId="10" borderId="0" xfId="0"/>
    <xf numFmtId="0" fontId="1" fillId="10" borderId="0" xfId="0" applyFont="1"/>
    <xf numFmtId="0" fontId="3" fillId="10" borderId="0" xfId="0" applyFont="1"/>
    <xf numFmtId="37" fontId="3" fillId="10" borderId="0" xfId="0" applyNumberFormat="1" applyFont="1" applyAlignment="1">
      <alignment horizontal="right"/>
    </xf>
    <xf numFmtId="37" fontId="5" fillId="10" borderId="0" xfId="0" applyNumberFormat="1" applyFont="1" applyAlignment="1">
      <alignment horizontal="right"/>
    </xf>
    <xf numFmtId="37" fontId="6" fillId="10" borderId="0" xfId="0" applyNumberFormat="1" applyFont="1" applyAlignment="1">
      <alignment horizontal="right"/>
    </xf>
    <xf numFmtId="9" fontId="0" fillId="10" borderId="0" xfId="0" applyNumberFormat="1" applyAlignment="1">
      <alignment horizontal="right"/>
    </xf>
    <xf numFmtId="0" fontId="1" fillId="4" borderId="0" xfId="0" applyFont="1" applyFill="1" applyAlignment="1">
      <alignment horizontal="left" vertical="top" indent="1"/>
    </xf>
    <xf numFmtId="0" fontId="2" fillId="4" borderId="0" xfId="0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1" fillId="8" borderId="0" xfId="0" applyFont="1" applyFill="1" applyAlignment="1">
      <alignment horizontal="left" vertical="top" indent="1"/>
    </xf>
    <xf numFmtId="165" fontId="2" fillId="8" borderId="0" xfId="0" applyNumberFormat="1" applyFont="1" applyFill="1" applyAlignment="1">
      <alignment horizontal="left" vertical="top" indent="1"/>
    </xf>
    <xf numFmtId="165" fontId="4" fillId="8" borderId="0" xfId="0" applyNumberFormat="1" applyFont="1" applyFill="1" applyAlignment="1">
      <alignment horizontal="left" vertical="top" indent="1"/>
    </xf>
    <xf numFmtId="0" fontId="21" fillId="10" borderId="0" xfId="0" applyFont="1"/>
    <xf numFmtId="0" fontId="20" fillId="9" borderId="0" xfId="3" applyFont="1" applyFill="1" applyAlignment="1">
      <alignment horizontal="left" vertical="center" indent="1"/>
    </xf>
    <xf numFmtId="0" fontId="15" fillId="4" borderId="5" xfId="0" applyFont="1" applyFill="1" applyBorder="1" applyAlignment="1">
      <alignment horizontal="left" vertical="center" indent="1"/>
    </xf>
    <xf numFmtId="0" fontId="3" fillId="10" borderId="4" xfId="0" applyFont="1" applyBorder="1"/>
    <xf numFmtId="0" fontId="16" fillId="4" borderId="0" xfId="2" applyAlignment="1"/>
    <xf numFmtId="0" fontId="9" fillId="6" borderId="0" xfId="3" applyFill="1" applyAlignment="1">
      <alignment horizontal="left" vertical="center" indent="2"/>
    </xf>
    <xf numFmtId="0" fontId="9" fillId="5" borderId="0" xfId="3" applyFill="1" applyAlignment="1">
      <alignment horizontal="left" vertical="center" indent="2"/>
    </xf>
    <xf numFmtId="0" fontId="9" fillId="7" borderId="0" xfId="3" applyFill="1" applyAlignment="1">
      <alignment horizontal="left" vertical="center" indent="2"/>
    </xf>
    <xf numFmtId="0" fontId="9" fillId="4" borderId="0" xfId="3" applyFill="1" applyAlignment="1">
      <alignment horizontal="left" vertical="center" indent="2"/>
    </xf>
    <xf numFmtId="0" fontId="0" fillId="11" borderId="2" xfId="0" applyFill="1" applyBorder="1" applyAlignment="1">
      <alignment horizontal="left" vertical="center" indent="2"/>
    </xf>
    <xf numFmtId="9" fontId="0" fillId="11" borderId="2" xfId="0" applyNumberFormat="1" applyFill="1" applyBorder="1" applyAlignment="1">
      <alignment horizontal="right" vertical="center" indent="2"/>
    </xf>
    <xf numFmtId="0" fontId="22" fillId="12" borderId="0" xfId="3" applyFont="1" applyFill="1" applyAlignment="1">
      <alignment horizontal="left"/>
    </xf>
    <xf numFmtId="0" fontId="22" fillId="12" borderId="0" xfId="3" applyFont="1" applyFill="1" applyAlignment="1">
      <alignment horizontal="center"/>
    </xf>
    <xf numFmtId="0" fontId="10" fillId="9" borderId="3" xfId="3" applyFont="1" applyFill="1" applyBorder="1" applyAlignment="1">
      <alignment horizontal="left" vertical="center" indent="1"/>
    </xf>
    <xf numFmtId="0" fontId="15" fillId="4" borderId="7" xfId="0" applyFont="1" applyFill="1" applyBorder="1" applyAlignment="1">
      <alignment horizontal="left" vertical="center" indent="1"/>
    </xf>
    <xf numFmtId="0" fontId="27" fillId="9" borderId="3" xfId="3" applyFont="1" applyFill="1" applyBorder="1">
      <alignment vertical="center"/>
    </xf>
    <xf numFmtId="0" fontId="19" fillId="10" borderId="0" xfId="0" applyFont="1" applyAlignment="1">
      <alignment wrapText="1"/>
    </xf>
    <xf numFmtId="0" fontId="20" fillId="9" borderId="3" xfId="3" applyFont="1" applyFill="1" applyBorder="1" applyAlignment="1">
      <alignment horizontal="left" vertical="center" indent="1"/>
    </xf>
    <xf numFmtId="0" fontId="29" fillId="9" borderId="0" xfId="3" applyFont="1" applyFill="1">
      <alignment vertical="center"/>
    </xf>
    <xf numFmtId="0" fontId="0" fillId="10" borderId="0" xfId="0" applyAlignment="1">
      <alignment vertical="center"/>
    </xf>
    <xf numFmtId="0" fontId="31" fillId="8" borderId="0" xfId="2" applyFont="1" applyFill="1" applyAlignment="1">
      <alignment horizontal="center" vertical="center"/>
    </xf>
    <xf numFmtId="0" fontId="32" fillId="8" borderId="0" xfId="0" applyFont="1" applyFill="1" applyAlignment="1">
      <alignment horizontal="left" vertical="top" indent="1"/>
    </xf>
    <xf numFmtId="0" fontId="33" fillId="10" borderId="0" xfId="0" applyFont="1"/>
    <xf numFmtId="0" fontId="32" fillId="8" borderId="0" xfId="0" applyFont="1" applyFill="1" applyAlignment="1">
      <alignment horizontal="left" vertical="top" wrapText="1" indent="1"/>
    </xf>
    <xf numFmtId="0" fontId="32" fillId="8" borderId="0" xfId="0" applyFont="1" applyFill="1" applyAlignment="1">
      <alignment horizontal="left" vertical="top" wrapText="1"/>
    </xf>
    <xf numFmtId="0" fontId="33" fillId="10" borderId="0" xfId="0" applyFont="1" applyAlignment="1">
      <alignment wrapText="1"/>
    </xf>
    <xf numFmtId="0" fontId="34" fillId="10" borderId="0" xfId="0" applyFont="1" applyAlignment="1">
      <alignment vertical="center" wrapText="1"/>
    </xf>
    <xf numFmtId="0" fontId="1" fillId="10" borderId="0" xfId="0" applyFont="1" applyAlignment="1">
      <alignment wrapText="1"/>
    </xf>
    <xf numFmtId="0" fontId="0" fillId="11" borderId="5" xfId="0" applyFill="1" applyBorder="1" applyAlignment="1">
      <alignment horizontal="left" vertical="center" indent="2"/>
    </xf>
    <xf numFmtId="9" fontId="0" fillId="11" borderId="5" xfId="0" applyNumberFormat="1" applyFill="1" applyBorder="1" applyAlignment="1">
      <alignment horizontal="right" vertical="center" indent="2"/>
    </xf>
    <xf numFmtId="0" fontId="33" fillId="10" borderId="6" xfId="0" applyFont="1" applyBorder="1"/>
    <xf numFmtId="0" fontId="35" fillId="10" borderId="0" xfId="0" applyFont="1" applyAlignment="1">
      <alignment vertical="center" wrapText="1"/>
    </xf>
    <xf numFmtId="0" fontId="35" fillId="10" borderId="0" xfId="0" applyFont="1" applyAlignment="1">
      <alignment wrapText="1"/>
    </xf>
    <xf numFmtId="0" fontId="36" fillId="10" borderId="0" xfId="0" applyFont="1" applyAlignment="1">
      <alignment vertical="center" wrapText="1"/>
    </xf>
    <xf numFmtId="0" fontId="23" fillId="6" borderId="9" xfId="4" applyFont="1" applyFill="1" applyBorder="1">
      <alignment horizontal="left" vertical="center" indent="1"/>
    </xf>
    <xf numFmtId="0" fontId="15" fillId="4" borderId="10" xfId="0" applyFont="1" applyFill="1" applyBorder="1" applyAlignment="1">
      <alignment horizontal="left" vertical="center" indent="1"/>
    </xf>
    <xf numFmtId="0" fontId="5" fillId="11" borderId="12" xfId="0" applyFont="1" applyFill="1" applyBorder="1" applyAlignment="1">
      <alignment horizontal="left" vertical="center" indent="1"/>
    </xf>
    <xf numFmtId="0" fontId="5" fillId="11" borderId="12" xfId="0" applyFont="1" applyFill="1" applyBorder="1" applyAlignment="1">
      <alignment horizontal="left" vertical="center" indent="2"/>
    </xf>
    <xf numFmtId="0" fontId="23" fillId="5" borderId="14" xfId="4" applyFont="1" applyFill="1" applyBorder="1">
      <alignment horizontal="left" vertical="center" indent="1"/>
    </xf>
    <xf numFmtId="0" fontId="19" fillId="12" borderId="15" xfId="4" applyFont="1" applyFill="1" applyBorder="1">
      <alignment horizontal="left" vertical="center" indent="1"/>
    </xf>
    <xf numFmtId="165" fontId="19" fillId="12" borderId="15" xfId="4" applyNumberFormat="1" applyFont="1" applyFill="1" applyBorder="1">
      <alignment horizontal="left" vertical="center" indent="1"/>
    </xf>
    <xf numFmtId="0" fontId="19" fillId="12" borderId="16" xfId="4" applyFont="1" applyFill="1" applyBorder="1">
      <alignment horizontal="left" vertical="center" indent="1"/>
    </xf>
    <xf numFmtId="0" fontId="23" fillId="5" borderId="9" xfId="4" applyFont="1" applyFill="1" applyBorder="1">
      <alignment horizontal="left" vertical="center" indent="1"/>
    </xf>
    <xf numFmtId="0" fontId="19" fillId="12" borderId="22" xfId="4" applyFont="1" applyFill="1" applyBorder="1">
      <alignment horizontal="left" vertical="center" indent="1"/>
    </xf>
    <xf numFmtId="0" fontId="19" fillId="12" borderId="23" xfId="4" applyFont="1" applyFill="1" applyBorder="1">
      <alignment horizontal="left" vertical="center" indent="1"/>
    </xf>
    <xf numFmtId="165" fontId="19" fillId="12" borderId="23" xfId="4" applyNumberFormat="1" applyFont="1" applyFill="1" applyBorder="1">
      <alignment horizontal="left" vertical="center" indent="1"/>
    </xf>
    <xf numFmtId="0" fontId="19" fillId="12" borderId="24" xfId="4" applyFont="1" applyFill="1" applyBorder="1">
      <alignment horizontal="left" vertical="center" indent="1"/>
    </xf>
    <xf numFmtId="0" fontId="23" fillId="5" borderId="25" xfId="4" applyFont="1" applyFill="1" applyBorder="1">
      <alignment horizontal="left" vertical="center" indent="1"/>
    </xf>
    <xf numFmtId="0" fontId="23" fillId="7" borderId="14" xfId="4" applyFont="1" applyFill="1" applyBorder="1">
      <alignment horizontal="left" vertical="center" indent="1"/>
    </xf>
    <xf numFmtId="0" fontId="23" fillId="6" borderId="14" xfId="4" applyFont="1" applyFill="1" applyBorder="1">
      <alignment horizontal="left" vertical="center" indent="1"/>
    </xf>
    <xf numFmtId="0" fontId="19" fillId="12" borderId="15" xfId="4" applyFont="1" applyFill="1" applyBorder="1" applyAlignment="1">
      <alignment horizontal="center" vertical="center"/>
    </xf>
    <xf numFmtId="165" fontId="19" fillId="12" borderId="15" xfId="4" applyNumberFormat="1" applyFont="1" applyFill="1" applyBorder="1" applyAlignment="1">
      <alignment horizontal="center" vertical="center"/>
    </xf>
    <xf numFmtId="0" fontId="19" fillId="12" borderId="16" xfId="4" applyFont="1" applyFill="1" applyBorder="1" applyAlignment="1">
      <alignment horizontal="center" vertical="center"/>
    </xf>
    <xf numFmtId="0" fontId="19" fillId="12" borderId="14" xfId="4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left" vertical="center" indent="2"/>
    </xf>
    <xf numFmtId="0" fontId="39" fillId="4" borderId="0" xfId="0" applyFont="1" applyFill="1" applyAlignment="1">
      <alignment horizontal="left" vertical="top" indent="1"/>
    </xf>
    <xf numFmtId="0" fontId="15" fillId="4" borderId="17" xfId="0" applyFont="1" applyFill="1" applyBorder="1" applyAlignment="1">
      <alignment horizontal="left" vertical="center" indent="1"/>
    </xf>
    <xf numFmtId="0" fontId="26" fillId="11" borderId="19" xfId="0" applyFont="1" applyFill="1" applyBorder="1" applyAlignment="1">
      <alignment horizontal="left" vertical="center" indent="1"/>
    </xf>
    <xf numFmtId="0" fontId="19" fillId="12" borderId="14" xfId="4" applyFont="1" applyFill="1" applyBorder="1">
      <alignment horizontal="left" vertical="center" indent="1"/>
    </xf>
    <xf numFmtId="0" fontId="26" fillId="11" borderId="11" xfId="0" applyFont="1" applyFill="1" applyBorder="1" applyAlignment="1">
      <alignment horizontal="left" vertical="center" indent="1"/>
    </xf>
    <xf numFmtId="0" fontId="26" fillId="11" borderId="19" xfId="0" applyFont="1" applyFill="1" applyBorder="1" applyAlignment="1">
      <alignment horizontal="left" vertical="center" indent="2"/>
    </xf>
    <xf numFmtId="0" fontId="23" fillId="7" borderId="9" xfId="4" applyFont="1" applyFill="1" applyBorder="1">
      <alignment horizontal="left" vertical="center" indent="1"/>
    </xf>
    <xf numFmtId="0" fontId="15" fillId="4" borderId="4" xfId="0" applyFont="1" applyFill="1" applyBorder="1" applyAlignment="1">
      <alignment horizontal="left" vertical="center" indent="1"/>
    </xf>
    <xf numFmtId="0" fontId="29" fillId="9" borderId="32" xfId="3" applyFont="1" applyFill="1" applyBorder="1">
      <alignment vertical="center"/>
    </xf>
    <xf numFmtId="0" fontId="19" fillId="12" borderId="15" xfId="4" applyFont="1" applyFill="1" applyBorder="1" applyAlignment="1">
      <alignment horizontal="left"/>
    </xf>
    <xf numFmtId="165" fontId="19" fillId="12" borderId="15" xfId="4" applyNumberFormat="1" applyFont="1" applyFill="1" applyBorder="1" applyAlignment="1">
      <alignment horizontal="left"/>
    </xf>
    <xf numFmtId="0" fontId="19" fillId="12" borderId="16" xfId="4" applyFont="1" applyFill="1" applyBorder="1" applyAlignment="1">
      <alignment horizontal="left"/>
    </xf>
    <xf numFmtId="0" fontId="18" fillId="11" borderId="19" xfId="0" applyFont="1" applyFill="1" applyBorder="1" applyAlignment="1">
      <alignment horizontal="left" vertical="center" indent="1"/>
    </xf>
    <xf numFmtId="0" fontId="17" fillId="11" borderId="19" xfId="0" applyFont="1" applyFill="1" applyBorder="1" applyAlignment="1">
      <alignment horizontal="left" vertical="center" indent="2"/>
    </xf>
    <xf numFmtId="0" fontId="5" fillId="11" borderId="19" xfId="0" applyFont="1" applyFill="1" applyBorder="1" applyAlignment="1">
      <alignment horizontal="left" vertical="center" indent="1"/>
    </xf>
    <xf numFmtId="0" fontId="18" fillId="11" borderId="19" xfId="0" applyFont="1" applyFill="1" applyBorder="1" applyAlignment="1">
      <alignment horizontal="left" vertical="center" indent="2"/>
    </xf>
    <xf numFmtId="0" fontId="0" fillId="11" borderId="2" xfId="0" applyFill="1" applyBorder="1" applyAlignment="1">
      <alignment horizontal="left" vertical="center" indent="1"/>
    </xf>
    <xf numFmtId="0" fontId="15" fillId="4" borderId="26" xfId="0" applyFont="1" applyFill="1" applyBorder="1" applyAlignment="1">
      <alignment horizontal="left" vertical="center" indent="1"/>
    </xf>
    <xf numFmtId="0" fontId="0" fillId="10" borderId="0" xfId="0" applyAlignment="1">
      <alignment horizontal="left" indent="1"/>
    </xf>
    <xf numFmtId="0" fontId="3" fillId="10" borderId="0" xfId="0" applyFont="1" applyAlignment="1">
      <alignment horizontal="left"/>
    </xf>
    <xf numFmtId="0" fontId="28" fillId="4" borderId="0" xfId="0" applyFont="1" applyFill="1" applyAlignment="1">
      <alignment horizontal="center" vertical="top"/>
    </xf>
    <xf numFmtId="0" fontId="5" fillId="10" borderId="0" xfId="0" applyFont="1" applyAlignment="1">
      <alignment horizontal="center"/>
    </xf>
    <xf numFmtId="0" fontId="3" fillId="10" borderId="0" xfId="0" applyFont="1" applyAlignment="1">
      <alignment horizontal="center"/>
    </xf>
    <xf numFmtId="0" fontId="12" fillId="8" borderId="0" xfId="1" applyFont="1" applyFill="1" applyAlignment="1">
      <alignment horizontal="left" vertical="top" indent="1"/>
    </xf>
    <xf numFmtId="0" fontId="3" fillId="10" borderId="0" xfId="0" applyFont="1" applyAlignment="1">
      <alignment horizontal="left" indent="1"/>
    </xf>
    <xf numFmtId="0" fontId="38" fillId="4" borderId="0" xfId="2" applyFont="1" applyAlignment="1">
      <alignment horizontal="center" wrapText="1"/>
    </xf>
    <xf numFmtId="164" fontId="13" fillId="13" borderId="17" xfId="0" applyNumberFormat="1" applyFont="1" applyFill="1" applyBorder="1" applyAlignment="1">
      <alignment horizontal="right" vertical="center"/>
    </xf>
    <xf numFmtId="164" fontId="13" fillId="13" borderId="13" xfId="0" applyNumberFormat="1" applyFont="1" applyFill="1" applyBorder="1" applyAlignment="1">
      <alignment horizontal="right" vertical="center"/>
    </xf>
    <xf numFmtId="164" fontId="13" fillId="11" borderId="18" xfId="0" applyNumberFormat="1" applyFont="1" applyFill="1" applyBorder="1" applyAlignment="1">
      <alignment horizontal="right" vertical="center"/>
    </xf>
    <xf numFmtId="164" fontId="13" fillId="11" borderId="19" xfId="0" applyNumberFormat="1" applyFont="1" applyFill="1" applyBorder="1" applyAlignment="1">
      <alignment horizontal="right" vertical="center"/>
    </xf>
    <xf numFmtId="164" fontId="13" fillId="11" borderId="20" xfId="0" applyNumberFormat="1" applyFont="1" applyFill="1" applyBorder="1" applyAlignment="1">
      <alignment horizontal="right" vertical="center"/>
    </xf>
    <xf numFmtId="164" fontId="13" fillId="11" borderId="21" xfId="0" applyNumberFormat="1" applyFont="1" applyFill="1" applyBorder="1" applyAlignment="1">
      <alignment horizontal="right" vertical="center"/>
    </xf>
    <xf numFmtId="164" fontId="13" fillId="11" borderId="27" xfId="0" applyNumberFormat="1" applyFont="1" applyFill="1" applyBorder="1" applyAlignment="1">
      <alignment horizontal="right" vertical="center"/>
    </xf>
    <xf numFmtId="164" fontId="13" fillId="11" borderId="28" xfId="0" applyNumberFormat="1" applyFont="1" applyFill="1" applyBorder="1" applyAlignment="1">
      <alignment horizontal="right" vertical="center"/>
    </xf>
    <xf numFmtId="164" fontId="13" fillId="11" borderId="29" xfId="0" applyNumberFormat="1" applyFont="1" applyFill="1" applyBorder="1" applyAlignment="1">
      <alignment horizontal="right" vertical="center"/>
    </xf>
    <xf numFmtId="164" fontId="0" fillId="13" borderId="13" xfId="0" applyNumberFormat="1" applyFill="1" applyBorder="1" applyAlignment="1">
      <alignment horizontal="right" vertical="center"/>
    </xf>
    <xf numFmtId="164" fontId="0" fillId="11" borderId="18" xfId="0" applyNumberFormat="1" applyFill="1" applyBorder="1" applyAlignment="1">
      <alignment horizontal="right" vertical="center"/>
    </xf>
    <xf numFmtId="164" fontId="13" fillId="11" borderId="20" xfId="0" applyNumberFormat="1" applyFont="1" applyFill="1" applyBorder="1" applyAlignment="1">
      <alignment vertical="center"/>
    </xf>
    <xf numFmtId="164" fontId="0" fillId="11" borderId="20" xfId="0" applyNumberFormat="1" applyFill="1" applyBorder="1" applyAlignment="1">
      <alignment vertical="center"/>
    </xf>
    <xf numFmtId="164" fontId="0" fillId="11" borderId="21" xfId="0" applyNumberFormat="1" applyFill="1" applyBorder="1" applyAlignment="1">
      <alignment vertical="center"/>
    </xf>
    <xf numFmtId="164" fontId="0" fillId="13" borderId="17" xfId="0" applyNumberFormat="1" applyFill="1" applyBorder="1" applyAlignment="1">
      <alignment horizontal="right" vertical="center"/>
    </xf>
    <xf numFmtId="164" fontId="0" fillId="11" borderId="20" xfId="0" applyNumberFormat="1" applyFill="1" applyBorder="1" applyAlignment="1">
      <alignment horizontal="right" vertical="center"/>
    </xf>
    <xf numFmtId="164" fontId="0" fillId="11" borderId="21" xfId="0" applyNumberFormat="1" applyFill="1" applyBorder="1" applyAlignment="1">
      <alignment horizontal="right" vertical="center"/>
    </xf>
    <xf numFmtId="164" fontId="24" fillId="11" borderId="20" xfId="0" applyNumberFormat="1" applyFont="1" applyFill="1" applyBorder="1" applyAlignment="1">
      <alignment horizontal="right" vertical="center"/>
    </xf>
    <xf numFmtId="164" fontId="0" fillId="11" borderId="19" xfId="0" applyNumberFormat="1" applyFill="1" applyBorder="1" applyAlignment="1">
      <alignment horizontal="right" vertical="center"/>
    </xf>
    <xf numFmtId="164" fontId="14" fillId="11" borderId="5" xfId="0" applyNumberFormat="1" applyFont="1" applyFill="1" applyBorder="1" applyAlignment="1">
      <alignment horizontal="right" vertical="center"/>
    </xf>
    <xf numFmtId="164" fontId="14" fillId="11" borderId="2" xfId="0" applyNumberFormat="1" applyFont="1" applyFill="1" applyBorder="1" applyAlignment="1">
      <alignment horizontal="right" vertical="center"/>
    </xf>
    <xf numFmtId="164" fontId="25" fillId="11" borderId="2" xfId="0" applyNumberFormat="1" applyFont="1" applyFill="1" applyBorder="1" applyAlignment="1">
      <alignment horizontal="right"/>
    </xf>
    <xf numFmtId="164" fontId="25" fillId="11" borderId="8" xfId="0" applyNumberFormat="1" applyFont="1" applyFill="1" applyBorder="1" applyAlignment="1">
      <alignment horizontal="right"/>
    </xf>
    <xf numFmtId="164" fontId="14" fillId="11" borderId="31" xfId="0" applyNumberFormat="1" applyFont="1" applyFill="1" applyBorder="1" applyAlignment="1">
      <alignment horizontal="right"/>
    </xf>
    <xf numFmtId="164" fontId="14" fillId="11" borderId="2" xfId="0" applyNumberFormat="1" applyFont="1" applyFill="1" applyBorder="1" applyAlignment="1">
      <alignment horizontal="right"/>
    </xf>
    <xf numFmtId="164" fontId="14" fillId="11" borderId="6" xfId="0" applyNumberFormat="1" applyFont="1" applyFill="1" applyBorder="1" applyAlignment="1">
      <alignment horizontal="right"/>
    </xf>
    <xf numFmtId="164" fontId="14" fillId="11" borderId="8" xfId="0" applyNumberFormat="1" applyFont="1" applyFill="1" applyBorder="1" applyAlignment="1">
      <alignment horizontal="right"/>
    </xf>
    <xf numFmtId="164" fontId="14" fillId="11" borderId="5" xfId="0" applyNumberFormat="1" applyFont="1" applyFill="1" applyBorder="1" applyAlignment="1">
      <alignment horizontal="right"/>
    </xf>
    <xf numFmtId="164" fontId="13" fillId="11" borderId="34" xfId="0" applyNumberFormat="1" applyFont="1" applyFill="1" applyBorder="1"/>
    <xf numFmtId="164" fontId="0" fillId="11" borderId="33" xfId="0" applyNumberFormat="1" applyFill="1" applyBorder="1"/>
    <xf numFmtId="164" fontId="0" fillId="11" borderId="19" xfId="0" applyNumberFormat="1" applyFill="1" applyBorder="1" applyAlignment="1">
      <alignment vertical="center"/>
    </xf>
    <xf numFmtId="164" fontId="0" fillId="11" borderId="34" xfId="0" applyNumberFormat="1" applyFill="1" applyBorder="1"/>
    <xf numFmtId="164" fontId="0" fillId="10" borderId="0" xfId="0" applyNumberFormat="1" applyAlignment="1">
      <alignment horizontal="right"/>
    </xf>
    <xf numFmtId="164" fontId="0" fillId="11" borderId="2" xfId="0" applyNumberFormat="1" applyFill="1" applyBorder="1" applyAlignment="1">
      <alignment horizontal="right" vertical="center" indent="2"/>
    </xf>
    <xf numFmtId="164" fontId="0" fillId="11" borderId="5" xfId="0" applyNumberFormat="1" applyFill="1" applyBorder="1" applyAlignment="1">
      <alignment horizontal="right" vertical="center" indent="2"/>
    </xf>
    <xf numFmtId="0" fontId="22" fillId="12" borderId="0" xfId="3" applyNumberFormat="1" applyFont="1" applyFill="1" applyAlignment="1">
      <alignment horizontal="center"/>
    </xf>
    <xf numFmtId="0" fontId="19" fillId="10" borderId="0" xfId="0" applyFont="1" applyAlignment="1">
      <alignment wrapText="1"/>
    </xf>
    <xf numFmtId="0" fontId="19" fillId="10" borderId="0" xfId="0" applyFont="1"/>
    <xf numFmtId="0" fontId="16" fillId="4" borderId="0" xfId="2" applyAlignment="1">
      <alignment horizontal="left" indent="1"/>
    </xf>
    <xf numFmtId="0" fontId="11" fillId="4" borderId="0" xfId="5" applyFill="1" applyAlignment="1">
      <alignment horizontal="left" vertical="top" indent="1"/>
    </xf>
    <xf numFmtId="0" fontId="37" fillId="4" borderId="0" xfId="5" applyFont="1" applyFill="1" applyAlignment="1">
      <alignment horizontal="left" vertical="top" indent="1"/>
    </xf>
    <xf numFmtId="0" fontId="16" fillId="4" borderId="0" xfId="2" applyAlignment="1">
      <alignment horizontal="right" vertical="center" indent="3"/>
    </xf>
    <xf numFmtId="0" fontId="30" fillId="11" borderId="0" xfId="0" applyFont="1" applyFill="1" applyAlignment="1">
      <alignment horizontal="center"/>
    </xf>
  </cellXfs>
  <cellStyles count="6"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4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border outline="0">
        <bottom style="medium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numFmt numFmtId="164" formatCode="#,##0.00\ &quot;€&quot;;[Red]\-#,##0.00\ &quot;€&quot;"/>
    </dxf>
    <dxf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7558519241921"/>
        </top>
        <bottom/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€&quot;;[Red]\-#,##0.00\ &quot;€&quot;"/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/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/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/>
        <horizontal/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top style="medium">
          <color theme="6" tint="0.39997558519241921"/>
        </top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4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/>
        <horizontal/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4" formatCode="#,##0.00\ &quot;€&quot;;[Red]\-#,##0.00\ &quot;€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88402966399123"/>
        </left>
        <right style="medium">
          <color theme="6" tint="0.39985351115451523"/>
        </right>
        <top style="medium">
          <color theme="6" tint="0.39994506668294322"/>
        </top>
        <bottom style="medium">
          <color theme="6" tint="0.39985351115451523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 style="medium">
          <color theme="6" tint="0.39988402966399123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/>
        <right style="medium">
          <color theme="6" tint="0.39994506668294322"/>
        </right>
        <top/>
        <bottom/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1"/>
      </font>
      <fill>
        <patternFill patternType="solid">
          <fgColor theme="0" tint="-0.14993743705557422"/>
          <bgColor theme="0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 val="0"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0"/>
      </font>
      <fill>
        <patternFill>
          <fgColor theme="3"/>
          <bgColor theme="3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 style="medium">
          <color theme="6" tint="0.39994506668294322"/>
        </top>
        <bottom/>
        <vertical style="medium">
          <color theme="6" tint="0.39991454817346722"/>
        </vertical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6" tint="0.39994506668294322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</dxfs>
  <tableStyles count="1" defaultTableStyle="TableStyleMedium2" defaultPivotStyle="PivotStyleLight16">
    <tableStyle name="Stima dettagliata delle spese Tabella 2" pivot="0" count="7" xr9:uid="{00000000-0011-0000-FFFF-FFFF00000000}">
      <tableStyleElement type="wholeTable" dxfId="459"/>
      <tableStyleElement type="headerRow" dxfId="458"/>
      <tableStyleElement type="totalRow" dxfId="457"/>
      <tableStyleElement type="firstColumn" dxfId="456"/>
      <tableStyleElement type="lastColumn" dxfId="455"/>
      <tableStyleElement type="firstRowStripe" size="9" dxfId="454"/>
      <tableStyleElement type="firstColumnStripe" dxfId="453"/>
    </tableStyle>
  </tableStyles>
  <colors>
    <mruColors>
      <color rgb="FF3B893D"/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Spese mensili</a:t>
            </a:r>
          </a:p>
        </c:rich>
      </c:tx>
      <c:layout>
        <c:manualLayout>
          <c:xMode val="edge"/>
          <c:yMode val="edge"/>
          <c:x val="1.0996591979294411E-2"/>
          <c:y val="8.90320567982460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Pianificate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'SPESE PIANIFICATE'!$C$36:$N$36</c:f>
              <c:numCache>
                <c:formatCode>#,##0.00\ "€";[Red]\-#,##0.00\ "€"</c:formatCode>
                <c:ptCount val="12"/>
                <c:pt idx="0">
                  <c:v>131420</c:v>
                </c:pt>
                <c:pt idx="1">
                  <c:v>126420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Effettive</c:v>
          </c:tx>
          <c:spPr>
            <a:solidFill>
              <a:schemeClr val="accent4">
                <a:alpha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'SPESE EFFETTIVE'!$C$36:$N$36</c:f>
              <c:numCache>
                <c:formatCode>#,##0.00\ "€";[Red]\-#,##0.00\ "€"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2146616"/>
        <c:axId val="362147008"/>
      </c:barChart>
      <c:lineChart>
        <c:grouping val="standard"/>
        <c:varyColors val="0"/>
        <c:ser>
          <c:idx val="0"/>
          <c:order val="0"/>
          <c:tx>
            <c:v>Scostamento</c:v>
          </c:tx>
          <c:spPr>
            <a:ln w="28575" cap="rnd">
              <a:solidFill>
                <a:schemeClr val="accent3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'VARIAZIONI DI SPESA'!$C$36:$N$36</c:f>
              <c:numCache>
                <c:formatCode>#,##0.00\ "€";[Red]\-#,##0.00\ "€"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46616"/>
        <c:axId val="362147008"/>
      </c:lineChart>
      <c:catAx>
        <c:axId val="36214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7008"/>
        <c:crosses val="autoZero"/>
        <c:auto val="1"/>
        <c:lblAlgn val="ctr"/>
        <c:lblOffset val="100"/>
        <c:noMultiLvlLbl val="0"/>
      </c:catAx>
      <c:valAx>
        <c:axId val="362147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&quot;€&quot;;[Red]\-#,##0\ &quot;€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6616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4.1853475435826903E-2"/>
                <c:y val="0.11317096082764759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591667626513452E-4"/>
          <c:y val="5.3074322488831559E-2"/>
          <c:w val="0.33878368215294763"/>
          <c:h val="3.579789723106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47698573031214"/>
          <c:y val="0.17330539881195353"/>
          <c:w val="0.79968138263906308"/>
          <c:h val="0.718534635133794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'ANALISI DELLE SPESE'!$C$5</c:f>
              <c:strCache>
                <c:ptCount val="1"/>
                <c:pt idx="0">
                  <c:v>Spese pianificate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f>'ANALISI DELLE SPESE'!$B$6:$B$9</c:f>
              <c:strCache>
                <c:ptCount val="4"/>
                <c:pt idx="0">
                  <c:v>Costi dipendenti</c:v>
                </c:pt>
                <c:pt idx="1">
                  <c:v>Costi di ufficio</c:v>
                </c:pt>
                <c:pt idx="2">
                  <c:v>Costi di marketing</c:v>
                </c:pt>
                <c:pt idx="3">
                  <c:v>Formazione/viaggi</c:v>
                </c:pt>
              </c:strCache>
            </c:strRef>
          </c:cat>
          <c:val>
            <c:numRef>
              <c:f>'ANALISI DELLE SPESE'!$C$6:$C$9</c:f>
              <c:numCache>
                <c:formatCode>#,##0.00\ "€";[Red]\-#,##0.00\ "€"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85-485F-B818-D5944CB69AAB}"/>
            </c:ext>
          </c:extLst>
        </c:ser>
        <c:ser>
          <c:idx val="0"/>
          <c:order val="1"/>
          <c:tx>
            <c:strRef>
              <c:f>'ANALISI DELLE SPESE'!$D$5</c:f>
              <c:strCache>
                <c:ptCount val="1"/>
                <c:pt idx="0">
                  <c:v>Spese effettive</c:v>
                </c:pt>
              </c:strCache>
            </c:strRef>
          </c:tx>
          <c:spPr>
            <a:solidFill>
              <a:schemeClr val="accent4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85-485F-B818-D5944CB69A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85-485F-B818-D5944CB69A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85-485F-B818-D5944CB69A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85-485F-B818-D5944CB69AAB}"/>
              </c:ext>
            </c:extLst>
          </c:dPt>
          <c:cat>
            <c:strRef>
              <c:f>'ANALISI DELLE SPESE'!$B$6:$B$9</c:f>
              <c:strCache>
                <c:ptCount val="4"/>
                <c:pt idx="0">
                  <c:v>Costi dipendenti</c:v>
                </c:pt>
                <c:pt idx="1">
                  <c:v>Costi di ufficio</c:v>
                </c:pt>
                <c:pt idx="2">
                  <c:v>Costi di marketing</c:v>
                </c:pt>
                <c:pt idx="3">
                  <c:v>Formazione/viaggi</c:v>
                </c:pt>
              </c:strCache>
            </c:strRef>
          </c:cat>
          <c:val>
            <c:numRef>
              <c:f>'ANALISI DELLE SPESE'!$D$6:$D$9</c:f>
              <c:numCache>
                <c:formatCode>#,##0.00\ "€";[Red]\-#,##0.00\ "€"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85-485F-B818-D5944CB6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6845712"/>
        <c:axId val="716855552"/>
      </c:barChart>
      <c:valAx>
        <c:axId val="716855552"/>
        <c:scaling>
          <c:orientation val="minMax"/>
          <c:max val="14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;[Red]\-#,##0\ &quot;€&quot;\ 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45712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0.88923701186841542"/>
                <c:y val="0.9411975226384725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71684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5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972101080870553E-3"/>
          <c:y val="1.0416663818716148E-2"/>
          <c:w val="0.29634907228550156"/>
          <c:h val="5.5844254198311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34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43.xml.rels>&#65279;<?xml version="1.0" encoding="utf-8"?><Relationships xmlns="http://schemas.openxmlformats.org/package/2006/relationships"><Relationship Type="http://schemas.openxmlformats.org/officeDocument/2006/relationships/chart" Target="/xl/charts/chart21.xml" Id="rId3" /><Relationship Type="http://schemas.openxmlformats.org/officeDocument/2006/relationships/image" Target="/xl/media/image22.png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27504</xdr:colOff>
      <xdr:row>3</xdr:row>
      <xdr:rowOff>0</xdr:rowOff>
    </xdr:from>
    <xdr:to>
      <xdr:col>20</xdr:col>
      <xdr:colOff>962</xdr:colOff>
      <xdr:row>12</xdr:row>
      <xdr:rowOff>192640</xdr:rowOff>
    </xdr:to>
    <xdr:sp macro="" textlink="">
      <xdr:nvSpPr>
        <xdr:cNvPr id="3" name="Fumetto: Rettangolo 2" descr="Suggerimento: COME UTILIZZARE QUESTO MODELLO &#10;Inserire i dati nelle celle vuote nei fogli di lavoro di SPESE PIANIFICATE e SPESE EFFETTIVE e saranno calcolati i valori SCOSTAMENTI DI SPESE e ANALISI DELLE SPESE. Se si aggiunge una riga in un foglio, gli altri fogli devono corrispondere.">
          <a:extLst>
            <a:ext uri="{FF2B5EF4-FFF2-40B4-BE49-F238E27FC236}">
              <a16:creationId xmlns:a16="http://schemas.microsoft.com/office/drawing/2014/main" id="{26EBCE28-31AF-4664-B39F-77F2857D060F}"/>
            </a:ext>
          </a:extLst>
        </xdr:cNvPr>
        <xdr:cNvSpPr/>
      </xdr:nvSpPr>
      <xdr:spPr>
        <a:xfrm>
          <a:off x="15629454" y="1257300"/>
          <a:ext cx="1935608" cy="3288265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accent3">
            <a:lumMod val="20000"/>
            <a:lumOff val="80000"/>
            <a:alpha val="6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pPr rtl="0"/>
          <a:r>
            <a:rPr lang="it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COME USARE QUESTO MODELLO</a:t>
          </a:r>
        </a:p>
        <a:p>
          <a:pPr rtl="0"/>
          <a:endParaRPr lang="en-US">
            <a:solidFill>
              <a:schemeClr val="tx2"/>
            </a:solidFill>
            <a:effectLst/>
          </a:endParaRPr>
        </a:p>
        <a:p>
          <a:pPr rtl="0"/>
          <a:r>
            <a:rPr lang="it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Inserire i dati nelle celle vuote nei fogli di lavoro di SPESE PIANIFICATE e SPESE EFFETTIVE e saranno calcolati i valori VARIAZIONI DI SPESA e ANALISI DELLE SPESE.  Se aggiungi una riga in un foglio, </a:t>
          </a:r>
          <a:r>
            <a:rPr lang="it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gli altri fogli devono corrispondere.</a:t>
          </a:r>
          <a:endParaRPr lang="en-US" sz="1100">
            <a:solidFill>
              <a:schemeClr val="tx2"/>
            </a:solidFill>
          </a:endParaRPr>
        </a:p>
      </xdr:txBody>
    </xdr:sp>
    <xdr:clientData fPrintsWithSheet="0"/>
  </xdr:twoCellAnchor>
  <xdr:twoCellAnchor editAs="oneCell">
    <xdr:from>
      <xdr:col>13</xdr:col>
      <xdr:colOff>314715</xdr:colOff>
      <xdr:row>1</xdr:row>
      <xdr:rowOff>37428</xdr:rowOff>
    </xdr:from>
    <xdr:to>
      <xdr:col>14</xdr:col>
      <xdr:colOff>758714</xdr:colOff>
      <xdr:row>2</xdr:row>
      <xdr:rowOff>113928</xdr:rowOff>
    </xdr:to>
    <xdr:pic>
      <xdr:nvPicPr>
        <xdr:cNvPr id="9" name="Immagine 18" descr="Logo segnaposto">
          <a:extLst>
            <a:ext uri="{FF2B5EF4-FFF2-40B4-BE49-F238E27FC236}">
              <a16:creationId xmlns:a16="http://schemas.microsoft.com/office/drawing/2014/main" id="{65A40888-9F83-43E7-A699-52663041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107040" y="342228"/>
          <a:ext cx="149174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257565</xdr:colOff>
      <xdr:row>1</xdr:row>
      <xdr:rowOff>27903</xdr:rowOff>
    </xdr:from>
    <xdr:to>
      <xdr:col>14</xdr:col>
      <xdr:colOff>701564</xdr:colOff>
      <xdr:row>2</xdr:row>
      <xdr:rowOff>104403</xdr:rowOff>
    </xdr:to>
    <xdr:pic>
      <xdr:nvPicPr>
        <xdr:cNvPr id="6" name="Immagine 18" descr="Logo segnaposto">
          <a:extLst>
            <a:ext uri="{FF2B5EF4-FFF2-40B4-BE49-F238E27FC236}">
              <a16:creationId xmlns:a16="http://schemas.microsoft.com/office/drawing/2014/main" id="{83DAF7B9-4C56-44AA-B3C3-38F1A49B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49890" y="332703"/>
          <a:ext cx="149174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256630</xdr:colOff>
      <xdr:row>1</xdr:row>
      <xdr:rowOff>30276</xdr:rowOff>
    </xdr:from>
    <xdr:to>
      <xdr:col>14</xdr:col>
      <xdr:colOff>700628</xdr:colOff>
      <xdr:row>2</xdr:row>
      <xdr:rowOff>106776</xdr:rowOff>
    </xdr:to>
    <xdr:pic>
      <xdr:nvPicPr>
        <xdr:cNvPr id="6" name="Immagine 18" descr="Logo segnaposto">
          <a:extLst>
            <a:ext uri="{FF2B5EF4-FFF2-40B4-BE49-F238E27FC236}">
              <a16:creationId xmlns:a16="http://schemas.microsoft.com/office/drawing/2014/main" id="{A2E6D019-45AC-4D89-848F-C976B43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48955" y="335076"/>
          <a:ext cx="1491748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12</xdr:row>
      <xdr:rowOff>200025</xdr:rowOff>
    </xdr:from>
    <xdr:to>
      <xdr:col>5</xdr:col>
      <xdr:colOff>2143125</xdr:colOff>
      <xdr:row>38</xdr:row>
      <xdr:rowOff>21653</xdr:rowOff>
    </xdr:to>
    <xdr:graphicFrame macro="">
      <xdr:nvGraphicFramePr>
        <xdr:cNvPr id="8" name="GraficoSpeseMensili" descr="Il grafico che mostra le spese pianificate, effettive e le variazioni delle spese mensili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904875</xdr:colOff>
      <xdr:row>1</xdr:row>
      <xdr:rowOff>1635</xdr:rowOff>
    </xdr:from>
    <xdr:to>
      <xdr:col>6</xdr:col>
      <xdr:colOff>12065</xdr:colOff>
      <xdr:row>1</xdr:row>
      <xdr:rowOff>548896</xdr:rowOff>
    </xdr:to>
    <xdr:pic>
      <xdr:nvPicPr>
        <xdr:cNvPr id="9" name="Immagine 18" descr="Logo segnaposto">
          <a:extLst>
            <a:ext uri="{FF2B5EF4-FFF2-40B4-BE49-F238E27FC236}">
              <a16:creationId xmlns:a16="http://schemas.microsoft.com/office/drawing/2014/main" id="{7C6D1F32-6273-47BA-873D-2E5A8467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58075" y="306435"/>
          <a:ext cx="1259840" cy="547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152399</xdr:colOff>
      <xdr:row>11</xdr:row>
      <xdr:rowOff>57150</xdr:rowOff>
    </xdr:from>
    <xdr:to>
      <xdr:col>5</xdr:col>
      <xdr:colOff>2009775</xdr:colOff>
      <xdr:row>11</xdr:row>
      <xdr:rowOff>3714751</xdr:rowOff>
    </xdr:to>
    <xdr:graphicFrame macro="">
      <xdr:nvGraphicFramePr>
        <xdr:cNvPr id="7" name="GraficoSpeseEffettive" descr="Il grafico a torta che mostra le spese effettive affrontate nelle diverse categorie">
          <a:extLst>
            <a:ext uri="{FF2B5EF4-FFF2-40B4-BE49-F238E27FC236}">
              <a16:creationId xmlns:a16="http://schemas.microsoft.com/office/drawing/2014/main" id="{FE109E8A-EB22-46B1-850C-BFD738E25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099C32-C8DE-492A-BEED-550CF2841A11}" name="TotaleEffettivi" displayName="TotalActual" ref="B35:O37" totalsRowShown="0" headerRowDxfId="169" dataDxfId="168" tableBorderDxfId="167">
  <autoFilter ref="B35:O37" xr:uid="{527B5B30-B216-4604-BE5A-D760DE033F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59818E9-FD74-4273-8957-D80FFA77ADE8}" name="Spese pianificate TOTALI" dataDxfId="166"/>
    <tableColumn id="2" xr3:uid="{ED08B701-BD0B-43EA-B6B5-8B23D583D505}" name="Gen" dataDxfId="165">
      <calculatedColumnFormula>SUM($C35:C$36)</calculatedColumnFormula>
    </tableColumn>
    <tableColumn id="3" xr3:uid="{953C450B-5235-4234-924F-53796609C439}" name="Feb" dataDxfId="164">
      <calculatedColumnFormula>SUM($C35:D$36)</calculatedColumnFormula>
    </tableColumn>
    <tableColumn id="4" xr3:uid="{A434CE91-3696-411F-8418-02228D13F12E}" name="Mar" dataDxfId="163">
      <calculatedColumnFormula>SUM($C35:E$36)</calculatedColumnFormula>
    </tableColumn>
    <tableColumn id="5" xr3:uid="{1E74C645-B91F-4CDB-9F55-6FEC8EAB0A64}" name="Apr" dataDxfId="162">
      <calculatedColumnFormula>SUM($C35:F$36)</calculatedColumnFormula>
    </tableColumn>
    <tableColumn id="6" xr3:uid="{A3B698F1-9EF3-489A-A70E-8E760D6B713B}" name="Mag" dataDxfId="161">
      <calculatedColumnFormula>SUM($C35:G$36)</calculatedColumnFormula>
    </tableColumn>
    <tableColumn id="7" xr3:uid="{6CEDC80B-5635-47E7-AA54-EBD827095F7C}" name="Giu" dataDxfId="160">
      <calculatedColumnFormula>SUM($C35:H$36)</calculatedColumnFormula>
    </tableColumn>
    <tableColumn id="8" xr3:uid="{A73C88FE-0ABF-4134-B6B0-043ECC9295D4}" name="Lug" dataDxfId="159">
      <calculatedColumnFormula>SUM($C35:I$36)</calculatedColumnFormula>
    </tableColumn>
    <tableColumn id="9" xr3:uid="{62119987-B16F-44A1-B80E-29460A9513CD}" name="Ago" dataDxfId="158">
      <calculatedColumnFormula>SUM($C35:J$36)</calculatedColumnFormula>
    </tableColumn>
    <tableColumn id="10" xr3:uid="{C84A40CE-DC4A-442E-883F-891CA5A9A166}" name="Set" dataDxfId="157">
      <calculatedColumnFormula>SUM($C35:K$36)</calculatedColumnFormula>
    </tableColumn>
    <tableColumn id="11" xr3:uid="{4DB975F1-C294-416D-81FB-A8070CC2C3BC}" name="Ott" dataDxfId="156">
      <calculatedColumnFormula>SUM($C35:L$36)</calculatedColumnFormula>
    </tableColumn>
    <tableColumn id="12" xr3:uid="{BC57DA11-9B5C-452D-8026-EF863D07E32E}" name="Nov" dataDxfId="155">
      <calculatedColumnFormula>SUM($C35:M$36)</calculatedColumnFormula>
    </tableColumn>
    <tableColumn id="13" xr3:uid="{904E02FB-FEA8-49B0-ABA0-9B659A7720D8}" name="Dic" dataDxfId="154">
      <calculatedColumnFormula>SUM($C35:N$36)</calculatedColumnFormula>
    </tableColumn>
    <tableColumn id="14" xr3:uid="{8C10E0BB-4735-4718-9538-C4AFB616D92A}" name="Anno" dataDxfId="153">
      <calculatedColumnFormula>EffettiviFormazioneEViaggi[[#Totals],[ANNO]]+MarketingEffettivi[[#Totals],[ANNO]]+EffettiviUfficio[[#Totals],[ANNO]]+EffettiviDipendenti[[#Totals],[ANNO]]</calculatedColumnFormula>
    </tableColumn>
  </tableColumns>
  <tableStyleInfo name="TableStyleMedium1" showFirstColumn="1" showLastColumn="0" showRowStripes="0" showColumnStripes="0"/>
  <extLst>
    <ext xmlns:x14="http://schemas.microsoft.com/office/spreadsheetml/2009/9/main" uri="{504A1905-F514-4f6f-8877-14C23A59335A}">
      <x14:table altTextSummary="Le spese effettive mensili e totali vengono calcolate automaticamente in questa tabella"/>
    </ext>
  </extLst>
</table>
</file>

<file path=xl/tables/table1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EmployeeVariances" displayName="EmployeeVariances" ref="B5:O8" totalsRowCount="1" headerRowDxfId="147" totalsRowDxfId="144" headerRowBorderDxfId="146" tableBorderDxfId="145" totalsRowBorderDxfId="143">
  <autoFilter ref="B5:O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Costi dei dipendenti" totalsRowLabel="Subtotale" dataDxfId="142" totalsRowDxfId="141"/>
    <tableColumn id="2" xr3:uid="{00000000-0010-0000-0800-000002000000}" name="Gen" totalsRowFunction="sum" dataDxfId="140">
      <calculatedColumnFormula>INDEX(PianDipendenti[],MATCH(INDEX(EmployeeVariances[],ROW()-ROW(EmployeeVariances[[#Headers],[Gen]]),1),INDEX(PianDipendenti[],,1),0),MATCH(EmployeeVariances[[#Headers],[Gen]],PianDipendenti[#Headers],0))-INDEX(EffettiviDipendenti[],MATCH(INDEX(EmployeeVariances[],ROW()-ROW(EmployeeVariances[[#Headers],[Gen]]),1),INDEX(PianDipendenti[],,1),0),MATCH(EmployeeVariances[[#Headers],[Gen]],EffettiviDipendenti[#Headers],0))</calculatedColumnFormula>
    </tableColumn>
    <tableColumn id="3" xr3:uid="{00000000-0010-0000-0800-000003000000}" name="Feb" totalsRowFunction="sum" dataDxfId="139">
      <calculatedColumnFormula>INDEX(PianDipendenti[],MATCH(INDEX(EmployeeVariances[],ROW()-ROW(EmployeeVariances[[#Headers],[Feb]]),1),INDEX(PianDipendenti[],,1),0),MATCH(EmployeeVariances[[#Headers],[Feb]],PianDipendenti[#Headers],0))-INDEX(EffettiviDipendenti[],MATCH(INDEX(EmployeeVariances[],ROW()-ROW(EmployeeVariances[[#Headers],[Feb]]),1),INDEX(PianDipendenti[],,1),0),MATCH(EmployeeVariances[[#Headers],[Feb]],EffettiviDipendenti[#Headers],0))</calculatedColumnFormula>
    </tableColumn>
    <tableColumn id="4" xr3:uid="{00000000-0010-0000-0800-000004000000}" name="Mar" totalsRowFunction="sum" dataDxfId="138">
      <calculatedColumnFormula>INDEX(PianDipendenti[],MATCH(INDEX(EmployeeVariances[],ROW()-ROW(EmployeeVariances[[#Headers],[Mar]]),1),INDEX(PianDipendenti[],,1),0),MATCH(EmployeeVariances[[#Headers],[Mar]],PianDipendenti[#Headers],0))-INDEX(EffettiviDipendenti[],MATCH(INDEX(EmployeeVariances[],ROW()-ROW(EmployeeVariances[[#Headers],[Mar]]),1),INDEX(PianDipendenti[],,1),0),MATCH(EmployeeVariances[[#Headers],[Mar]],EffettiviDipendenti[#Headers],0))</calculatedColumnFormula>
    </tableColumn>
    <tableColumn id="5" xr3:uid="{00000000-0010-0000-0800-000005000000}" name="Apr" totalsRowFunction="sum" dataDxfId="137">
      <calculatedColumnFormula>INDEX(PianDipendenti[],MATCH(INDEX(EmployeeVariances[],ROW()-ROW(EmployeeVariances[[#Headers],[Apr]]),1),INDEX(PianDipendenti[],,1),0),MATCH(EmployeeVariances[[#Headers],[Apr]],PianDipendenti[#Headers],0))-INDEX(EffettiviDipendenti[],MATCH(INDEX(EmployeeVariances[],ROW()-ROW(EmployeeVariances[[#Headers],[Apr]]),1),INDEX(PianDipendenti[],,1),0),MATCH(EmployeeVariances[[#Headers],[Apr]],EffettiviDipendenti[#Headers],0))</calculatedColumnFormula>
    </tableColumn>
    <tableColumn id="6" xr3:uid="{00000000-0010-0000-0800-000006000000}" name="Mag" totalsRowFunction="sum" dataDxfId="136">
      <calculatedColumnFormula>INDEX(PianDipendenti[],MATCH(INDEX(EmployeeVariances[],ROW()-ROW(EmployeeVariances[[#Headers],[Mag]]),1),INDEX(PianDipendenti[],,1),0),MATCH(EmployeeVariances[[#Headers],[Mag]],PianDipendenti[#Headers],0))-INDEX(EffettiviDipendenti[],MATCH(INDEX(EmployeeVariances[],ROW()-ROW(EmployeeVariances[[#Headers],[Mag]]),1),INDEX(PianDipendenti[],,1),0),MATCH(EmployeeVariances[[#Headers],[Mag]],EffettiviDipendenti[#Headers],0))</calculatedColumnFormula>
    </tableColumn>
    <tableColumn id="7" xr3:uid="{00000000-0010-0000-0800-000007000000}" name="Giu" totalsRowFunction="sum" dataDxfId="135">
      <calculatedColumnFormula>INDEX(PianDipendenti[],MATCH(INDEX(EmployeeVariances[],ROW()-ROW(EmployeeVariances[[#Headers],[Giu]]),1),INDEX(PianDipendenti[],,1),0),MATCH(EmployeeVariances[[#Headers],[Giu]],PianDipendenti[#Headers],0))-INDEX(EffettiviDipendenti[],MATCH(INDEX(EmployeeVariances[],ROW()-ROW(EmployeeVariances[[#Headers],[Giu]]),1),INDEX(PianDipendenti[],,1),0),MATCH(EmployeeVariances[[#Headers],[Giu]],EffettiviDipendenti[#Headers],0))</calculatedColumnFormula>
    </tableColumn>
    <tableColumn id="8" xr3:uid="{00000000-0010-0000-0800-000008000000}" name="Lug" totalsRowFunction="sum" dataDxfId="134">
      <calculatedColumnFormula>INDEX(PianDipendenti[],MATCH(INDEX(EmployeeVariances[],ROW()-ROW(EmployeeVariances[[#Headers],[Lug]]),1),INDEX(PianDipendenti[],,1),0),MATCH(EmployeeVariances[[#Headers],[Lug]],PianDipendenti[#Headers],0))-INDEX(EffettiviDipendenti[],MATCH(INDEX(EmployeeVariances[],ROW()-ROW(EmployeeVariances[[#Headers],[Lug]]),1),INDEX(PianDipendenti[],,1),0),MATCH(EmployeeVariances[[#Headers],[Lug]],EffettiviDipendenti[#Headers],0))</calculatedColumnFormula>
    </tableColumn>
    <tableColumn id="9" xr3:uid="{00000000-0010-0000-0800-000009000000}" name="Ago" totalsRowFunction="sum" dataDxfId="133">
      <calculatedColumnFormula>INDEX(PianDipendenti[],MATCH(INDEX(EmployeeVariances[],ROW()-ROW(EmployeeVariances[[#Headers],[Ago]]),1),INDEX(PianDipendenti[],,1),0),MATCH(EmployeeVariances[[#Headers],[Ago]],PianDipendenti[#Headers],0))-INDEX(EffettiviDipendenti[],MATCH(INDEX(EmployeeVariances[],ROW()-ROW(EmployeeVariances[[#Headers],[Ago]]),1),INDEX(PianDipendenti[],,1),0),MATCH(EmployeeVariances[[#Headers],[Ago]],EffettiviDipendenti[#Headers],0))</calculatedColumnFormula>
    </tableColumn>
    <tableColumn id="10" xr3:uid="{00000000-0010-0000-0800-00000A000000}" name="Set" totalsRowFunction="sum" dataDxfId="132">
      <calculatedColumnFormula>INDEX(PianDipendenti[],MATCH(INDEX(EmployeeVariances[],ROW()-ROW(EmployeeVariances[[#Headers],[Set]]),1),INDEX(PianDipendenti[],,1),0),MATCH(EmployeeVariances[[#Headers],[Set]],PianDipendenti[#Headers],0))-INDEX(EffettiviDipendenti[],MATCH(INDEX(EmployeeVariances[],ROW()-ROW(EmployeeVariances[[#Headers],[Set]]),1),INDEX(PianDipendenti[],,1),0),MATCH(EmployeeVariances[[#Headers],[Set]],EffettiviDipendenti[#Headers],0))</calculatedColumnFormula>
    </tableColumn>
    <tableColumn id="11" xr3:uid="{00000000-0010-0000-0800-00000B000000}" name="Ott" totalsRowFunction="sum" dataDxfId="131">
      <calculatedColumnFormula>INDEX(PianDipendenti[],MATCH(INDEX(EmployeeVariances[],ROW()-ROW(EmployeeVariances[[#Headers],[Ott]]),1),INDEX(PianDipendenti[],,1),0),MATCH(EmployeeVariances[[#Headers],[Ott]],PianDipendenti[#Headers],0))-INDEX(EffettiviDipendenti[],MATCH(INDEX(EmployeeVariances[],ROW()-ROW(EmployeeVariances[[#Headers],[Ott]]),1),INDEX(PianDipendenti[],,1),0),MATCH(EmployeeVariances[[#Headers],[Ott]],EffettiviDipendenti[#Headers],0))</calculatedColumnFormula>
    </tableColumn>
    <tableColumn id="12" xr3:uid="{00000000-0010-0000-0800-00000C000000}" name="Nov" totalsRowFunction="sum" dataDxfId="130">
      <calculatedColumnFormula>INDEX(PianDipendenti[],MATCH(INDEX(EmployeeVariances[],ROW()-ROW(EmployeeVariances[[#Headers],[Nov]]),1),INDEX(PianDipendenti[],,1),0),MATCH(EmployeeVariances[[#Headers],[Nov]],PianDipendenti[#Headers],0))-INDEX(EffettiviDipendenti[],MATCH(INDEX(EmployeeVariances[],ROW()-ROW(EmployeeVariances[[#Headers],[Nov]]),1),INDEX(PianDipendenti[],,1),0),MATCH(EmployeeVariances[[#Headers],[Nov]],EffettiviDipendenti[#Headers],0))</calculatedColumnFormula>
    </tableColumn>
    <tableColumn id="13" xr3:uid="{00000000-0010-0000-0800-00000D000000}" name="Dic" totalsRowFunction="sum" dataDxfId="129">
      <calculatedColumnFormula>INDEX(PianDipendenti[],MATCH(INDEX(EmployeeVariances[],ROW()-ROW(EmployeeVariances[[#Headers],[Dic]]),1),INDEX(PianDipendenti[],,1),0),MATCH(EmployeeVariances[[#Headers],[Dic]],PianDipendenti[#Headers],0))-INDEX(EffettiviDipendenti[],MATCH(INDEX(EmployeeVariances[],ROW()-ROW(EmployeeVariances[[#Headers],[Dic]]),1),INDEX(PianDipendenti[],,1),0),MATCH(EmployeeVariances[[#Headers],[Dic]],EffettiviDipendenti[#Headers],0))</calculatedColumnFormula>
    </tableColumn>
    <tableColumn id="14" xr3:uid="{00000000-0010-0000-0800-00000E000000}" name="ANNO" totalsRowFunction="sum" dataDxfId="128">
      <calculatedColumnFormula>SUM(EmployeeVariances[[#This Row],[Gen]:[Dic]])</calculatedColumnFormula>
    </tableColumn>
  </tableColumns>
  <tableStyleInfo name="TableStyleLight8" showFirstColumn="1" showLastColumn="0" showRowStripes="0" showColumnStripes="0"/>
  <extLst>
    <ext xmlns:x14="http://schemas.microsoft.com/office/spreadsheetml/2009/9/main" uri="{504A1905-F514-4f6f-8877-14C23A59335A}">
      <x14:table altTextSummary="Lo scostamento nei costi dei dipendenti al mese viene calcolato automaticamente in questa tabella"/>
    </ext>
  </extLst>
</table>
</file>

<file path=xl/tables/table1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OfficeVariances" displayName="OfficeVariances" ref="B10:O19" totalsRowCount="1" headerRowDxfId="127" totalsRowDxfId="124" headerRowBorderDxfId="126" tableBorderDxfId="125" totalsRowBorderDxfId="123">
  <autoFilter ref="B10:O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Costi di ufficio" totalsRowLabel="Subtotale" dataDxfId="122" totalsRowDxfId="121"/>
    <tableColumn id="2" xr3:uid="{00000000-0010-0000-0900-000002000000}" name="Gen" totalsRowFunction="sum" dataDxfId="120" totalsRowDxfId="119">
      <calculatedColumnFormula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calculatedColumnFormula>
    </tableColumn>
    <tableColumn id="3" xr3:uid="{00000000-0010-0000-0900-000003000000}" name="Feb" totalsRowFunction="sum" dataDxfId="118" totalsRowDxfId="117">
      <calculatedColumnFormula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calculatedColumnFormula>
    </tableColumn>
    <tableColumn id="4" xr3:uid="{00000000-0010-0000-0900-000004000000}" name="Mar" totalsRowFunction="sum" dataDxfId="116" totalsRowDxfId="115">
      <calculatedColumnFormula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calculatedColumnFormula>
    </tableColumn>
    <tableColumn id="5" xr3:uid="{00000000-0010-0000-0900-000005000000}" name="Apr" totalsRowFunction="sum" dataDxfId="114" totalsRowDxfId="113">
      <calculatedColumnFormula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calculatedColumnFormula>
    </tableColumn>
    <tableColumn id="6" xr3:uid="{00000000-0010-0000-0900-000006000000}" name="Mag" totalsRowFunction="sum" dataDxfId="112" totalsRowDxfId="111">
      <calculatedColumnFormula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calculatedColumnFormula>
    </tableColumn>
    <tableColumn id="7" xr3:uid="{00000000-0010-0000-0900-000007000000}" name="Giu" totalsRowFunction="sum" dataDxfId="110" totalsRowDxfId="109">
      <calculatedColumnFormula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calculatedColumnFormula>
    </tableColumn>
    <tableColumn id="8" xr3:uid="{00000000-0010-0000-0900-000008000000}" name="Lug" totalsRowFunction="sum" dataDxfId="108" totalsRowDxfId="107">
      <calculatedColumnFormula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calculatedColumnFormula>
    </tableColumn>
    <tableColumn id="9" xr3:uid="{00000000-0010-0000-0900-000009000000}" name="Ago" totalsRowFunction="sum" dataDxfId="106" totalsRowDxfId="105">
      <calculatedColumnFormula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calculatedColumnFormula>
    </tableColumn>
    <tableColumn id="10" xr3:uid="{00000000-0010-0000-0900-00000A000000}" name="Set" totalsRowFunction="sum" dataDxfId="104" totalsRowDxfId="103">
      <calculatedColumnFormula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calculatedColumnFormula>
    </tableColumn>
    <tableColumn id="11" xr3:uid="{00000000-0010-0000-0900-00000B000000}" name="Ott" totalsRowFunction="sum" dataDxfId="102" totalsRowDxfId="101">
      <calculatedColumnFormula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calculatedColumnFormula>
    </tableColumn>
    <tableColumn id="12" xr3:uid="{00000000-0010-0000-0900-00000C000000}" name="Nov" totalsRowFunction="sum" dataDxfId="100" totalsRowDxfId="99">
      <calculatedColumnFormula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calculatedColumnFormula>
    </tableColumn>
    <tableColumn id="13" xr3:uid="{00000000-0010-0000-0900-00000D000000}" name="Dic" totalsRowFunction="sum" dataDxfId="98" totalsRowDxfId="97">
      <calculatedColumnFormula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calculatedColumnFormula>
    </tableColumn>
    <tableColumn id="14" xr3:uid="{00000000-0010-0000-0900-00000E000000}" name="ANNO" totalsRowFunction="sum" dataDxfId="96" totalsRowDxfId="95">
      <calculatedColumnFormula>SUM(OfficeVariances[[#This Row],[Gen]:[Dic]])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Lo scostamento nei costi di ufficio al mese viene calcolato automaticamente in questa tabella"/>
    </ext>
  </extLst>
</table>
</file>

<file path=xl/tables/table13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MarketingVariances" displayName="MarketingVariances" ref="B21:O28" totalsRowCount="1" headerRowDxfId="94" totalsRowDxfId="91" headerRowBorderDxfId="93" tableBorderDxfId="92" totalsRowBorderDxfId="90">
  <autoFilter ref="B21:O2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Costi di marketing" totalsRowLabel="Subtotale" dataDxfId="89" totalsRowDxfId="88"/>
    <tableColumn id="2" xr3:uid="{00000000-0010-0000-0A00-000002000000}" name="Gen" totalsRowFunction="sum" dataDxfId="87" totalsRowDxfId="86">
      <calculatedColumnFormula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calculatedColumnFormula>
    </tableColumn>
    <tableColumn id="3" xr3:uid="{00000000-0010-0000-0A00-000003000000}" name="Feb" totalsRowFunction="sum" dataDxfId="85" totalsRowDxfId="84">
      <calculatedColumnFormula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calculatedColumnFormula>
    </tableColumn>
    <tableColumn id="4" xr3:uid="{00000000-0010-0000-0A00-000004000000}" name="Mar" totalsRowFunction="sum" dataDxfId="83" totalsRowDxfId="82">
      <calculatedColumnFormula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calculatedColumnFormula>
    </tableColumn>
    <tableColumn id="5" xr3:uid="{00000000-0010-0000-0A00-000005000000}" name="Apr" totalsRowFunction="sum" dataDxfId="81" totalsRowDxfId="80">
      <calculatedColumnFormula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calculatedColumnFormula>
    </tableColumn>
    <tableColumn id="6" xr3:uid="{00000000-0010-0000-0A00-000006000000}" name="Mag" totalsRowFunction="sum" dataDxfId="79" totalsRowDxfId="78">
      <calculatedColumnFormula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calculatedColumnFormula>
    </tableColumn>
    <tableColumn id="7" xr3:uid="{00000000-0010-0000-0A00-000007000000}" name="Giu" totalsRowFunction="sum" dataDxfId="77" totalsRowDxfId="76">
      <calculatedColumnFormula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calculatedColumnFormula>
    </tableColumn>
    <tableColumn id="8" xr3:uid="{00000000-0010-0000-0A00-000008000000}" name="Lug" totalsRowFunction="sum" dataDxfId="75" totalsRowDxfId="74">
      <calculatedColumnFormula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calculatedColumnFormula>
    </tableColumn>
    <tableColumn id="9" xr3:uid="{00000000-0010-0000-0A00-000009000000}" name="Ago" totalsRowFunction="sum" dataDxfId="73" totalsRowDxfId="72">
      <calculatedColumnFormula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calculatedColumnFormula>
    </tableColumn>
    <tableColumn id="10" xr3:uid="{00000000-0010-0000-0A00-00000A000000}" name="Set" totalsRowFunction="sum" dataDxfId="71" totalsRowDxfId="70">
      <calculatedColumnFormula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calculatedColumnFormula>
    </tableColumn>
    <tableColumn id="11" xr3:uid="{00000000-0010-0000-0A00-00000B000000}" name="Ott" totalsRowFunction="sum" dataDxfId="69" totalsRowDxfId="68">
      <calculatedColumnFormula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calculatedColumnFormula>
    </tableColumn>
    <tableColumn id="12" xr3:uid="{00000000-0010-0000-0A00-00000C000000}" name="Nov" totalsRowFunction="sum" dataDxfId="67" totalsRowDxfId="66">
      <calculatedColumnFormula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calculatedColumnFormula>
    </tableColumn>
    <tableColumn id="13" xr3:uid="{00000000-0010-0000-0A00-00000D000000}" name="Dic" totalsRowFunction="sum" dataDxfId="65" totalsRowDxfId="64">
      <calculatedColumnFormula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calculatedColumnFormula>
    </tableColumn>
    <tableColumn id="14" xr3:uid="{00000000-0010-0000-0A00-00000E000000}" name="ANNO" totalsRowFunction="sum" dataDxfId="63" totalsRowDxfId="62">
      <calculatedColumnFormula>SUM(MarketingVariances[[#This Row],[Gen]:[Dic]])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Lo scostamento nei costi di marketing al mese viene calcolato automaticamente in questa tabella"/>
    </ext>
  </extLst>
</table>
</file>

<file path=xl/tables/table14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rainingAndTravelVariances" displayName="TrainingAndTravelVariances" ref="B30:O33" totalsRowCount="1" headerRowDxfId="61" totalsRowDxfId="58" headerRowBorderDxfId="60" tableBorderDxfId="59" totalsRowBorderDxfId="57">
  <autoFilter ref="B30:O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Formazione/viaggi" totalsRowLabel="Subtotale" dataDxfId="56" totalsRowDxfId="55"/>
    <tableColumn id="2" xr3:uid="{00000000-0010-0000-0B00-000002000000}" name="Gen" totalsRowFunction="sum" dataDxfId="54" totalsRowDxfId="53">
      <calculatedColumnFormula>INDEX(PianFormazioneEViaggi[],MATCH(INDEX(TrainingAndTravelVariances[],ROW()-ROW(TrainingAndTravelVariances[[#Headers],[Gen]]),1),INDEX(PianFormazioneEViaggi[],,1),0),MATCH(TrainingAndTravelVariances[[#Headers],[Gen]],PianFormazioneEViaggi[#Headers],0))-INDEX(EffettiviFormazioneEViaggi[],MATCH(INDEX(TrainingAndTravelVariances[],ROW()-ROW(TrainingAndTravelVariances[[#Headers],[Gen]]),1),INDEX(PianFormazioneEViaggi[],,1),0),MATCH(TrainingAndTravelVariances[[#Headers],[Gen]],EffettiviFormazioneEViaggi[#Headers],0))</calculatedColumnFormula>
    </tableColumn>
    <tableColumn id="3" xr3:uid="{00000000-0010-0000-0B00-000003000000}" name="Feb" totalsRowFunction="sum" dataDxfId="52" totalsRowDxfId="51">
      <calculatedColumnFormula>INDEX(PianFormazioneEViaggi[],MATCH(INDEX(TrainingAndTravelVariances[],ROW()-ROW(TrainingAndTravelVariances[[#Headers],[Feb]]),1),INDEX(PianFormazioneEViaggi[],,1),0),MATCH(TrainingAndTravelVariances[[#Headers],[Feb]],PianFormazioneEViaggi[#Headers],0))-INDEX(EffettiviFormazioneEViaggi[],MATCH(INDEX(TrainingAndTravelVariances[],ROW()-ROW(TrainingAndTravelVariances[[#Headers],[Feb]]),1),INDEX(PianFormazioneEViaggi[],,1),0),MATCH(TrainingAndTravelVariances[[#Headers],[Feb]],EffettiviFormazioneEViaggi[#Headers],0))</calculatedColumnFormula>
    </tableColumn>
    <tableColumn id="4" xr3:uid="{00000000-0010-0000-0B00-000004000000}" name="Mar" totalsRowFunction="sum" dataDxfId="50" totalsRowDxfId="49">
      <calculatedColumnFormula>INDEX(PianFormazioneEViaggi[],MATCH(INDEX(TrainingAndTravelVariances[],ROW()-ROW(TrainingAndTravelVariances[[#Headers],[Mar]]),1),INDEX(PianFormazioneEViaggi[],,1),0),MATCH(TrainingAndTravelVariances[[#Headers],[Mar]],PianFormazioneEViaggi[#Headers],0))-INDEX(EffettiviFormazioneEViaggi[],MATCH(INDEX(TrainingAndTravelVariances[],ROW()-ROW(TrainingAndTravelVariances[[#Headers],[Mar]]),1),INDEX(PianFormazioneEViaggi[],,1),0),MATCH(TrainingAndTravelVariances[[#Headers],[Mar]],EffettiviFormazioneEViaggi[#Headers],0))</calculatedColumnFormula>
    </tableColumn>
    <tableColumn id="5" xr3:uid="{00000000-0010-0000-0B00-000005000000}" name="Apr" totalsRowFunction="sum" dataDxfId="48" totalsRowDxfId="47">
      <calculatedColumnFormula>INDEX(PianFormazioneEViaggi[],MATCH(INDEX(TrainingAndTravelVariances[],ROW()-ROW(TrainingAndTravelVariances[[#Headers],[Apr]]),1),INDEX(PianFormazioneEViaggi[],,1),0),MATCH(TrainingAndTravelVariances[[#Headers],[Apr]],PianFormazioneEViaggi[#Headers],0))-INDEX(EffettiviFormazioneEViaggi[],MATCH(INDEX(TrainingAndTravelVariances[],ROW()-ROW(TrainingAndTravelVariances[[#Headers],[Apr]]),1),INDEX(PianFormazioneEViaggi[],,1),0),MATCH(TrainingAndTravelVariances[[#Headers],[Apr]],EffettiviFormazioneEViaggi[#Headers],0))</calculatedColumnFormula>
    </tableColumn>
    <tableColumn id="6" xr3:uid="{00000000-0010-0000-0B00-000006000000}" name="Mag" totalsRowFunction="sum" dataDxfId="46" totalsRowDxfId="45">
      <calculatedColumnFormula>INDEX(PianFormazioneEViaggi[],MATCH(INDEX(TrainingAndTravelVariances[],ROW()-ROW(TrainingAndTravelVariances[[#Headers],[Mag]]),1),INDEX(PianFormazioneEViaggi[],,1),0),MATCH(TrainingAndTravelVariances[[#Headers],[Mag]],PianFormazioneEViaggi[#Headers],0))-INDEX(EffettiviFormazioneEViaggi[],MATCH(INDEX(TrainingAndTravelVariances[],ROW()-ROW(TrainingAndTravelVariances[[#Headers],[Mag]]),1),INDEX(PianFormazioneEViaggi[],,1),0),MATCH(TrainingAndTravelVariances[[#Headers],[Mag]],EffettiviFormazioneEViaggi[#Headers],0))</calculatedColumnFormula>
    </tableColumn>
    <tableColumn id="7" xr3:uid="{00000000-0010-0000-0B00-000007000000}" name="Giu" totalsRowFunction="sum" dataDxfId="44" totalsRowDxfId="43">
      <calculatedColumnFormula>INDEX(PianFormazioneEViaggi[],MATCH(INDEX(TrainingAndTravelVariances[],ROW()-ROW(TrainingAndTravelVariances[[#Headers],[Giu]]),1),INDEX(PianFormazioneEViaggi[],,1),0),MATCH(TrainingAndTravelVariances[[#Headers],[Giu]],PianFormazioneEViaggi[#Headers],0))-INDEX(EffettiviFormazioneEViaggi[],MATCH(INDEX(TrainingAndTravelVariances[],ROW()-ROW(TrainingAndTravelVariances[[#Headers],[Giu]]),1),INDEX(PianFormazioneEViaggi[],,1),0),MATCH(TrainingAndTravelVariances[[#Headers],[Giu]],EffettiviFormazioneEViaggi[#Headers],0))</calculatedColumnFormula>
    </tableColumn>
    <tableColumn id="8" xr3:uid="{00000000-0010-0000-0B00-000008000000}" name="Lug" totalsRowFunction="sum" dataDxfId="42" totalsRowDxfId="41">
      <calculatedColumnFormula>INDEX(PianFormazioneEViaggi[],MATCH(INDEX(TrainingAndTravelVariances[],ROW()-ROW(TrainingAndTravelVariances[[#Headers],[Lug]]),1),INDEX(PianFormazioneEViaggi[],,1),0),MATCH(TrainingAndTravelVariances[[#Headers],[Lug]],PianFormazioneEViaggi[#Headers],0))-INDEX(EffettiviFormazioneEViaggi[],MATCH(INDEX(TrainingAndTravelVariances[],ROW()-ROW(TrainingAndTravelVariances[[#Headers],[Lug]]),1),INDEX(PianFormazioneEViaggi[],,1),0),MATCH(TrainingAndTravelVariances[[#Headers],[Lug]],EffettiviFormazioneEViaggi[#Headers],0))</calculatedColumnFormula>
    </tableColumn>
    <tableColumn id="9" xr3:uid="{00000000-0010-0000-0B00-000009000000}" name="Ago" totalsRowFunction="sum" dataDxfId="40" totalsRowDxfId="39">
      <calculatedColumnFormula>INDEX(PianFormazioneEViaggi[],MATCH(INDEX(TrainingAndTravelVariances[],ROW()-ROW(TrainingAndTravelVariances[[#Headers],[Ago]]),1),INDEX(PianFormazioneEViaggi[],,1),0),MATCH(TrainingAndTravelVariances[[#Headers],[Ago]],PianFormazioneEViaggi[#Headers],0))-INDEX(EffettiviFormazioneEViaggi[],MATCH(INDEX(TrainingAndTravelVariances[],ROW()-ROW(TrainingAndTravelVariances[[#Headers],[Ago]]),1),INDEX(PianFormazioneEViaggi[],,1),0),MATCH(TrainingAndTravelVariances[[#Headers],[Ago]],EffettiviFormazioneEViaggi[#Headers],0))</calculatedColumnFormula>
    </tableColumn>
    <tableColumn id="10" xr3:uid="{00000000-0010-0000-0B00-00000A000000}" name="Set" totalsRowFunction="sum" dataDxfId="38" totalsRowDxfId="37">
      <calculatedColumnFormula>INDEX(PianFormazioneEViaggi[],MATCH(INDEX(TrainingAndTravelVariances[],ROW()-ROW(TrainingAndTravelVariances[[#Headers],[Set]]),1),INDEX(PianFormazioneEViaggi[],,1),0),MATCH(TrainingAndTravelVariances[[#Headers],[Set]],PianFormazioneEViaggi[#Headers],0))-INDEX(EffettiviFormazioneEViaggi[],MATCH(INDEX(TrainingAndTravelVariances[],ROW()-ROW(TrainingAndTravelVariances[[#Headers],[Set]]),1),INDEX(PianFormazioneEViaggi[],,1),0),MATCH(TrainingAndTravelVariances[[#Headers],[Set]],EffettiviFormazioneEViaggi[#Headers],0))</calculatedColumnFormula>
    </tableColumn>
    <tableColumn id="11" xr3:uid="{00000000-0010-0000-0B00-00000B000000}" name="Ott" totalsRowFunction="sum" dataDxfId="36" totalsRowDxfId="35">
      <calculatedColumnFormula>INDEX(PianFormazioneEViaggi[],MATCH(INDEX(TrainingAndTravelVariances[],ROW()-ROW(TrainingAndTravelVariances[[#Headers],[Ott]]),1),INDEX(PianFormazioneEViaggi[],,1),0),MATCH(TrainingAndTravelVariances[[#Headers],[Ott]],PianFormazioneEViaggi[#Headers],0))-INDEX(EffettiviFormazioneEViaggi[],MATCH(INDEX(TrainingAndTravelVariances[],ROW()-ROW(TrainingAndTravelVariances[[#Headers],[Ott]]),1),INDEX(PianFormazioneEViaggi[],,1),0),MATCH(TrainingAndTravelVariances[[#Headers],[Ott]],EffettiviFormazioneEViaggi[#Headers],0))</calculatedColumnFormula>
    </tableColumn>
    <tableColumn id="12" xr3:uid="{00000000-0010-0000-0B00-00000C000000}" name="Nov" totalsRowFunction="sum" dataDxfId="34" totalsRowDxfId="33">
      <calculatedColumnFormula>INDEX(PianFormazioneEViaggi[],MATCH(INDEX(TrainingAndTravelVariances[],ROW()-ROW(TrainingAndTravelVariances[[#Headers],[Nov]]),1),INDEX(PianFormazioneEViaggi[],,1),0),MATCH(TrainingAndTravelVariances[[#Headers],[Nov]],PianFormazioneEViaggi[#Headers],0))-INDEX(EffettiviFormazioneEViaggi[],MATCH(INDEX(TrainingAndTravelVariances[],ROW()-ROW(TrainingAndTravelVariances[[#Headers],[Nov]]),1),INDEX(PianFormazioneEViaggi[],,1),0),MATCH(TrainingAndTravelVariances[[#Headers],[Nov]],EffettiviFormazioneEViaggi[#Headers],0))</calculatedColumnFormula>
    </tableColumn>
    <tableColumn id="13" xr3:uid="{00000000-0010-0000-0B00-00000D000000}" name="Dic" totalsRowFunction="sum" dataDxfId="32" totalsRowDxfId="31">
      <calculatedColumnFormula>INDEX(PianFormazioneEViaggi[],MATCH(INDEX(TrainingAndTravelVariances[],ROW()-ROW(TrainingAndTravelVariances[[#Headers],[Dic]]),1),INDEX(PianFormazioneEViaggi[],,1),0),MATCH(TrainingAndTravelVariances[[#Headers],[Dic]],PianFormazioneEViaggi[#Headers],0))-INDEX(EffettiviFormazioneEViaggi[],MATCH(INDEX(TrainingAndTravelVariances[],ROW()-ROW(TrainingAndTravelVariances[[#Headers],[Dic]]),1),INDEX(PianFormazioneEViaggi[],,1),0),MATCH(TrainingAndTravelVariances[[#Headers],[Dic]],EffettiviFormazioneEViaggi[#Headers],0))</calculatedColumnFormula>
    </tableColumn>
    <tableColumn id="14" xr3:uid="{00000000-0010-0000-0B00-00000E000000}" name="ANNO" totalsRowFunction="sum" dataDxfId="30" totalsRowDxfId="29">
      <calculatedColumnFormula>SUM(TrainingAndTravelVariances[[#This Row],[Gen]:[Dic]])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Lo scostamento nei costi di formazione e di viaggio al mese viene calcolato automaticamente in questa tabella"/>
    </ext>
  </extLst>
</table>
</file>

<file path=xl/tables/table15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D450248-DB77-46F5-B207-E715DE10D029}" name="TotalVariances" displayName="TotalVariances" ref="B35:O37" totalsRowShown="0" headerRowDxfId="28" dataDxfId="27" tableBorderDxfId="26">
  <autoFilter ref="B35:O37" xr:uid="{B407F9FC-1AB0-4A37-B2B1-EDE36CD997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A1B301-8171-4BDA-9269-D51F18A1CE72}" name="TOTALI" dataDxfId="25"/>
    <tableColumn id="2" xr3:uid="{AE0C21A5-398B-42DE-950D-8AE4AD1A8551}" name="Gen" dataDxfId="24">
      <calculatedColumnFormula>SUM($C35:C$36)</calculatedColumnFormula>
    </tableColumn>
    <tableColumn id="3" xr3:uid="{A43B0B0E-F35F-4E04-8A0D-11BB7356D5F1}" name="Feb" dataDxfId="23">
      <calculatedColumnFormula>SUM($C35:D$36)</calculatedColumnFormula>
    </tableColumn>
    <tableColumn id="4" xr3:uid="{F14459A4-8E61-4E04-9A53-A7DA16CE366A}" name="Mar" dataDxfId="22">
      <calculatedColumnFormula>SUM($C35:E$36)</calculatedColumnFormula>
    </tableColumn>
    <tableColumn id="5" xr3:uid="{1C90C974-8801-4A11-B3AF-1DC144BB0C14}" name="Apr" dataDxfId="21">
      <calculatedColumnFormula>SUM($C35:F$36)</calculatedColumnFormula>
    </tableColumn>
    <tableColumn id="6" xr3:uid="{C8E3F4F6-5F27-4CC7-9916-6D86833782C1}" name="Mag" dataDxfId="20">
      <calculatedColumnFormula>SUM($C35:G$36)</calculatedColumnFormula>
    </tableColumn>
    <tableColumn id="7" xr3:uid="{AF75D92B-7578-4087-BB78-DD5AD8165117}" name="Giu" dataDxfId="19">
      <calculatedColumnFormula>SUM($C35:H$36)</calculatedColumnFormula>
    </tableColumn>
    <tableColumn id="8" xr3:uid="{35F61ABA-09FB-4695-B0F5-A2C6B6580A2E}" name="Lug" dataDxfId="18">
      <calculatedColumnFormula>SUM($C35:I$36)</calculatedColumnFormula>
    </tableColumn>
    <tableColumn id="9" xr3:uid="{59F62437-45DC-439F-945A-D0E79C444E8E}" name="Ago" dataDxfId="17">
      <calculatedColumnFormula>SUM($C35:J$36)</calculatedColumnFormula>
    </tableColumn>
    <tableColumn id="10" xr3:uid="{2BF9DCC5-B211-44A6-BD40-E91602CDA85C}" name="Set" dataDxfId="16">
      <calculatedColumnFormula>SUM($C35:K$36)</calculatedColumnFormula>
    </tableColumn>
    <tableColumn id="11" xr3:uid="{4280684A-CD23-4103-8664-029757D0A2A2}" name="Ott" dataDxfId="15">
      <calculatedColumnFormula>SUM($C35:L$36)</calculatedColumnFormula>
    </tableColumn>
    <tableColumn id="12" xr3:uid="{07DED434-EC8F-4DAF-83E3-E350A33F2EAE}" name="Nov" dataDxfId="14">
      <calculatedColumnFormula>SUM($C35:M$36)</calculatedColumnFormula>
    </tableColumn>
    <tableColumn id="13" xr3:uid="{32BA0102-0F05-43CF-91BA-724F1FE01DAA}" name="Dic" dataDxfId="13">
      <calculatedColumnFormula>SUM($C35:N$36)</calculatedColumnFormula>
    </tableColumn>
    <tableColumn id="14" xr3:uid="{57A0D710-AEB8-4057-928D-010058E02081}" name="Anno" dataDxfId="1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Gli scostamenti delle spese mensili e totali vengono calcolate automaticamente in questa tabella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anUfficio" displayName="PianUfficio" ref="B10:O19" totalsRowCount="1" headerRowDxfId="452" totalsRowDxfId="449" headerRowBorderDxfId="451" tableBorderDxfId="450" totalsRowBorderDxfId="448">
  <autoFilter ref="B10:O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Costi di ufficio" totalsRowLabel="Subtotale" dataDxfId="447" totalsRowDxfId="446"/>
    <tableColumn id="2" xr3:uid="{00000000-0010-0000-0000-000002000000}" name="Gen" totalsRowFunction="sum" dataDxfId="445" totalsRowDxfId="444"/>
    <tableColumn id="3" xr3:uid="{00000000-0010-0000-0000-000003000000}" name="Feb" totalsRowFunction="sum" dataDxfId="443" totalsRowDxfId="442"/>
    <tableColumn id="4" xr3:uid="{00000000-0010-0000-0000-000004000000}" name="Mar" totalsRowFunction="sum" dataDxfId="441" totalsRowDxfId="440"/>
    <tableColumn id="5" xr3:uid="{00000000-0010-0000-0000-000005000000}" name="Apr" totalsRowFunction="sum" dataDxfId="439" totalsRowDxfId="438"/>
    <tableColumn id="6" xr3:uid="{00000000-0010-0000-0000-000006000000}" name="Mag" totalsRowFunction="sum" dataDxfId="437" totalsRowDxfId="436"/>
    <tableColumn id="7" xr3:uid="{00000000-0010-0000-0000-000007000000}" name="Giu" totalsRowFunction="sum" dataDxfId="435" totalsRowDxfId="434"/>
    <tableColumn id="8" xr3:uid="{00000000-0010-0000-0000-000008000000}" name="Lug" totalsRowFunction="sum" dataDxfId="433" totalsRowDxfId="432"/>
    <tableColumn id="9" xr3:uid="{00000000-0010-0000-0000-000009000000}" name="Ago" totalsRowFunction="sum" dataDxfId="431" totalsRowDxfId="430"/>
    <tableColumn id="10" xr3:uid="{00000000-0010-0000-0000-00000A000000}" name="Set" totalsRowFunction="sum" dataDxfId="429" totalsRowDxfId="428"/>
    <tableColumn id="11" xr3:uid="{00000000-0010-0000-0000-00000B000000}" name="Ott" totalsRowFunction="sum" dataDxfId="427" totalsRowDxfId="426"/>
    <tableColumn id="12" xr3:uid="{00000000-0010-0000-0000-00000C000000}" name="Nov" totalsRowFunction="sum" dataDxfId="425" totalsRowDxfId="424"/>
    <tableColumn id="13" xr3:uid="{00000000-0010-0000-0000-00000D000000}" name="Dic" totalsRowFunction="sum" dataDxfId="423" totalsRowDxfId="422"/>
    <tableColumn id="14" xr3:uid="{00000000-0010-0000-0000-00000E000000}" name="ANNO" totalsRowFunction="sum" dataDxfId="421" totalsRowDxfId="420">
      <calculatedColumnFormula>SUM(C11:N11)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Immetti i costi mensili pianificati per l'ufficio in questa tabella. Il totale viene calcolato automaticamente alla fine"/>
    </ext>
  </extLst>
</table>
</file>

<file path=xl/tables/table16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029F34C-CC7A-4C9E-8687-3CBA6E03BB7D}" name="Analisi" displayName="Analisi" ref="B5:F10" dataDxfId="11" tableBorderDxfId="10">
  <autoFilter ref="B5:F10" xr:uid="{FF30FBEE-D7F5-45FA-A994-455B735EFD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D5DD3A-2DA8-4CC6-8C75-2348A5B1DCE5}" name="Categoria di spesa" totalsRowLabel="Totale" dataDxfId="9" totalsRowDxfId="8"/>
    <tableColumn id="2" xr3:uid="{71038352-BC76-49DD-9F6C-B394E5F033ED}" name="Spese pianificate" dataDxfId="7" totalsRowDxfId="6"/>
    <tableColumn id="3" xr3:uid="{19ED3EBC-BC10-47F6-9800-62129A32BC8E}" name="Spese effettive" dataDxfId="5" totalsRowDxfId="4"/>
    <tableColumn id="4" xr3:uid="{E8D5E1DD-7CB1-4A1A-8F42-EFBF70790FE7}" name="Variazioni di spese" dataDxfId="3" totalsRowDxfId="2">
      <calculatedColumnFormula>C6-D6</calculatedColumnFormula>
    </tableColumn>
    <tableColumn id="5" xr3:uid="{47E1881E-12A2-4F0E-8364-B79F2DC5D0B1}" name="Percentuale di scostamento" totalsRowFunction="count" dataDxfId="1" totalsRowDxfId="0">
      <calculatedColumnFormula>E6/C6</calculatedColumnFormula>
    </tableColumn>
  </tableColumns>
  <tableStyleInfo showFirstColumn="1" showLastColumn="0" showRowStripes="0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rketingPlan" displayName="PianMarketing" ref="B21:O28" totalsRowCount="1" headerRowDxfId="419" totalsRowDxfId="416" headerRowBorderDxfId="418" tableBorderDxfId="417" totalsRowBorderDxfId="415">
  <tableColumns count="14">
    <tableColumn id="1" xr3:uid="{00000000-0010-0000-0100-000001000000}" name="Costi di marketing" totalsRowLabel="Subtotale" dataDxfId="414" totalsRowDxfId="413"/>
    <tableColumn id="2" xr3:uid="{00000000-0010-0000-0100-000002000000}" name="Gen" totalsRowFunction="sum" dataDxfId="412" totalsRowDxfId="411"/>
    <tableColumn id="3" xr3:uid="{00000000-0010-0000-0100-000003000000}" name="Feb" totalsRowFunction="sum" dataDxfId="410" totalsRowDxfId="409"/>
    <tableColumn id="4" xr3:uid="{00000000-0010-0000-0100-000004000000}" name="Mar" totalsRowFunction="sum" dataDxfId="408" totalsRowDxfId="407"/>
    <tableColumn id="5" xr3:uid="{00000000-0010-0000-0100-000005000000}" name="Apr" totalsRowFunction="sum" dataDxfId="406" totalsRowDxfId="405"/>
    <tableColumn id="6" xr3:uid="{00000000-0010-0000-0100-000006000000}" name="Mag" totalsRowFunction="sum" dataDxfId="404" totalsRowDxfId="403"/>
    <tableColumn id="7" xr3:uid="{00000000-0010-0000-0100-000007000000}" name="Giu" totalsRowFunction="sum" dataDxfId="402" totalsRowDxfId="401"/>
    <tableColumn id="8" xr3:uid="{00000000-0010-0000-0100-000008000000}" name="Lug" totalsRowFunction="sum" dataDxfId="400" totalsRowDxfId="399"/>
    <tableColumn id="9" xr3:uid="{00000000-0010-0000-0100-000009000000}" name="Ago" totalsRowFunction="sum" dataDxfId="398" totalsRowDxfId="397"/>
    <tableColumn id="10" xr3:uid="{00000000-0010-0000-0100-00000A000000}" name="Set" totalsRowFunction="sum" dataDxfId="396" totalsRowDxfId="395"/>
    <tableColumn id="11" xr3:uid="{00000000-0010-0000-0100-00000B000000}" name="Ott" totalsRowFunction="sum" dataDxfId="394" totalsRowDxfId="393"/>
    <tableColumn id="12" xr3:uid="{00000000-0010-0000-0100-00000C000000}" name="Nov" totalsRowFunction="sum" dataDxfId="392" totalsRowDxfId="391"/>
    <tableColumn id="13" xr3:uid="{00000000-0010-0000-0100-00000D000000}" name="Dic" totalsRowFunction="sum" dataDxfId="390" totalsRowDxfId="389"/>
    <tableColumn id="14" xr3:uid="{00000000-0010-0000-0100-00000E000000}" name="ANNO" totalsRowFunction="sum" dataDxfId="388" totalsRowDxfId="387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Immetti i costi mensili pianificati di marketing in questa tabella. Il totale viene calcolato automaticamente alla fine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ianFormazioneEViaggi" displayName="PianFormazioneEViaggi" ref="B30:O33" totalsRowCount="1" headerRowDxfId="386" totalsRowDxfId="383" headerRowBorderDxfId="385" tableBorderDxfId="384" totalsRowBorderDxfId="382">
  <autoFilter ref="B30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Formazione/viaggi" totalsRowLabel="Subtotale" dataDxfId="381" totalsRowDxfId="380"/>
    <tableColumn id="2" xr3:uid="{00000000-0010-0000-0200-000002000000}" name="Gen" totalsRowFunction="sum" dataDxfId="379" totalsRowDxfId="378"/>
    <tableColumn id="3" xr3:uid="{00000000-0010-0000-0200-000003000000}" name="Feb" totalsRowFunction="sum" dataDxfId="377" totalsRowDxfId="376"/>
    <tableColumn id="4" xr3:uid="{00000000-0010-0000-0200-000004000000}" name="Mar" totalsRowFunction="sum" dataDxfId="375" totalsRowDxfId="374"/>
    <tableColumn id="5" xr3:uid="{00000000-0010-0000-0200-000005000000}" name="Apr" totalsRowFunction="sum" dataDxfId="373" totalsRowDxfId="372"/>
    <tableColumn id="6" xr3:uid="{00000000-0010-0000-0200-000006000000}" name="Mag" totalsRowFunction="sum" dataDxfId="371" totalsRowDxfId="370"/>
    <tableColumn id="7" xr3:uid="{00000000-0010-0000-0200-000007000000}" name="Giu" totalsRowFunction="sum" dataDxfId="369" totalsRowDxfId="368"/>
    <tableColumn id="8" xr3:uid="{00000000-0010-0000-0200-000008000000}" name="Lug" totalsRowFunction="sum" dataDxfId="367" totalsRowDxfId="366"/>
    <tableColumn id="9" xr3:uid="{00000000-0010-0000-0200-000009000000}" name="Ago" totalsRowFunction="sum" dataDxfId="365" totalsRowDxfId="364"/>
    <tableColumn id="10" xr3:uid="{00000000-0010-0000-0200-00000A000000}" name="Set" totalsRowFunction="sum" dataDxfId="363" totalsRowDxfId="362"/>
    <tableColumn id="11" xr3:uid="{00000000-0010-0000-0200-00000B000000}" name="Ott" totalsRowFunction="sum" dataDxfId="361" totalsRowDxfId="360"/>
    <tableColumn id="12" xr3:uid="{00000000-0010-0000-0200-00000C000000}" name="Nov" totalsRowFunction="sum" dataDxfId="359" totalsRowDxfId="358"/>
    <tableColumn id="13" xr3:uid="{00000000-0010-0000-0200-00000D000000}" name="Dic" totalsRowFunction="sum" dataDxfId="357" totalsRowDxfId="356"/>
    <tableColumn id="14" xr3:uid="{00000000-0010-0000-0200-00000E000000}" name="ANNO" totalsRowFunction="sum" dataDxfId="355" totalsRowDxfId="354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Immetti i costi di formazione e di viaggio mensili pianificati in questa tabella. Il totale viene calcolato automaticamente alla fine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ianDipendenti" displayName="PianDipendenti" ref="B5:O8" totalsRowCount="1" headerRowDxfId="353" totalsRowDxfId="350" headerRowBorderDxfId="352" tableBorderDxfId="351" totalsRowBorderDxfId="349">
  <autoFilter ref="B5:O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Costi dei dipendenti" totalsRowLabel="Subtotale" dataDxfId="348" totalsRowDxfId="347"/>
    <tableColumn id="2" xr3:uid="{00000000-0010-0000-0300-000002000000}" name="Gen" totalsRowFunction="sum" dataDxfId="346" totalsRowDxfId="345">
      <calculatedColumnFormula>C5*0.27</calculatedColumnFormula>
    </tableColumn>
    <tableColumn id="3" xr3:uid="{00000000-0010-0000-0300-000003000000}" name="Feb" totalsRowFunction="sum" dataDxfId="344" totalsRowDxfId="343">
      <calculatedColumnFormula>D5*0.27</calculatedColumnFormula>
    </tableColumn>
    <tableColumn id="4" xr3:uid="{00000000-0010-0000-0300-000004000000}" name="Mar" totalsRowFunction="sum" dataDxfId="342" totalsRowDxfId="341">
      <calculatedColumnFormula>E5*0.27</calculatedColumnFormula>
    </tableColumn>
    <tableColumn id="5" xr3:uid="{00000000-0010-0000-0300-000005000000}" name="Apr" totalsRowFunction="sum" dataDxfId="340" totalsRowDxfId="339">
      <calculatedColumnFormula>F5*0.27</calculatedColumnFormula>
    </tableColumn>
    <tableColumn id="6" xr3:uid="{00000000-0010-0000-0300-000006000000}" name="Mag" totalsRowFunction="sum" dataDxfId="338" totalsRowDxfId="337">
      <calculatedColumnFormula>G5*0.27</calculatedColumnFormula>
    </tableColumn>
    <tableColumn id="7" xr3:uid="{00000000-0010-0000-0300-000007000000}" name="Giu" totalsRowFunction="sum" dataDxfId="336" totalsRowDxfId="335">
      <calculatedColumnFormula>H5*0.27</calculatedColumnFormula>
    </tableColumn>
    <tableColumn id="8" xr3:uid="{00000000-0010-0000-0300-000008000000}" name="Lug" totalsRowFunction="sum" dataDxfId="334" totalsRowDxfId="333">
      <calculatedColumnFormula>I5*0.27</calculatedColumnFormula>
    </tableColumn>
    <tableColumn id="9" xr3:uid="{00000000-0010-0000-0300-000009000000}" name="Ago" totalsRowFunction="sum" dataDxfId="332" totalsRowDxfId="331">
      <calculatedColumnFormula>J5*0.27</calculatedColumnFormula>
    </tableColumn>
    <tableColumn id="10" xr3:uid="{00000000-0010-0000-0300-00000A000000}" name="Set" totalsRowFunction="sum" dataDxfId="330" totalsRowDxfId="329">
      <calculatedColumnFormula>K5*0.27</calculatedColumnFormula>
    </tableColumn>
    <tableColumn id="11" xr3:uid="{00000000-0010-0000-0300-00000B000000}" name="Ott" totalsRowFunction="sum" dataDxfId="328" totalsRowDxfId="327">
      <calculatedColumnFormula>L5*0.27</calculatedColumnFormula>
    </tableColumn>
    <tableColumn id="12" xr3:uid="{00000000-0010-0000-0300-00000C000000}" name="Nov" totalsRowFunction="sum" dataDxfId="326" totalsRowDxfId="325">
      <calculatedColumnFormula>M5*0.27</calculatedColumnFormula>
    </tableColumn>
    <tableColumn id="13" xr3:uid="{00000000-0010-0000-0300-00000D000000}" name="Dic" totalsRowFunction="sum" dataDxfId="324" totalsRowDxfId="323">
      <calculatedColumnFormula>N5*0.27</calculatedColumnFormula>
    </tableColumn>
    <tableColumn id="14" xr3:uid="{00000000-0010-0000-0300-00000E000000}" name="ANNO" totalsRowFunction="sum" dataDxfId="322" totalsRowDxfId="321">
      <calculatedColumnFormula>SUM(C6:N6)</calculatedColumnFormula>
    </tableColumn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Immetti i costi mensili pianificati per i dipendenti in questa tabella. Il totale viene calcolato automaticamente alla fine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1654C0-A6E2-4402-ADF4-C02B29E915BD}" name="TotalePianificato" displayName="PlannedTotal" ref="B35:O37" totalsRowShown="0" headerRowDxfId="320" dataDxfId="318" headerRowBorderDxfId="319" tableBorderDxfId="317" totalsRowBorderDxfId="316">
  <autoFilter ref="B35:O37" xr:uid="{630CA614-6744-438B-8D74-F7C59585F1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DAEAEE0-3B16-417F-B274-1F203D9CFCF2}" name="TOTALI" dataDxfId="315"/>
    <tableColumn id="2" xr3:uid="{3CBCAAC6-5850-43CE-8A4B-7299FADFEA94}" name="Gen" dataDxfId="314">
      <calculatedColumnFormula>SUM($C35:C$36)</calculatedColumnFormula>
    </tableColumn>
    <tableColumn id="3" xr3:uid="{E78EAAAB-F732-4079-94F1-D17531764B41}" name="Feb" dataDxfId="313">
      <calculatedColumnFormula>SUM($C35:D$36)</calculatedColumnFormula>
    </tableColumn>
    <tableColumn id="4" xr3:uid="{7E178853-B334-4E02-A0B5-9E8AC39D6929}" name="Mar" dataDxfId="312">
      <calculatedColumnFormula>SUM($C35:E$36)</calculatedColumnFormula>
    </tableColumn>
    <tableColumn id="5" xr3:uid="{901BCAA1-7C45-46E6-9DAA-C055B5CC4D9E}" name="Apr" dataDxfId="311">
      <calculatedColumnFormula>SUM($C35:F$36)</calculatedColumnFormula>
    </tableColumn>
    <tableColumn id="6" xr3:uid="{FDC62F5A-FCA8-49DA-AFE4-FBDA22CB588C}" name="Mag" dataDxfId="310">
      <calculatedColumnFormula>SUM($C35:G$36)</calculatedColumnFormula>
    </tableColumn>
    <tableColumn id="7" xr3:uid="{6B7E4F62-6387-4545-9593-FCFE8EB0E87B}" name="Giu" dataDxfId="309">
      <calculatedColumnFormula>SUM($C35:H$36)</calculatedColumnFormula>
    </tableColumn>
    <tableColumn id="8" xr3:uid="{29C96D76-82C3-4C86-A866-135D2B5F6766}" name="Lug" dataDxfId="308">
      <calculatedColumnFormula>SUM($C35:I$36)</calculatedColumnFormula>
    </tableColumn>
    <tableColumn id="9" xr3:uid="{8EAF7A8A-BCFD-4A07-ADFE-7B3A8A367BB3}" name="Ago" dataDxfId="307">
      <calculatedColumnFormula>SUM($C35:J$36)</calculatedColumnFormula>
    </tableColumn>
    <tableColumn id="10" xr3:uid="{F40CD844-EFB4-4B82-8FEA-F130D1DDE9B6}" name="Set" dataDxfId="306">
      <calculatedColumnFormula>SUM($C35:K$36)</calculatedColumnFormula>
    </tableColumn>
    <tableColumn id="11" xr3:uid="{42E3BDAF-1274-4A42-93E1-A70D8EFF4D76}" name="Ott" dataDxfId="305">
      <calculatedColumnFormula>SUM($C35:L$36)</calculatedColumnFormula>
    </tableColumn>
    <tableColumn id="12" xr3:uid="{4F7ADDB3-3705-4D5F-B56D-EBBC8E7DFAFB}" name="Nov" dataDxfId="304">
      <calculatedColumnFormula>SUM($C35:M$36)</calculatedColumnFormula>
    </tableColumn>
    <tableColumn id="13" xr3:uid="{56789314-1137-4ED4-BA2B-969187ADECB2}" name="Dic" dataDxfId="303">
      <calculatedColumnFormula>SUM($C35:N$36)</calculatedColumnFormula>
    </tableColumn>
    <tableColumn id="14" xr3:uid="{284F34B8-8D32-4E44-96FD-25CE69A931D2}" name="Anno" dataDxfId="302">
      <calculatedColumnFormula>PianFormazioneEViaggi[[#Totals],[ANNO]]+PianMarketing[[#Totals],[ANNO]]+PianUfficio[[#Totals],[ANNO]]+PianDipendenti[[#Totals],[ANNO]]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Le spese pianificate mensili e totali vengono calcolate automaticamente in questa tabella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OfficeActual" displayName="EffettiviUfficio" ref="B10:O19" totalsRowCount="1" headerRowDxfId="301" totalsRowDxfId="298" headerRowBorderDxfId="300" tableBorderDxfId="299" totalsRowBorderDxfId="297">
  <tableColumns count="14">
    <tableColumn id="1" xr3:uid="{00000000-0010-0000-0400-000001000000}" name="Costi di ufficio" totalsRowLabel="Subtotale" dataDxfId="296" totalsRowDxfId="295"/>
    <tableColumn id="2" xr3:uid="{00000000-0010-0000-0400-000002000000}" name="Gen" totalsRowFunction="sum" dataDxfId="294" totalsRowDxfId="293"/>
    <tableColumn id="3" xr3:uid="{00000000-0010-0000-0400-000003000000}" name="Feb" totalsRowFunction="sum" dataDxfId="292" totalsRowDxfId="291"/>
    <tableColumn id="4" xr3:uid="{00000000-0010-0000-0400-000004000000}" name="Mar" totalsRowFunction="sum" dataDxfId="290" totalsRowDxfId="289"/>
    <tableColumn id="5" xr3:uid="{00000000-0010-0000-0400-000005000000}" name="Apr" totalsRowFunction="sum" dataDxfId="288" totalsRowDxfId="287"/>
    <tableColumn id="6" xr3:uid="{00000000-0010-0000-0400-000006000000}" name="Mag" totalsRowFunction="sum" dataDxfId="286" totalsRowDxfId="285"/>
    <tableColumn id="7" xr3:uid="{00000000-0010-0000-0400-000007000000}" name="Giu" totalsRowFunction="sum" dataDxfId="284" totalsRowDxfId="283"/>
    <tableColumn id="8" xr3:uid="{00000000-0010-0000-0400-000008000000}" name="Lug" totalsRowFunction="sum" dataDxfId="282" totalsRowDxfId="281"/>
    <tableColumn id="9" xr3:uid="{00000000-0010-0000-0400-000009000000}" name="Ago" totalsRowFunction="sum" dataDxfId="280" totalsRowDxfId="279"/>
    <tableColumn id="10" xr3:uid="{00000000-0010-0000-0400-00000A000000}" name="Set" totalsRowFunction="sum" dataDxfId="278" totalsRowDxfId="277"/>
    <tableColumn id="11" xr3:uid="{00000000-0010-0000-0400-00000B000000}" name="Ott" totalsRowFunction="sum" dataDxfId="276" totalsRowDxfId="275"/>
    <tableColumn id="12" xr3:uid="{00000000-0010-0000-0400-00000C000000}" name="Nov" totalsRowFunction="sum" dataDxfId="274" totalsRowDxfId="273"/>
    <tableColumn id="13" xr3:uid="{00000000-0010-0000-0400-00000D000000}" name="Dic" totalsRowFunction="sum" dataDxfId="272" totalsRowDxfId="271"/>
    <tableColumn id="14" xr3:uid="{00000000-0010-0000-0400-00000E000000}" name="ANNO" totalsRowFunction="sum" dataDxfId="270" totalsRowDxfId="269">
      <calculatedColumnFormula>SUM(C11:N11)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Immetti i costi mensili effettivi per l'ufficio in questa tabella. Il totale viene calcolato automaticamente alla fine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MarketingEffettivi" displayName="MarketingEffettivi" ref="B21:O28" totalsRowCount="1" headerRowDxfId="268" totalsRowDxfId="265" headerRowBorderDxfId="267" tableBorderDxfId="266" totalsRowBorderDxfId="264">
  <autoFilter ref="B21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Costi di marketing" totalsRowLabel="Subtotale" dataDxfId="263" totalsRowDxfId="262"/>
    <tableColumn id="2" xr3:uid="{00000000-0010-0000-0500-000002000000}" name="Gen" totalsRowFunction="sum" dataDxfId="261" totalsRowDxfId="260"/>
    <tableColumn id="3" xr3:uid="{00000000-0010-0000-0500-000003000000}" name="Feb" totalsRowFunction="sum" dataDxfId="259" totalsRowDxfId="258"/>
    <tableColumn id="4" xr3:uid="{00000000-0010-0000-0500-000004000000}" name="Mar" totalsRowFunction="sum" dataDxfId="257" totalsRowDxfId="256"/>
    <tableColumn id="5" xr3:uid="{00000000-0010-0000-0500-000005000000}" name="Apr" totalsRowFunction="sum" dataDxfId="255" totalsRowDxfId="254"/>
    <tableColumn id="6" xr3:uid="{00000000-0010-0000-0500-000006000000}" name="Mag" totalsRowFunction="sum" dataDxfId="253" totalsRowDxfId="252"/>
    <tableColumn id="7" xr3:uid="{00000000-0010-0000-0500-000007000000}" name="Giu" totalsRowFunction="sum" dataDxfId="251" totalsRowDxfId="250"/>
    <tableColumn id="8" xr3:uid="{00000000-0010-0000-0500-000008000000}" name="Lug" totalsRowFunction="sum" dataDxfId="249" totalsRowDxfId="248"/>
    <tableColumn id="9" xr3:uid="{00000000-0010-0000-0500-000009000000}" name="Ago" totalsRowFunction="sum" dataDxfId="247" totalsRowDxfId="246"/>
    <tableColumn id="10" xr3:uid="{00000000-0010-0000-0500-00000A000000}" name="Set" totalsRowFunction="sum" dataDxfId="245" totalsRowDxfId="244"/>
    <tableColumn id="11" xr3:uid="{00000000-0010-0000-0500-00000B000000}" name="Ott" totalsRowFunction="sum" dataDxfId="243" totalsRowDxfId="242"/>
    <tableColumn id="12" xr3:uid="{00000000-0010-0000-0500-00000C000000}" name="Nov" totalsRowFunction="sum" dataDxfId="241" totalsRowDxfId="240"/>
    <tableColumn id="13" xr3:uid="{00000000-0010-0000-0500-00000D000000}" name="Dic" totalsRowFunction="sum" dataDxfId="239" totalsRowDxfId="238"/>
    <tableColumn id="14" xr3:uid="{00000000-0010-0000-0500-00000E000000}" name="ANNO" totalsRowFunction="sum" dataDxfId="237" totalsRowDxfId="236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Immetti i costi mensili effettivi di marketing in questa tabella. Il totale viene calcolato automaticamente alla fine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EffettiviFormazioneEViaggi" displayName="EffettiviFormazioneEViaggi" ref="B30:O33" totalsRowCount="1" headerRowDxfId="235" totalsRowDxfId="232" headerRowBorderDxfId="234" tableBorderDxfId="233" totalsRowBorderDxfId="231">
  <autoFilter ref="B30:O3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Formazione/viaggi" totalsRowLabel="Subtotale" dataDxfId="230" totalsRowDxfId="229"/>
    <tableColumn id="2" xr3:uid="{00000000-0010-0000-0600-000002000000}" name="Gen" totalsRowFunction="sum" dataDxfId="228" totalsRowDxfId="227"/>
    <tableColumn id="3" xr3:uid="{00000000-0010-0000-0600-000003000000}" name="Feb" totalsRowFunction="sum" dataDxfId="226" totalsRowDxfId="225"/>
    <tableColumn id="4" xr3:uid="{00000000-0010-0000-0600-000004000000}" name="Mar" totalsRowFunction="sum" dataDxfId="224" totalsRowDxfId="223"/>
    <tableColumn id="5" xr3:uid="{00000000-0010-0000-0600-000005000000}" name="Apr" totalsRowFunction="sum" dataDxfId="222" totalsRowDxfId="221"/>
    <tableColumn id="6" xr3:uid="{00000000-0010-0000-0600-000006000000}" name="Mag" totalsRowFunction="sum" dataDxfId="220" totalsRowDxfId="219"/>
    <tableColumn id="7" xr3:uid="{00000000-0010-0000-0600-000007000000}" name="Giu" totalsRowFunction="sum" dataDxfId="218" totalsRowDxfId="217"/>
    <tableColumn id="8" xr3:uid="{00000000-0010-0000-0600-000008000000}" name="Lug" totalsRowFunction="sum" dataDxfId="216" totalsRowDxfId="215"/>
    <tableColumn id="9" xr3:uid="{00000000-0010-0000-0600-000009000000}" name="Ago" totalsRowFunction="sum" dataDxfId="214" totalsRowDxfId="213"/>
    <tableColumn id="10" xr3:uid="{00000000-0010-0000-0600-00000A000000}" name="Set" totalsRowFunction="sum" dataDxfId="212" totalsRowDxfId="211"/>
    <tableColumn id="11" xr3:uid="{00000000-0010-0000-0600-00000B000000}" name="Ott" totalsRowFunction="sum" dataDxfId="210" totalsRowDxfId="209"/>
    <tableColumn id="12" xr3:uid="{00000000-0010-0000-0600-00000C000000}" name="Nov" totalsRowFunction="sum" dataDxfId="208" totalsRowDxfId="207"/>
    <tableColumn id="13" xr3:uid="{00000000-0010-0000-0600-00000D000000}" name="Dic" totalsRowFunction="sum" dataDxfId="206" totalsRowDxfId="205"/>
    <tableColumn id="14" xr3:uid="{00000000-0010-0000-0600-00000E000000}" name="ANNO" totalsRowFunction="sum" dataDxfId="204" totalsRowDxfId="203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Immetti i costi di formazione e di viaggio mensili effettivi in questa tabella. Il totale viene calcolato automaticamente alla fine"/>
    </ext>
  </extLst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ffettiviDipendenti" displayName="EffettiviDipendenti" ref="B5:O8" totalsRowCount="1" headerRowDxfId="202" totalsRowDxfId="199" headerRowBorderDxfId="201" tableBorderDxfId="200" totalsRowBorderDxfId="198">
  <autoFilter ref="B5:O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Costi dei dipendenti" totalsRowLabel="Subtotale" dataDxfId="197" totalsRowDxfId="196"/>
    <tableColumn id="2" xr3:uid="{00000000-0010-0000-0700-000002000000}" name="Gen" totalsRowFunction="sum" dataDxfId="195" totalsRowDxfId="194">
      <calculatedColumnFormula>C5*0.27</calculatedColumnFormula>
    </tableColumn>
    <tableColumn id="3" xr3:uid="{00000000-0010-0000-0700-000003000000}" name="Feb" totalsRowFunction="sum" dataDxfId="193" totalsRowDxfId="192">
      <calculatedColumnFormula>D5*0.27</calculatedColumnFormula>
    </tableColumn>
    <tableColumn id="4" xr3:uid="{00000000-0010-0000-0700-000004000000}" name="Mar" totalsRowFunction="sum" dataDxfId="191" totalsRowDxfId="190">
      <calculatedColumnFormula>E5*0.27</calculatedColumnFormula>
    </tableColumn>
    <tableColumn id="5" xr3:uid="{00000000-0010-0000-0700-000005000000}" name="Apr" totalsRowFunction="sum" dataDxfId="189" totalsRowDxfId="188">
      <calculatedColumnFormula>F5*0.27</calculatedColumnFormula>
    </tableColumn>
    <tableColumn id="6" xr3:uid="{00000000-0010-0000-0700-000006000000}" name="Mag" totalsRowFunction="sum" dataDxfId="187" totalsRowDxfId="186">
      <calculatedColumnFormula>G5*0.27</calculatedColumnFormula>
    </tableColumn>
    <tableColumn id="7" xr3:uid="{00000000-0010-0000-0700-000007000000}" name="Giu" totalsRowFunction="sum" dataDxfId="185" totalsRowDxfId="184">
      <calculatedColumnFormula>H5*0.27</calculatedColumnFormula>
    </tableColumn>
    <tableColumn id="8" xr3:uid="{00000000-0010-0000-0700-000008000000}" name="Lug" totalsRowFunction="sum" dataDxfId="183" totalsRowDxfId="182"/>
    <tableColumn id="9" xr3:uid="{00000000-0010-0000-0700-000009000000}" name="Ago" totalsRowFunction="sum" dataDxfId="181" totalsRowDxfId="180"/>
    <tableColumn id="10" xr3:uid="{00000000-0010-0000-0700-00000A000000}" name="Set" totalsRowFunction="sum" dataDxfId="179" totalsRowDxfId="178"/>
    <tableColumn id="11" xr3:uid="{00000000-0010-0000-0700-00000B000000}" name="Ott" totalsRowFunction="sum" dataDxfId="177" totalsRowDxfId="176"/>
    <tableColumn id="12" xr3:uid="{00000000-0010-0000-0700-00000C000000}" name="Nov" totalsRowFunction="sum" dataDxfId="175" totalsRowDxfId="174"/>
    <tableColumn id="13" xr3:uid="{00000000-0010-0000-0700-00000D000000}" name="Dic" totalsRowFunction="sum" dataDxfId="173" totalsRowDxfId="172"/>
    <tableColumn id="14" xr3:uid="{00000000-0010-0000-0700-00000E000000}" name="ANNO" totalsRowFunction="sum" dataDxfId="171" totalsRowDxfId="170">
      <calculatedColumnFormula>SUM(C6:N6)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Immetti i costi mensili effettivi per i dipendenti in questa tabella. Il totale viene calcolato automaticamente alla fine"/>
    </ext>
  </extLst>
</table>
</file>

<file path=xl/theme/theme1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18">
      <a:majorFont>
        <a:latin typeface="Franklin Gothic Book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.xml" Id="rId3" /><Relationship Type="http://schemas.openxmlformats.org/officeDocument/2006/relationships/table" Target="/xl/tables/table57.xml" Id="rId7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8.xml" Id="rId6" /><Relationship Type="http://schemas.openxmlformats.org/officeDocument/2006/relationships/table" Target="/xl/tables/table39.xml" Id="rId5" /><Relationship Type="http://schemas.openxmlformats.org/officeDocument/2006/relationships/table" Target="/xl/tables/table210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61.xml" Id="rId3" /><Relationship Type="http://schemas.openxmlformats.org/officeDocument/2006/relationships/table" Target="/xl/tables/table102.xml" Id="rId7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93.xml" Id="rId6" /><Relationship Type="http://schemas.openxmlformats.org/officeDocument/2006/relationships/table" Target="/xl/tables/table84.xml" Id="rId5" /><Relationship Type="http://schemas.openxmlformats.org/officeDocument/2006/relationships/table" Target="/xl/tables/table75.xml" Id="rId4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1112.xml" Id="rId3" /><Relationship Type="http://schemas.openxmlformats.org/officeDocument/2006/relationships/table" Target="/xl/tables/table1513.xml" Id="rId7" /><Relationship Type="http://schemas.openxmlformats.org/officeDocument/2006/relationships/drawing" Target="/xl/drawings/drawing34.xml" Id="rId2" /><Relationship Type="http://schemas.openxmlformats.org/officeDocument/2006/relationships/printerSettings" Target="/xl/printerSettings/printerSettings45.bin" Id="rId1" /><Relationship Type="http://schemas.openxmlformats.org/officeDocument/2006/relationships/table" Target="/xl/tables/table1414.xml" Id="rId6" /><Relationship Type="http://schemas.openxmlformats.org/officeDocument/2006/relationships/table" Target="/xl/tables/table1315.xml" Id="rId5" /><Relationship Type="http://schemas.openxmlformats.org/officeDocument/2006/relationships/table" Target="/xl/tables/table1216.xml" Id="rId4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1611.xml" Id="rId3" /><Relationship Type="http://schemas.openxmlformats.org/officeDocument/2006/relationships/drawing" Target="/xl/drawings/drawing43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652D-94A4-43B5-AFA7-1A6439101CE6}">
  <sheetPr>
    <tabColor theme="3" tint="-0.249977111117893"/>
  </sheetPr>
  <dimension ref="B1:B8"/>
  <sheetViews>
    <sheetView tabSelected="1" workbookViewId="0"/>
  </sheetViews>
  <sheetFormatPr defaultRowHeight="12.75" x14ac:dyDescent="0.2"/>
  <cols>
    <col min="1" max="1" width="2.7109375" customWidth="1"/>
    <col min="2" max="2" width="88.85546875" customWidth="1"/>
    <col min="3" max="3" width="2.7109375" customWidth="1"/>
  </cols>
  <sheetData>
    <row r="1" spans="2:2" s="32" customFormat="1" ht="30" customHeight="1" x14ac:dyDescent="0.2">
      <c r="B1" s="33" t="s">
        <v>0</v>
      </c>
    </row>
    <row r="2" spans="2:2" ht="36.75" customHeight="1" x14ac:dyDescent="0.2">
      <c r="B2" s="44" t="s">
        <v>1</v>
      </c>
    </row>
    <row r="3" spans="2:2" ht="30" customHeight="1" x14ac:dyDescent="0.2">
      <c r="B3" s="44" t="s">
        <v>2</v>
      </c>
    </row>
    <row r="4" spans="2:2" ht="40.5" customHeight="1" x14ac:dyDescent="0.2">
      <c r="B4" s="44" t="s">
        <v>3</v>
      </c>
    </row>
    <row r="5" spans="2:2" ht="36" customHeight="1" x14ac:dyDescent="0.2">
      <c r="B5" s="44" t="s">
        <v>4</v>
      </c>
    </row>
    <row r="6" spans="2:2" ht="36" customHeight="1" x14ac:dyDescent="0.2">
      <c r="B6" s="46" t="s">
        <v>5</v>
      </c>
    </row>
    <row r="7" spans="2:2" ht="53.25" customHeight="1" x14ac:dyDescent="0.2">
      <c r="B7" s="44" t="s">
        <v>6</v>
      </c>
    </row>
    <row r="8" spans="2:2" ht="40.5" customHeight="1" x14ac:dyDescent="0.25">
      <c r="B8" s="45" t="s">
        <v>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/>
  </sheetPr>
  <dimension ref="A1:T37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4.28515625" style="1" customWidth="1"/>
    <col min="3" max="15" width="15.7109375" style="1" customWidth="1"/>
    <col min="16" max="16" width="4.7109375" style="1" customWidth="1"/>
    <col min="17" max="17" width="1.7109375" style="1" customWidth="1"/>
    <col min="18" max="19" width="9.140625" style="1"/>
    <col min="20" max="20" width="11.140625" style="1" customWidth="1"/>
    <col min="21" max="16384" width="9.140625" style="1"/>
  </cols>
  <sheetData>
    <row r="1" spans="1:20" ht="24" customHeight="1" x14ac:dyDescent="0.3">
      <c r="A1" s="36" t="s">
        <v>76</v>
      </c>
      <c r="B1" s="10"/>
      <c r="C1" s="10"/>
      <c r="D1" s="10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68" t="s">
        <v>64</v>
      </c>
    </row>
    <row r="2" spans="1:20" ht="45" customHeight="1" x14ac:dyDescent="0.35">
      <c r="A2" s="34"/>
      <c r="B2" s="91" t="s">
        <v>8</v>
      </c>
      <c r="C2" s="91"/>
      <c r="D2" s="91"/>
      <c r="E2" s="11"/>
      <c r="F2" s="8"/>
      <c r="G2" s="8"/>
      <c r="H2" s="8"/>
      <c r="I2" s="8"/>
      <c r="J2" s="8"/>
      <c r="K2" s="132" t="s">
        <v>52</v>
      </c>
      <c r="L2" s="132"/>
      <c r="M2" s="132"/>
      <c r="N2" s="88"/>
      <c r="O2" s="88"/>
      <c r="P2" s="7"/>
    </row>
    <row r="3" spans="1:20" ht="30" customHeight="1" x14ac:dyDescent="0.3">
      <c r="A3" s="34"/>
      <c r="B3" s="91"/>
      <c r="C3" s="91"/>
      <c r="D3" s="91"/>
      <c r="E3" s="12"/>
      <c r="F3" s="9"/>
      <c r="G3" s="9"/>
      <c r="H3" s="9"/>
      <c r="I3" s="9"/>
      <c r="J3" s="9"/>
      <c r="K3" s="133" t="s">
        <v>53</v>
      </c>
      <c r="L3" s="133"/>
      <c r="M3" s="133"/>
      <c r="N3" s="88"/>
      <c r="O3" s="88"/>
      <c r="P3" s="7"/>
    </row>
    <row r="4" spans="1:20" s="13" customFormat="1" ht="49.5" customHeight="1" x14ac:dyDescent="0.3">
      <c r="A4" s="35"/>
      <c r="B4" s="24" t="s">
        <v>9</v>
      </c>
      <c r="C4" s="25" t="s">
        <v>36</v>
      </c>
      <c r="D4" s="25" t="s">
        <v>38</v>
      </c>
      <c r="E4" s="129" t="s">
        <v>40</v>
      </c>
      <c r="F4" s="25" t="s">
        <v>42</v>
      </c>
      <c r="G4" s="25" t="s">
        <v>44</v>
      </c>
      <c r="H4" s="25" t="s">
        <v>46</v>
      </c>
      <c r="I4" s="129" t="s">
        <v>48</v>
      </c>
      <c r="J4" s="25" t="s">
        <v>50</v>
      </c>
      <c r="K4" s="25" t="s">
        <v>54</v>
      </c>
      <c r="L4" s="25" t="s">
        <v>56</v>
      </c>
      <c r="M4" s="25" t="s">
        <v>58</v>
      </c>
      <c r="N4" s="129" t="s">
        <v>60</v>
      </c>
      <c r="O4" s="25" t="s">
        <v>62</v>
      </c>
      <c r="R4" s="130"/>
      <c r="S4" s="131"/>
      <c r="T4" s="131"/>
    </row>
    <row r="5" spans="1:20" ht="24.95" customHeight="1" thickBot="1" x14ac:dyDescent="0.35">
      <c r="A5" s="35"/>
      <c r="B5" s="47" t="s">
        <v>10</v>
      </c>
      <c r="C5" s="66" t="s">
        <v>37</v>
      </c>
      <c r="D5" s="63" t="s">
        <v>39</v>
      </c>
      <c r="E5" s="64" t="s">
        <v>41</v>
      </c>
      <c r="F5" s="63" t="s">
        <v>43</v>
      </c>
      <c r="G5" s="63" t="s">
        <v>45</v>
      </c>
      <c r="H5" s="63" t="s">
        <v>47</v>
      </c>
      <c r="I5" s="63" t="s">
        <v>49</v>
      </c>
      <c r="J5" s="63" t="s">
        <v>51</v>
      </c>
      <c r="K5" s="63" t="s">
        <v>55</v>
      </c>
      <c r="L5" s="63" t="s">
        <v>57</v>
      </c>
      <c r="M5" s="63" t="s">
        <v>59</v>
      </c>
      <c r="N5" s="63" t="s">
        <v>61</v>
      </c>
      <c r="O5" s="65" t="s">
        <v>62</v>
      </c>
      <c r="R5" s="131"/>
      <c r="S5" s="131"/>
      <c r="T5" s="131"/>
    </row>
    <row r="6" spans="1:20" ht="24.95" customHeight="1" thickBot="1" x14ac:dyDescent="0.35">
      <c r="A6" s="35"/>
      <c r="B6" s="48" t="s">
        <v>11</v>
      </c>
      <c r="C6" s="94">
        <v>85000</v>
      </c>
      <c r="D6" s="95">
        <v>85000</v>
      </c>
      <c r="E6" s="95">
        <v>85000</v>
      </c>
      <c r="F6" s="95">
        <v>87500</v>
      </c>
      <c r="G6" s="95">
        <v>87500</v>
      </c>
      <c r="H6" s="95">
        <v>87500</v>
      </c>
      <c r="I6" s="95">
        <v>87500</v>
      </c>
      <c r="J6" s="95">
        <v>92400</v>
      </c>
      <c r="K6" s="95">
        <v>92400</v>
      </c>
      <c r="L6" s="95">
        <v>92400</v>
      </c>
      <c r="M6" s="95">
        <v>92400</v>
      </c>
      <c r="N6" s="95">
        <v>92400</v>
      </c>
      <c r="O6" s="96">
        <f>SUM(C6:N6)</f>
        <v>1067000</v>
      </c>
      <c r="R6" s="131"/>
      <c r="S6" s="131"/>
      <c r="T6" s="131"/>
    </row>
    <row r="7" spans="1:20" ht="24.95" customHeight="1" thickBot="1" x14ac:dyDescent="0.35">
      <c r="A7" s="35"/>
      <c r="B7" s="48" t="s">
        <v>12</v>
      </c>
      <c r="C7" s="94">
        <f t="shared" ref="C7:N7" si="0">C6*0.27</f>
        <v>22950</v>
      </c>
      <c r="D7" s="95">
        <f t="shared" si="0"/>
        <v>22950</v>
      </c>
      <c r="E7" s="95">
        <f t="shared" si="0"/>
        <v>22950</v>
      </c>
      <c r="F7" s="95">
        <f t="shared" si="0"/>
        <v>23625</v>
      </c>
      <c r="G7" s="95">
        <f t="shared" si="0"/>
        <v>23625</v>
      </c>
      <c r="H7" s="95">
        <f t="shared" si="0"/>
        <v>23625</v>
      </c>
      <c r="I7" s="95">
        <f t="shared" si="0"/>
        <v>23625</v>
      </c>
      <c r="J7" s="95">
        <f t="shared" si="0"/>
        <v>24948</v>
      </c>
      <c r="K7" s="95">
        <f t="shared" si="0"/>
        <v>24948</v>
      </c>
      <c r="L7" s="95">
        <f t="shared" si="0"/>
        <v>24948</v>
      </c>
      <c r="M7" s="95">
        <f t="shared" si="0"/>
        <v>24948</v>
      </c>
      <c r="N7" s="95">
        <f t="shared" si="0"/>
        <v>24948</v>
      </c>
      <c r="O7" s="96">
        <f>SUM(C7:N7)</f>
        <v>288090</v>
      </c>
      <c r="R7" s="131"/>
      <c r="S7" s="131"/>
      <c r="T7" s="131"/>
    </row>
    <row r="8" spans="1:20" ht="24.95" customHeight="1" x14ac:dyDescent="0.3">
      <c r="A8" s="35"/>
      <c r="B8" s="49" t="s">
        <v>13</v>
      </c>
      <c r="C8" s="97">
        <f>SUBTOTAL(109,PianDipendenti[Gen])</f>
        <v>107950</v>
      </c>
      <c r="D8" s="98">
        <f>SUBTOTAL(109,PianDipendenti[Feb])</f>
        <v>107950</v>
      </c>
      <c r="E8" s="98">
        <f>SUBTOTAL(109,PianDipendenti[Mar])</f>
        <v>107950</v>
      </c>
      <c r="F8" s="98">
        <f>SUBTOTAL(109,PianDipendenti[Apr])</f>
        <v>111125</v>
      </c>
      <c r="G8" s="98">
        <f>SUBTOTAL(109,PianDipendenti[Mag])</f>
        <v>111125</v>
      </c>
      <c r="H8" s="98">
        <f>SUBTOTAL(109,PianDipendenti[Giu])</f>
        <v>111125</v>
      </c>
      <c r="I8" s="98">
        <f>SUBTOTAL(109,PianDipendenti[Lug])</f>
        <v>111125</v>
      </c>
      <c r="J8" s="98">
        <f>SUBTOTAL(109,PianDipendenti[Ago])</f>
        <v>117348</v>
      </c>
      <c r="K8" s="98">
        <f>SUBTOTAL(109,PianDipendenti[Set])</f>
        <v>117348</v>
      </c>
      <c r="L8" s="98">
        <f>SUBTOTAL(109,PianDipendenti[Ott])</f>
        <v>117348</v>
      </c>
      <c r="M8" s="98">
        <f>SUBTOTAL(109,PianDipendenti[Nov])</f>
        <v>117348</v>
      </c>
      <c r="N8" s="98">
        <f>SUBTOTAL(109,PianDipendenti[Dic])</f>
        <v>117348</v>
      </c>
      <c r="O8" s="99">
        <f>SUBTOTAL(109,PianDipendenti[ANNO])</f>
        <v>1355090</v>
      </c>
      <c r="R8" s="131"/>
      <c r="S8" s="131"/>
      <c r="T8" s="131"/>
    </row>
    <row r="9" spans="1:20" ht="21" customHeight="1" thickBot="1" x14ac:dyDescent="0.35">
      <c r="A9" s="35"/>
      <c r="B9" s="89"/>
      <c r="C9" s="8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R9" s="131"/>
      <c r="S9" s="131"/>
      <c r="T9" s="131"/>
    </row>
    <row r="10" spans="1:20" ht="24.95" customHeight="1" thickBot="1" x14ac:dyDescent="0.35">
      <c r="A10" s="35"/>
      <c r="B10" s="60" t="s">
        <v>14</v>
      </c>
      <c r="C10" s="56" t="s">
        <v>37</v>
      </c>
      <c r="D10" s="57" t="s">
        <v>39</v>
      </c>
      <c r="E10" s="58" t="s">
        <v>41</v>
      </c>
      <c r="F10" s="57" t="s">
        <v>43</v>
      </c>
      <c r="G10" s="57" t="s">
        <v>45</v>
      </c>
      <c r="H10" s="57" t="s">
        <v>47</v>
      </c>
      <c r="I10" s="57" t="s">
        <v>49</v>
      </c>
      <c r="J10" s="57" t="s">
        <v>51</v>
      </c>
      <c r="K10" s="57" t="s">
        <v>55</v>
      </c>
      <c r="L10" s="57" t="s">
        <v>57</v>
      </c>
      <c r="M10" s="57" t="s">
        <v>59</v>
      </c>
      <c r="N10" s="57" t="s">
        <v>61</v>
      </c>
      <c r="O10" s="59" t="s">
        <v>62</v>
      </c>
      <c r="R10" s="131"/>
      <c r="S10" s="131"/>
      <c r="T10" s="131"/>
    </row>
    <row r="11" spans="1:20" ht="24.95" customHeight="1" thickBot="1" x14ac:dyDescent="0.35">
      <c r="A11" s="35"/>
      <c r="B11" s="85" t="s">
        <v>15</v>
      </c>
      <c r="C11" s="94">
        <v>9800</v>
      </c>
      <c r="D11" s="95">
        <v>9800</v>
      </c>
      <c r="E11" s="95">
        <v>9800</v>
      </c>
      <c r="F11" s="95">
        <v>9800</v>
      </c>
      <c r="G11" s="95">
        <v>9800</v>
      </c>
      <c r="H11" s="95">
        <v>9800</v>
      </c>
      <c r="I11" s="95">
        <v>9800</v>
      </c>
      <c r="J11" s="95">
        <v>9800</v>
      </c>
      <c r="K11" s="95">
        <v>9800</v>
      </c>
      <c r="L11" s="95">
        <v>9800</v>
      </c>
      <c r="M11" s="95">
        <v>9800</v>
      </c>
      <c r="N11" s="95">
        <v>9800</v>
      </c>
      <c r="O11" s="96">
        <f t="shared" ref="O11:O18" si="1">SUM(C11:N11)</f>
        <v>117600</v>
      </c>
      <c r="R11" s="131"/>
      <c r="S11" s="131"/>
      <c r="T11" s="131"/>
    </row>
    <row r="12" spans="1:20" ht="24.95" customHeight="1" thickBot="1" x14ac:dyDescent="0.35">
      <c r="A12" s="35"/>
      <c r="B12" s="85" t="s">
        <v>16</v>
      </c>
      <c r="C12" s="94"/>
      <c r="D12" s="95">
        <v>400</v>
      </c>
      <c r="E12" s="95">
        <v>400</v>
      </c>
      <c r="F12" s="95">
        <v>100</v>
      </c>
      <c r="G12" s="95">
        <v>100</v>
      </c>
      <c r="H12" s="95">
        <v>100</v>
      </c>
      <c r="I12" s="95">
        <v>100</v>
      </c>
      <c r="J12" s="95">
        <v>100</v>
      </c>
      <c r="K12" s="95">
        <v>100</v>
      </c>
      <c r="L12" s="95">
        <v>100</v>
      </c>
      <c r="M12" s="95">
        <v>400</v>
      </c>
      <c r="N12" s="95">
        <v>400</v>
      </c>
      <c r="O12" s="96">
        <f t="shared" si="1"/>
        <v>2300</v>
      </c>
      <c r="R12" s="131"/>
      <c r="S12" s="131"/>
      <c r="T12" s="131"/>
    </row>
    <row r="13" spans="1:20" ht="24.95" customHeight="1" thickBot="1" x14ac:dyDescent="0.35">
      <c r="A13" s="35"/>
      <c r="B13" s="85" t="s">
        <v>17</v>
      </c>
      <c r="C13" s="94">
        <v>300</v>
      </c>
      <c r="D13" s="95">
        <v>300</v>
      </c>
      <c r="E13" s="95">
        <v>300</v>
      </c>
      <c r="F13" s="95">
        <v>300</v>
      </c>
      <c r="G13" s="95">
        <v>300</v>
      </c>
      <c r="H13" s="95">
        <v>300</v>
      </c>
      <c r="I13" s="95">
        <v>300</v>
      </c>
      <c r="J13" s="95">
        <v>300</v>
      </c>
      <c r="K13" s="95">
        <v>300</v>
      </c>
      <c r="L13" s="95">
        <v>300</v>
      </c>
      <c r="M13" s="95">
        <v>300</v>
      </c>
      <c r="N13" s="95">
        <v>300</v>
      </c>
      <c r="O13" s="96">
        <f t="shared" si="1"/>
        <v>3600</v>
      </c>
      <c r="R13" s="131"/>
      <c r="S13" s="131"/>
      <c r="T13" s="131"/>
    </row>
    <row r="14" spans="1:20" ht="24.95" customHeight="1" thickBot="1" x14ac:dyDescent="0.35">
      <c r="A14" s="35"/>
      <c r="B14" s="85" t="s">
        <v>18</v>
      </c>
      <c r="C14" s="94">
        <v>40</v>
      </c>
      <c r="D14" s="95">
        <v>40</v>
      </c>
      <c r="E14" s="95">
        <v>40</v>
      </c>
      <c r="F14" s="95">
        <v>40</v>
      </c>
      <c r="G14" s="95">
        <v>40</v>
      </c>
      <c r="H14" s="95">
        <v>40</v>
      </c>
      <c r="I14" s="95">
        <v>40</v>
      </c>
      <c r="J14" s="95">
        <v>40</v>
      </c>
      <c r="K14" s="95">
        <v>40</v>
      </c>
      <c r="L14" s="95">
        <v>40</v>
      </c>
      <c r="M14" s="95">
        <v>40</v>
      </c>
      <c r="N14" s="95">
        <v>40</v>
      </c>
      <c r="O14" s="96">
        <f t="shared" si="1"/>
        <v>480</v>
      </c>
    </row>
    <row r="15" spans="1:20" ht="24.95" customHeight="1" thickBot="1" x14ac:dyDescent="0.35">
      <c r="A15" s="35"/>
      <c r="B15" s="85" t="s">
        <v>19</v>
      </c>
      <c r="C15" s="94">
        <v>250</v>
      </c>
      <c r="D15" s="95">
        <v>250</v>
      </c>
      <c r="E15" s="95">
        <v>250</v>
      </c>
      <c r="F15" s="95">
        <v>250</v>
      </c>
      <c r="G15" s="95">
        <v>250</v>
      </c>
      <c r="H15" s="95">
        <v>250</v>
      </c>
      <c r="I15" s="95">
        <v>250</v>
      </c>
      <c r="J15" s="95">
        <v>250</v>
      </c>
      <c r="K15" s="95">
        <v>250</v>
      </c>
      <c r="L15" s="95">
        <v>250</v>
      </c>
      <c r="M15" s="95">
        <v>250</v>
      </c>
      <c r="N15" s="95">
        <v>250</v>
      </c>
      <c r="O15" s="96">
        <f t="shared" si="1"/>
        <v>3000</v>
      </c>
    </row>
    <row r="16" spans="1:20" ht="24.95" customHeight="1" thickBot="1" x14ac:dyDescent="0.35">
      <c r="A16" s="35"/>
      <c r="B16" s="85" t="s">
        <v>20</v>
      </c>
      <c r="C16" s="94">
        <v>180</v>
      </c>
      <c r="D16" s="95">
        <v>180</v>
      </c>
      <c r="E16" s="95">
        <v>180</v>
      </c>
      <c r="F16" s="95">
        <v>180</v>
      </c>
      <c r="G16" s="95">
        <v>180</v>
      </c>
      <c r="H16" s="95">
        <v>180</v>
      </c>
      <c r="I16" s="95">
        <v>180</v>
      </c>
      <c r="J16" s="95">
        <v>180</v>
      </c>
      <c r="K16" s="95">
        <v>180</v>
      </c>
      <c r="L16" s="95">
        <v>180</v>
      </c>
      <c r="M16" s="95">
        <v>180</v>
      </c>
      <c r="N16" s="95">
        <v>180</v>
      </c>
      <c r="O16" s="96">
        <f t="shared" si="1"/>
        <v>2160</v>
      </c>
    </row>
    <row r="17" spans="1:15" ht="24.95" customHeight="1" thickBot="1" x14ac:dyDescent="0.35">
      <c r="A17" s="35"/>
      <c r="B17" s="85" t="s">
        <v>21</v>
      </c>
      <c r="C17" s="94">
        <v>200</v>
      </c>
      <c r="D17" s="95">
        <v>200</v>
      </c>
      <c r="E17" s="95">
        <v>200</v>
      </c>
      <c r="F17" s="95">
        <v>200</v>
      </c>
      <c r="G17" s="95">
        <v>200</v>
      </c>
      <c r="H17" s="95">
        <v>200</v>
      </c>
      <c r="I17" s="95">
        <v>200</v>
      </c>
      <c r="J17" s="95">
        <v>200</v>
      </c>
      <c r="K17" s="95">
        <v>200</v>
      </c>
      <c r="L17" s="95">
        <v>200</v>
      </c>
      <c r="M17" s="95">
        <v>200</v>
      </c>
      <c r="N17" s="95">
        <v>200</v>
      </c>
      <c r="O17" s="96">
        <f t="shared" si="1"/>
        <v>2400</v>
      </c>
    </row>
    <row r="18" spans="1:15" ht="24.95" customHeight="1" thickBot="1" x14ac:dyDescent="0.35">
      <c r="A18" s="35"/>
      <c r="B18" s="85" t="s">
        <v>22</v>
      </c>
      <c r="C18" s="94">
        <v>600</v>
      </c>
      <c r="D18" s="95">
        <v>600</v>
      </c>
      <c r="E18" s="95">
        <v>600</v>
      </c>
      <c r="F18" s="95">
        <v>600</v>
      </c>
      <c r="G18" s="95">
        <v>600</v>
      </c>
      <c r="H18" s="95">
        <v>600</v>
      </c>
      <c r="I18" s="95">
        <v>600</v>
      </c>
      <c r="J18" s="95">
        <v>600</v>
      </c>
      <c r="K18" s="95">
        <v>600</v>
      </c>
      <c r="L18" s="95">
        <v>600</v>
      </c>
      <c r="M18" s="95">
        <v>600</v>
      </c>
      <c r="N18" s="95">
        <v>600</v>
      </c>
      <c r="O18" s="96">
        <f t="shared" si="1"/>
        <v>7200</v>
      </c>
    </row>
    <row r="19" spans="1:15" ht="24.95" customHeight="1" thickBot="1" x14ac:dyDescent="0.35">
      <c r="A19" s="35"/>
      <c r="B19" s="67" t="s">
        <v>13</v>
      </c>
      <c r="C19" s="100">
        <f>SUBTOTAL(109,PianUfficio[Gen])</f>
        <v>11370</v>
      </c>
      <c r="D19" s="101">
        <f>SUBTOTAL(109,PianUfficio[Feb])</f>
        <v>11770</v>
      </c>
      <c r="E19" s="101">
        <f>SUBTOTAL(109,PianUfficio[Mar])</f>
        <v>11770</v>
      </c>
      <c r="F19" s="101">
        <f>SUBTOTAL(109,PianUfficio[Apr])</f>
        <v>11470</v>
      </c>
      <c r="G19" s="101">
        <f>SUBTOTAL(109,PianUfficio[Mag])</f>
        <v>11470</v>
      </c>
      <c r="H19" s="101">
        <f>SUBTOTAL(109,PianUfficio[Giu])</f>
        <v>11470</v>
      </c>
      <c r="I19" s="101">
        <f>SUBTOTAL(109,PianUfficio[Lug])</f>
        <v>11470</v>
      </c>
      <c r="J19" s="101">
        <f>SUBTOTAL(109,PianUfficio[Ago])</f>
        <v>11470</v>
      </c>
      <c r="K19" s="101">
        <f>SUBTOTAL(109,PianUfficio[Set])</f>
        <v>11470</v>
      </c>
      <c r="L19" s="101">
        <f>SUBTOTAL(109,PianUfficio[Ott])</f>
        <v>11470</v>
      </c>
      <c r="M19" s="101">
        <f>SUBTOTAL(109,PianUfficio[Nov])</f>
        <v>11770</v>
      </c>
      <c r="N19" s="101">
        <f>SUBTOTAL(109,PianUfficio[Dic])</f>
        <v>11770</v>
      </c>
      <c r="O19" s="102">
        <f>SUBTOTAL(109,PianUfficio[ANNO])</f>
        <v>138740</v>
      </c>
    </row>
    <row r="20" spans="1:15" ht="21" customHeight="1" x14ac:dyDescent="0.3">
      <c r="A20" s="35"/>
      <c r="B20" s="90"/>
      <c r="C20" s="90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1:15" ht="24.95" customHeight="1" thickBot="1" x14ac:dyDescent="0.35">
      <c r="A21" s="35"/>
      <c r="B21" s="61" t="s">
        <v>23</v>
      </c>
      <c r="C21" s="52" t="s">
        <v>37</v>
      </c>
      <c r="D21" s="52" t="s">
        <v>39</v>
      </c>
      <c r="E21" s="53" t="s">
        <v>41</v>
      </c>
      <c r="F21" s="52" t="s">
        <v>43</v>
      </c>
      <c r="G21" s="52" t="s">
        <v>45</v>
      </c>
      <c r="H21" s="52" t="s">
        <v>47</v>
      </c>
      <c r="I21" s="52" t="s">
        <v>49</v>
      </c>
      <c r="J21" s="52" t="s">
        <v>51</v>
      </c>
      <c r="K21" s="52" t="s">
        <v>55</v>
      </c>
      <c r="L21" s="52" t="s">
        <v>57</v>
      </c>
      <c r="M21" s="52" t="s">
        <v>59</v>
      </c>
      <c r="N21" s="52" t="s">
        <v>61</v>
      </c>
      <c r="O21" s="54" t="s">
        <v>62</v>
      </c>
    </row>
    <row r="22" spans="1:15" ht="24.95" customHeight="1" thickBot="1" x14ac:dyDescent="0.35">
      <c r="A22" s="35"/>
      <c r="B22" s="48" t="s">
        <v>24</v>
      </c>
      <c r="C22" s="108">
        <v>500</v>
      </c>
      <c r="D22" s="103">
        <v>500</v>
      </c>
      <c r="E22" s="103">
        <v>500</v>
      </c>
      <c r="F22" s="103">
        <v>500</v>
      </c>
      <c r="G22" s="103">
        <v>500</v>
      </c>
      <c r="H22" s="103">
        <v>500</v>
      </c>
      <c r="I22" s="103">
        <v>500</v>
      </c>
      <c r="J22" s="103">
        <v>500</v>
      </c>
      <c r="K22" s="103">
        <v>500</v>
      </c>
      <c r="L22" s="103">
        <v>500</v>
      </c>
      <c r="M22" s="103">
        <v>500</v>
      </c>
      <c r="N22" s="103">
        <v>500</v>
      </c>
      <c r="O22" s="96">
        <f t="shared" ref="O22:O27" si="2">SUM(C22:N22)</f>
        <v>6000</v>
      </c>
    </row>
    <row r="23" spans="1:15" ht="24.95" customHeight="1" thickBot="1" x14ac:dyDescent="0.35">
      <c r="A23" s="35"/>
      <c r="B23" s="48" t="s">
        <v>25</v>
      </c>
      <c r="C23" s="108">
        <v>200</v>
      </c>
      <c r="D23" s="103">
        <v>200</v>
      </c>
      <c r="E23" s="103">
        <v>200</v>
      </c>
      <c r="F23" s="103">
        <v>200</v>
      </c>
      <c r="G23" s="103">
        <v>200</v>
      </c>
      <c r="H23" s="103">
        <v>1000</v>
      </c>
      <c r="I23" s="103">
        <v>200</v>
      </c>
      <c r="J23" s="103">
        <v>200</v>
      </c>
      <c r="K23" s="103">
        <v>200</v>
      </c>
      <c r="L23" s="103">
        <v>200</v>
      </c>
      <c r="M23" s="103">
        <v>200</v>
      </c>
      <c r="N23" s="103">
        <v>1000</v>
      </c>
      <c r="O23" s="96">
        <f t="shared" si="2"/>
        <v>4000</v>
      </c>
    </row>
    <row r="24" spans="1:15" ht="24.95" customHeight="1" thickBot="1" x14ac:dyDescent="0.35">
      <c r="A24" s="35"/>
      <c r="B24" s="48" t="s">
        <v>26</v>
      </c>
      <c r="C24" s="108">
        <v>5000</v>
      </c>
      <c r="D24" s="103">
        <v>0</v>
      </c>
      <c r="E24" s="103">
        <v>0</v>
      </c>
      <c r="F24" s="103">
        <v>5000</v>
      </c>
      <c r="G24" s="103">
        <v>0</v>
      </c>
      <c r="H24" s="103">
        <v>0</v>
      </c>
      <c r="I24" s="103">
        <v>5000</v>
      </c>
      <c r="J24" s="103">
        <v>0</v>
      </c>
      <c r="K24" s="103">
        <v>0</v>
      </c>
      <c r="L24" s="103">
        <v>5000</v>
      </c>
      <c r="M24" s="103">
        <v>0</v>
      </c>
      <c r="N24" s="103">
        <v>0</v>
      </c>
      <c r="O24" s="96">
        <f t="shared" si="2"/>
        <v>20000</v>
      </c>
    </row>
    <row r="25" spans="1:15" ht="24.95" customHeight="1" thickBot="1" x14ac:dyDescent="0.35">
      <c r="A25" s="35"/>
      <c r="B25" s="48" t="s">
        <v>27</v>
      </c>
      <c r="C25" s="108">
        <v>200</v>
      </c>
      <c r="D25" s="103">
        <v>200</v>
      </c>
      <c r="E25" s="103">
        <v>200</v>
      </c>
      <c r="F25" s="103">
        <v>200</v>
      </c>
      <c r="G25" s="103">
        <v>200</v>
      </c>
      <c r="H25" s="103">
        <v>200</v>
      </c>
      <c r="I25" s="103">
        <v>200</v>
      </c>
      <c r="J25" s="103">
        <v>200</v>
      </c>
      <c r="K25" s="103">
        <v>200</v>
      </c>
      <c r="L25" s="103">
        <v>200</v>
      </c>
      <c r="M25" s="103">
        <v>200</v>
      </c>
      <c r="N25" s="103">
        <v>200</v>
      </c>
      <c r="O25" s="96">
        <f t="shared" si="2"/>
        <v>2400</v>
      </c>
    </row>
    <row r="26" spans="1:15" ht="24.95" customHeight="1" thickBot="1" x14ac:dyDescent="0.35">
      <c r="A26" s="35"/>
      <c r="B26" s="48" t="s">
        <v>28</v>
      </c>
      <c r="C26" s="108">
        <v>2000</v>
      </c>
      <c r="D26" s="103">
        <v>2000</v>
      </c>
      <c r="E26" s="103">
        <v>2000</v>
      </c>
      <c r="F26" s="103">
        <v>5000</v>
      </c>
      <c r="G26" s="103">
        <v>2000</v>
      </c>
      <c r="H26" s="103">
        <v>2000</v>
      </c>
      <c r="I26" s="103">
        <v>2000</v>
      </c>
      <c r="J26" s="103">
        <v>5000</v>
      </c>
      <c r="K26" s="103">
        <v>2000</v>
      </c>
      <c r="L26" s="103">
        <v>2000</v>
      </c>
      <c r="M26" s="103">
        <v>2000</v>
      </c>
      <c r="N26" s="103">
        <v>5000</v>
      </c>
      <c r="O26" s="96">
        <f t="shared" si="2"/>
        <v>33000</v>
      </c>
    </row>
    <row r="27" spans="1:15" ht="24.95" customHeight="1" thickBot="1" x14ac:dyDescent="0.35">
      <c r="A27" s="35"/>
      <c r="B27" s="48" t="s">
        <v>29</v>
      </c>
      <c r="C27" s="108">
        <v>200</v>
      </c>
      <c r="D27" s="103">
        <v>200</v>
      </c>
      <c r="E27" s="103">
        <v>200</v>
      </c>
      <c r="F27" s="103">
        <v>200</v>
      </c>
      <c r="G27" s="103">
        <v>200</v>
      </c>
      <c r="H27" s="103">
        <v>200</v>
      </c>
      <c r="I27" s="103">
        <v>200</v>
      </c>
      <c r="J27" s="103">
        <v>200</v>
      </c>
      <c r="K27" s="103">
        <v>200</v>
      </c>
      <c r="L27" s="103">
        <v>200</v>
      </c>
      <c r="M27" s="103">
        <v>200</v>
      </c>
      <c r="N27" s="103">
        <v>200</v>
      </c>
      <c r="O27" s="96">
        <f t="shared" si="2"/>
        <v>2400</v>
      </c>
    </row>
    <row r="28" spans="1:15" ht="21" customHeight="1" x14ac:dyDescent="0.3">
      <c r="A28" s="35"/>
      <c r="B28" s="50" t="s">
        <v>13</v>
      </c>
      <c r="C28" s="122">
        <f>SUBTOTAL(109,PianMarketing[Gen])</f>
        <v>8100</v>
      </c>
      <c r="D28" s="122">
        <f>SUBTOTAL(109,PianMarketing[Feb])</f>
        <v>3100</v>
      </c>
      <c r="E28" s="122">
        <f>SUBTOTAL(109,PianMarketing[Mar])</f>
        <v>3100</v>
      </c>
      <c r="F28" s="122">
        <f>SUBTOTAL(109,PianMarketing[Apr])</f>
        <v>11100</v>
      </c>
      <c r="G28" s="122">
        <f>SUBTOTAL(109,PianMarketing[Mag])</f>
        <v>3100</v>
      </c>
      <c r="H28" s="122">
        <f>SUBTOTAL(109,PianMarketing[Giu])</f>
        <v>3900</v>
      </c>
      <c r="I28" s="122">
        <f>SUBTOTAL(109,PianMarketing[Lug])</f>
        <v>8100</v>
      </c>
      <c r="J28" s="122">
        <f>SUBTOTAL(109,PianMarketing[Ago])</f>
        <v>6100</v>
      </c>
      <c r="K28" s="122">
        <f>SUBTOTAL(109,PianMarketing[Set])</f>
        <v>3100</v>
      </c>
      <c r="L28" s="122">
        <f>SUBTOTAL(109,PianMarketing[Ott])</f>
        <v>8100</v>
      </c>
      <c r="M28" s="122">
        <f>SUBTOTAL(109,PianMarketing[Nov])</f>
        <v>3100</v>
      </c>
      <c r="N28" s="122">
        <f>SUBTOTAL(109,PianMarketing[Dic])</f>
        <v>6900</v>
      </c>
      <c r="O28" s="123">
        <f>SUBTOTAL(109,PianMarketing[ANNO])</f>
        <v>67800</v>
      </c>
    </row>
    <row r="29" spans="1:15" ht="21" customHeight="1" x14ac:dyDescent="0.3">
      <c r="A29" s="35"/>
      <c r="B29" s="89"/>
      <c r="C29" s="8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1:15" ht="21" customHeight="1" thickBot="1" x14ac:dyDescent="0.35">
      <c r="A30" s="35"/>
      <c r="B30" s="62" t="s">
        <v>30</v>
      </c>
      <c r="C30" s="52" t="s">
        <v>37</v>
      </c>
      <c r="D30" s="52" t="s">
        <v>39</v>
      </c>
      <c r="E30" s="53" t="s">
        <v>41</v>
      </c>
      <c r="F30" s="52" t="s">
        <v>43</v>
      </c>
      <c r="G30" s="52" t="s">
        <v>45</v>
      </c>
      <c r="H30" s="52" t="s">
        <v>47</v>
      </c>
      <c r="I30" s="52" t="s">
        <v>49</v>
      </c>
      <c r="J30" s="52" t="s">
        <v>51</v>
      </c>
      <c r="K30" s="52" t="s">
        <v>55</v>
      </c>
      <c r="L30" s="52" t="s">
        <v>57</v>
      </c>
      <c r="M30" s="52" t="s">
        <v>59</v>
      </c>
      <c r="N30" s="52" t="s">
        <v>61</v>
      </c>
      <c r="O30" s="54" t="s">
        <v>62</v>
      </c>
    </row>
    <row r="31" spans="1:15" ht="21" customHeight="1" thickBot="1" x14ac:dyDescent="0.35">
      <c r="A31" s="35"/>
      <c r="B31" s="48" t="s">
        <v>31</v>
      </c>
      <c r="C31" s="108">
        <v>2000</v>
      </c>
      <c r="D31" s="103">
        <v>2000</v>
      </c>
      <c r="E31" s="103">
        <v>2000</v>
      </c>
      <c r="F31" s="103">
        <v>2000</v>
      </c>
      <c r="G31" s="103">
        <v>2000</v>
      </c>
      <c r="H31" s="103">
        <v>2000</v>
      </c>
      <c r="I31" s="103">
        <v>2000</v>
      </c>
      <c r="J31" s="103">
        <v>2000</v>
      </c>
      <c r="K31" s="103">
        <v>2000</v>
      </c>
      <c r="L31" s="103">
        <v>2000</v>
      </c>
      <c r="M31" s="103">
        <v>2000</v>
      </c>
      <c r="N31" s="103">
        <v>2000</v>
      </c>
      <c r="O31" s="104">
        <f>SUM(C31:N31)</f>
        <v>24000</v>
      </c>
    </row>
    <row r="32" spans="1:15" ht="21" customHeight="1" thickBot="1" x14ac:dyDescent="0.35">
      <c r="A32" s="35"/>
      <c r="B32" s="48" t="s">
        <v>32</v>
      </c>
      <c r="C32" s="108">
        <v>2000</v>
      </c>
      <c r="D32" s="103">
        <v>2000</v>
      </c>
      <c r="E32" s="103">
        <v>2000</v>
      </c>
      <c r="F32" s="103">
        <v>2000</v>
      </c>
      <c r="G32" s="103">
        <v>2000</v>
      </c>
      <c r="H32" s="103">
        <v>2000</v>
      </c>
      <c r="I32" s="103">
        <v>2000</v>
      </c>
      <c r="J32" s="103">
        <v>2000</v>
      </c>
      <c r="K32" s="103">
        <v>2000</v>
      </c>
      <c r="L32" s="103">
        <v>2000</v>
      </c>
      <c r="M32" s="103">
        <v>2000</v>
      </c>
      <c r="N32" s="103">
        <v>2000</v>
      </c>
      <c r="O32" s="104">
        <f>SUM(C32:N32)</f>
        <v>24000</v>
      </c>
    </row>
    <row r="33" spans="1:15" ht="21" customHeight="1" x14ac:dyDescent="0.3">
      <c r="A33" s="35"/>
      <c r="B33" s="50" t="s">
        <v>13</v>
      </c>
      <c r="C33" s="112">
        <f>SUBTOTAL(109,PianFormazioneEViaggi[Gen])</f>
        <v>4000</v>
      </c>
      <c r="D33" s="109">
        <f>SUBTOTAL(109,PianFormazioneEViaggi[Feb])</f>
        <v>4000</v>
      </c>
      <c r="E33" s="109">
        <f>SUBTOTAL(109,PianFormazioneEViaggi[Mar])</f>
        <v>4000</v>
      </c>
      <c r="F33" s="109">
        <f>SUBTOTAL(109,PianFormazioneEViaggi[Apr])</f>
        <v>4000</v>
      </c>
      <c r="G33" s="109">
        <f>SUBTOTAL(109,PianFormazioneEViaggi[Mag])</f>
        <v>4000</v>
      </c>
      <c r="H33" s="109">
        <f>SUBTOTAL(109,PianFormazioneEViaggi[Giu])</f>
        <v>4000</v>
      </c>
      <c r="I33" s="109">
        <f>SUBTOTAL(109,PianFormazioneEViaggi[Lug])</f>
        <v>4000</v>
      </c>
      <c r="J33" s="109">
        <f>SUBTOTAL(109,PianFormazioneEViaggi[Ago])</f>
        <v>4000</v>
      </c>
      <c r="K33" s="109">
        <f>SUBTOTAL(109,PianFormazioneEViaggi[Set])</f>
        <v>4000</v>
      </c>
      <c r="L33" s="109">
        <f>SUBTOTAL(109,PianFormazioneEViaggi[Ott])</f>
        <v>4000</v>
      </c>
      <c r="M33" s="109">
        <f>SUBTOTAL(109,PianFormazioneEViaggi[Nov])</f>
        <v>4000</v>
      </c>
      <c r="N33" s="109">
        <f>SUBTOTAL(109,PianFormazioneEViaggi[Dic])</f>
        <v>4000</v>
      </c>
      <c r="O33" s="110">
        <f>SUBTOTAL(109,PianFormazioneEViaggi[ANNO])</f>
        <v>48000</v>
      </c>
    </row>
    <row r="34" spans="1:15" ht="24.95" customHeight="1" x14ac:dyDescent="0.3">
      <c r="A34" s="35"/>
      <c r="B34" s="89"/>
      <c r="C34" s="8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.95" customHeight="1" thickBot="1" x14ac:dyDescent="0.35">
      <c r="A35" s="35"/>
      <c r="B35" s="26" t="s">
        <v>33</v>
      </c>
      <c r="C35" s="28" t="s">
        <v>37</v>
      </c>
      <c r="D35" s="28" t="s">
        <v>39</v>
      </c>
      <c r="E35" s="28" t="s">
        <v>41</v>
      </c>
      <c r="F35" s="28" t="s">
        <v>43</v>
      </c>
      <c r="G35" s="28" t="s">
        <v>45</v>
      </c>
      <c r="H35" s="28" t="s">
        <v>47</v>
      </c>
      <c r="I35" s="28" t="s">
        <v>49</v>
      </c>
      <c r="J35" s="28" t="s">
        <v>51</v>
      </c>
      <c r="K35" s="28" t="s">
        <v>55</v>
      </c>
      <c r="L35" s="28" t="s">
        <v>57</v>
      </c>
      <c r="M35" s="28" t="s">
        <v>59</v>
      </c>
      <c r="N35" s="28" t="s">
        <v>61</v>
      </c>
      <c r="O35" s="28" t="s">
        <v>63</v>
      </c>
    </row>
    <row r="36" spans="1:15" ht="24.95" customHeight="1" thickBot="1" x14ac:dyDescent="0.35">
      <c r="A36" s="35"/>
      <c r="B36" s="27" t="s">
        <v>34</v>
      </c>
      <c r="C36" s="113">
        <f>PianFormazioneEViaggi[[#Totals],[Gen]]+PianMarketing[[#Totals],[Gen]]+PianUfficio[[#Totals],[Gen]]+PianDipendenti[[#Totals],[Gen]]</f>
        <v>131420</v>
      </c>
      <c r="D36" s="113">
        <f>PianFormazioneEViaggi[[#Totals],[Feb]]+PianMarketing[[#Totals],[Feb]]+PianUfficio[[#Totals],[Gen]]+PianDipendenti[[#Totals],[Feb]]</f>
        <v>126420</v>
      </c>
      <c r="E36" s="113">
        <f>PianFormazioneEViaggi[[#Totals],[Mar]]+PianMarketing[[#Totals],[Mar]]+PianUfficio[[#Totals],[Mar]]+PianDipendenti[[#Totals],[Mar]]</f>
        <v>126820</v>
      </c>
      <c r="F36" s="113">
        <f>PianFormazioneEViaggi[[#Totals],[Apr]]+PianMarketing[[#Totals],[Apr]]+PianUfficio[[#Totals],[Apr]]+PianDipendenti[[#Totals],[Apr]]</f>
        <v>137695</v>
      </c>
      <c r="G36" s="113">
        <f>PianFormazioneEViaggi[[#Totals],[Mag]]+PianMarketing[[#Totals],[Mag]]+PianUfficio[[#Totals],[Mag]]+PianDipendenti[[#Totals],[Mag]]</f>
        <v>129695</v>
      </c>
      <c r="H36" s="113">
        <f>PianFormazioneEViaggi[[#Totals],[Giu]]+PianMarketing[[#Totals],[Giu]]+PianUfficio[[#Totals],[Giu]]+PianDipendenti[[#Totals],[Giu]]</f>
        <v>130495</v>
      </c>
      <c r="I36" s="114">
        <f>PianFormazioneEViaggi[[#Totals],[Lug]]+PianMarketing[[#Totals],[Lug]]+PianUfficio[[#Totals],[Lug]]+PianDipendenti[[#Totals],[Lug]]</f>
        <v>134695</v>
      </c>
      <c r="J36" s="113">
        <f>PianFormazioneEViaggi[[#Totals],[Ago]]+PianMarketing[[#Totals],[Ago]]+PianUfficio[[#Totals],[Ago]]+PianDipendenti[[#Totals],[Ago]]</f>
        <v>138918</v>
      </c>
      <c r="K36" s="113">
        <f>PianFormazioneEViaggi[[#Totals],[Set]]+PianMarketing[[#Totals],[Set]]+PianUfficio[[#Totals],[Set]]+PianDipendenti[[#Totals],[Set]]</f>
        <v>135918</v>
      </c>
      <c r="L36" s="113">
        <f>PianFormazioneEViaggi[[#Totals],[Ott]]+PianMarketing[[#Totals],[Ott]]+PianUfficio[[#Totals],[Ott]]+PianDipendenti[[#Totals],[Ott]]</f>
        <v>140918</v>
      </c>
      <c r="M36" s="113">
        <f>PianFormazioneEViaggi[[#Totals],[Nov]]+PianMarketing[[#Totals],[Nov]]+PianUfficio[[#Totals],[Nov]]+PianDipendenti[[#Totals],[Nov]]</f>
        <v>136218</v>
      </c>
      <c r="N36" s="113">
        <f>PianFormazioneEViaggi[[#Totals],[Dic]]+PianMarketing[[#Totals],[Dic]]+PianUfficio[[#Totals],[Dic]]+PianDipendenti[[#Totals],[Dic]]</f>
        <v>140018</v>
      </c>
      <c r="O36" s="113">
        <f>PianFormazioneEViaggi[[#Totals],[ANNO]]+PianMarketing[[#Totals],[ANNO]]+PianUfficio[[#Totals],[ANNO]]+PianDipendenti[[#Totals],[ANNO]]</f>
        <v>1609630</v>
      </c>
    </row>
    <row r="37" spans="1:15" ht="21" customHeight="1" x14ac:dyDescent="0.3">
      <c r="A37" s="35"/>
      <c r="B37" s="27" t="s">
        <v>75</v>
      </c>
      <c r="C37" s="113">
        <f>SUM($C$36:C36)</f>
        <v>131420</v>
      </c>
      <c r="D37" s="113">
        <f>SUM($C$36:D36)</f>
        <v>257840</v>
      </c>
      <c r="E37" s="113">
        <f>SUM($C$36:E36)</f>
        <v>384660</v>
      </c>
      <c r="F37" s="113">
        <f>SUM($C$36:F36)</f>
        <v>522355</v>
      </c>
      <c r="G37" s="113">
        <f>SUM($C$36:G36)</f>
        <v>652050</v>
      </c>
      <c r="H37" s="113">
        <f>SUM($C$36:H36)</f>
        <v>782545</v>
      </c>
      <c r="I37" s="113">
        <f>SUM($C$36:I36)</f>
        <v>917240</v>
      </c>
      <c r="J37" s="113">
        <f>SUM($C$36:J36)</f>
        <v>1056158</v>
      </c>
      <c r="K37" s="113">
        <f>SUM($C$36:K36)</f>
        <v>1192076</v>
      </c>
      <c r="L37" s="113">
        <f>SUM($C$36:L36)</f>
        <v>1332994</v>
      </c>
      <c r="M37" s="113">
        <f>SUM($C$36:M36)</f>
        <v>1469212</v>
      </c>
      <c r="N37" s="113">
        <f>SUM($C$36:N36)</f>
        <v>1609230</v>
      </c>
      <c r="O37" s="113">
        <f>PianFormazioneEViaggi[[#Totals],[ANNO]]+PianMarketing[[#Totals],[ANNO]]+PianUfficio[[#Totals],[ANNO]]+PianDipendenti[[#Totals],[ANNO]]</f>
        <v>1609630</v>
      </c>
    </row>
  </sheetData>
  <mergeCells count="3">
    <mergeCell ref="R4:T13"/>
    <mergeCell ref="K2:M2"/>
    <mergeCell ref="K3:M3"/>
  </mergeCells>
  <dataValidations count="9">
    <dataValidation allowBlank="1" showInputMessage="1" showErrorMessage="1" prompt="Il segnaposto del logo si trova in questa cella." sqref="N2" xr:uid="{945E4055-1BEA-4F2B-AF1A-B15640887A38}"/>
    <dataValidation allowBlank="1" showInputMessage="1" showErrorMessage="1" prompt="L’etichetta Spese pianificate si trova nella cella a destra, i mesi nelle celle da C4 a N4, l’etichetta Anno in O4 e le istruzioni sull’uso di questo modello nella cella R4." sqref="A4" xr:uid="{FC1A50C5-6C61-4FA0-BFBA-2CC82DE4DC0B}"/>
    <dataValidation allowBlank="1" showInputMessage="1" showErrorMessage="1" prompt="Immettere i costi dei dipendenti nella tabella Piano dipendenti partendo dalla cella a destra. L'istruzione successiva si trova nella cella A10." sqref="A5" xr:uid="{EED19FC0-ADDC-4580-BE69-2FEDE2EE49A6}"/>
    <dataValidation allowBlank="1" showInputMessage="1" showErrorMessage="1" prompt="Immettere i costi di Office dei dipendenti nella tabella Piano di Office partendo dalla cella a destra. L'istruzione successiva si trova nella cella A21." sqref="A10" xr:uid="{8C5477C2-13FC-4F55-AAB3-60246BBB7A64}"/>
    <dataValidation allowBlank="1" showInputMessage="1" showErrorMessage="1" prompt="Immettere i costi di marketing nella tabella Piano di marketing a partire dalla cella a destra. L'istruzione successiva si trova nella cella A30." sqref="A21" xr:uid="{66411362-0BD5-4E49-BFA8-E0A0A55D07AD}"/>
    <dataValidation allowBlank="1" showInputMessage="1" showErrorMessage="1" prompt="I totali vengono calcolati automaticamente nella tabella Totale pianificato partendo dalla cella a destra." sqref="A30" xr:uid="{6B0B8404-700F-48B3-AD96-0ED1CE7011E9}"/>
    <dataValidation allowBlank="1" showInputMessage="1" showErrorMessage="1" sqref="A1" xr:uid="{C6D84CBA-4A3E-4161-9004-1D9F785E5541}"/>
    <dataValidation allowBlank="1" showInputMessage="1" showErrorMessage="1" prompt="Immettere il nome della società nella cella a destra e il logo nella cella N2. Il titolo di questo foglio di lavoro si trova nella cella K2." sqref="A2" xr:uid="{B4473BB7-021E-4A63-A5F5-4234C1B5B724}"/>
    <dataValidation allowBlank="1" showInputMessage="1" showErrorMessage="1" prompt="Il suggerimento si trova nella cella K3." sqref="A3" xr:uid="{3ECF8058-2463-465E-ADF4-F540ECB4A91E}"/>
  </dataValidations>
  <pageMargins left="0.7" right="0.7" top="0.75" bottom="0.75" header="0.3" footer="0.3"/>
  <pageSetup paperSize="9" fitToHeight="0" orientation="portrait" r:id="rId1"/>
  <ignoredErrors>
    <ignoredError sqref="C6:N6 C37:N37 C36:N36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/>
    <pageSetUpPr autoPageBreaks="0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4.28515625" style="2" customWidth="1"/>
    <col min="3" max="15" width="15.7109375" style="2" customWidth="1"/>
    <col min="16" max="16" width="4.7109375" style="1" customWidth="1"/>
    <col min="17" max="16384" width="9.140625" style="2"/>
  </cols>
  <sheetData>
    <row r="1" spans="1:16" s="1" customFormat="1" ht="24" customHeight="1" x14ac:dyDescent="0.3">
      <c r="A1" s="36" t="s">
        <v>76</v>
      </c>
      <c r="B1" s="10"/>
      <c r="C1" s="10"/>
      <c r="D1" s="10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68" t="s">
        <v>64</v>
      </c>
    </row>
    <row r="2" spans="1:16" s="1" customFormat="1" ht="45" customHeight="1" x14ac:dyDescent="0.35">
      <c r="A2" s="34"/>
      <c r="B2" s="91" t="str">
        <f>'SPESE PIANIFICATE'!B2:D3</f>
        <v>Nome società</v>
      </c>
      <c r="C2" s="91"/>
      <c r="D2" s="91"/>
      <c r="E2" s="11"/>
      <c r="F2" s="8"/>
      <c r="G2" s="8"/>
      <c r="H2" s="8"/>
      <c r="I2" s="8"/>
      <c r="J2" s="8"/>
      <c r="K2" s="132" t="str">
        <f>worksheet_title</f>
        <v>Previsioni di spesa dettagliate</v>
      </c>
      <c r="L2" s="132"/>
      <c r="M2" s="132"/>
      <c r="N2" s="88"/>
      <c r="O2" s="88"/>
      <c r="P2" s="7"/>
    </row>
    <row r="3" spans="1:16" s="1" customFormat="1" ht="30" customHeight="1" x14ac:dyDescent="0.3">
      <c r="A3" s="34"/>
      <c r="B3" s="91"/>
      <c r="C3" s="91"/>
      <c r="D3" s="91"/>
      <c r="E3" s="12"/>
      <c r="F3" s="9"/>
      <c r="G3" s="9"/>
      <c r="H3" s="9"/>
      <c r="I3" s="9"/>
      <c r="J3" s="9"/>
      <c r="K3" s="134" t="s">
        <v>53</v>
      </c>
      <c r="L3" s="134"/>
      <c r="M3" s="134"/>
      <c r="N3" s="88"/>
      <c r="O3" s="88"/>
      <c r="P3" s="7"/>
    </row>
    <row r="4" spans="1:16" s="13" customFormat="1" ht="49.5" customHeight="1" x14ac:dyDescent="0.3">
      <c r="A4" s="35"/>
      <c r="B4" s="24" t="s">
        <v>65</v>
      </c>
      <c r="C4" s="25" t="s">
        <v>36</v>
      </c>
      <c r="D4" s="25" t="s">
        <v>38</v>
      </c>
      <c r="E4" s="25" t="s">
        <v>40</v>
      </c>
      <c r="F4" s="25" t="s">
        <v>42</v>
      </c>
      <c r="G4" s="25" t="s">
        <v>44</v>
      </c>
      <c r="H4" s="25" t="s">
        <v>46</v>
      </c>
      <c r="I4" s="129" t="s">
        <v>48</v>
      </c>
      <c r="J4" s="25" t="s">
        <v>50</v>
      </c>
      <c r="K4" s="25" t="s">
        <v>54</v>
      </c>
      <c r="L4" s="25" t="s">
        <v>56</v>
      </c>
      <c r="M4" s="25" t="s">
        <v>58</v>
      </c>
      <c r="N4" s="129" t="s">
        <v>60</v>
      </c>
      <c r="O4" s="25" t="s">
        <v>62</v>
      </c>
    </row>
    <row r="5" spans="1:16" ht="24.95" customHeight="1" thickBot="1" x14ac:dyDescent="0.35">
      <c r="A5" s="35"/>
      <c r="B5" s="47" t="s">
        <v>10</v>
      </c>
      <c r="C5" s="71" t="s">
        <v>37</v>
      </c>
      <c r="D5" s="52" t="s">
        <v>39</v>
      </c>
      <c r="E5" s="53" t="s">
        <v>41</v>
      </c>
      <c r="F5" s="52" t="s">
        <v>43</v>
      </c>
      <c r="G5" s="52" t="s">
        <v>45</v>
      </c>
      <c r="H5" s="52" t="s">
        <v>47</v>
      </c>
      <c r="I5" s="52" t="s">
        <v>49</v>
      </c>
      <c r="J5" s="52" t="s">
        <v>51</v>
      </c>
      <c r="K5" s="52" t="s">
        <v>55</v>
      </c>
      <c r="L5" s="52" t="s">
        <v>57</v>
      </c>
      <c r="M5" s="52" t="s">
        <v>59</v>
      </c>
      <c r="N5" s="52" t="s">
        <v>61</v>
      </c>
      <c r="O5" s="54" t="s">
        <v>62</v>
      </c>
    </row>
    <row r="6" spans="1:16" ht="24.95" customHeight="1" thickBot="1" x14ac:dyDescent="0.35">
      <c r="A6" s="35"/>
      <c r="B6" s="48" t="s">
        <v>11</v>
      </c>
      <c r="C6" s="108">
        <v>85000</v>
      </c>
      <c r="D6" s="103">
        <v>85000</v>
      </c>
      <c r="E6" s="103">
        <v>85000</v>
      </c>
      <c r="F6" s="103">
        <v>88000</v>
      </c>
      <c r="G6" s="103">
        <v>88000</v>
      </c>
      <c r="H6" s="103">
        <v>88000</v>
      </c>
      <c r="I6" s="103"/>
      <c r="J6" s="103"/>
      <c r="K6" s="103"/>
      <c r="L6" s="103"/>
      <c r="M6" s="103"/>
      <c r="N6" s="103"/>
      <c r="O6" s="104">
        <f>SUM(C6:N6)</f>
        <v>519000</v>
      </c>
    </row>
    <row r="7" spans="1:16" ht="24.95" customHeight="1" thickBot="1" x14ac:dyDescent="0.35">
      <c r="A7" s="35"/>
      <c r="B7" s="48" t="s">
        <v>12</v>
      </c>
      <c r="C7" s="108">
        <f t="shared" ref="C7:N7" si="0">C6*0.27</f>
        <v>22950</v>
      </c>
      <c r="D7" s="103">
        <f t="shared" si="0"/>
        <v>22950</v>
      </c>
      <c r="E7" s="103">
        <f t="shared" si="0"/>
        <v>22950</v>
      </c>
      <c r="F7" s="103">
        <f t="shared" si="0"/>
        <v>23760</v>
      </c>
      <c r="G7" s="103">
        <f t="shared" si="0"/>
        <v>23760</v>
      </c>
      <c r="H7" s="103">
        <f t="shared" si="0"/>
        <v>23760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4">
        <f>SUM(C7:N7)</f>
        <v>140130</v>
      </c>
    </row>
    <row r="8" spans="1:16" ht="24.95" customHeight="1" x14ac:dyDescent="0.3">
      <c r="A8" s="35"/>
      <c r="B8" s="72" t="s">
        <v>13</v>
      </c>
      <c r="C8" s="124">
        <f>SUBTOTAL(109,EffettiviDipendenti[Gen])</f>
        <v>107950</v>
      </c>
      <c r="D8" s="106">
        <f>SUBTOTAL(109,EffettiviDipendenti[Feb])</f>
        <v>107950</v>
      </c>
      <c r="E8" s="106">
        <f>SUBTOTAL(109,EffettiviDipendenti[Mar])</f>
        <v>107950</v>
      </c>
      <c r="F8" s="106">
        <f>SUBTOTAL(109,EffettiviDipendenti[Apr])</f>
        <v>111760</v>
      </c>
      <c r="G8" s="106">
        <f>SUBTOTAL(109,EffettiviDipendenti[Mag])</f>
        <v>111760</v>
      </c>
      <c r="H8" s="106">
        <f>SUBTOTAL(109,EffettiviDipendenti[Giu])</f>
        <v>111760</v>
      </c>
      <c r="I8" s="106">
        <f>SUBTOTAL(109,EffettiviDipendenti[Lug])</f>
        <v>0</v>
      </c>
      <c r="J8" s="106">
        <f>SUBTOTAL(109,EffettiviDipendenti[Ago])</f>
        <v>0</v>
      </c>
      <c r="K8" s="106">
        <f>SUBTOTAL(109,EffettiviDipendenti[Set])</f>
        <v>0</v>
      </c>
      <c r="L8" s="106">
        <f>SUBTOTAL(109,EffettiviDipendenti[Ott])</f>
        <v>0</v>
      </c>
      <c r="M8" s="106">
        <f>SUBTOTAL(109,EffettiviDipendenti[Nov])</f>
        <v>0</v>
      </c>
      <c r="N8" s="106">
        <f>SUBTOTAL(109,EffettiviDipendenti[Dic])</f>
        <v>0</v>
      </c>
      <c r="O8" s="107">
        <f>SUBTOTAL(109,EffettiviDipendenti[ANNO])</f>
        <v>659130</v>
      </c>
    </row>
    <row r="9" spans="1:16" s="1" customFormat="1" ht="21" customHeight="1" x14ac:dyDescent="0.3">
      <c r="A9" s="35"/>
      <c r="B9" s="89"/>
      <c r="C9" s="8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6" ht="24.95" customHeight="1" thickBot="1" x14ac:dyDescent="0.35">
      <c r="A10" s="35"/>
      <c r="B10" s="55" t="s">
        <v>14</v>
      </c>
      <c r="C10" s="71" t="s">
        <v>37</v>
      </c>
      <c r="D10" s="52" t="s">
        <v>39</v>
      </c>
      <c r="E10" s="53" t="s">
        <v>41</v>
      </c>
      <c r="F10" s="52" t="s">
        <v>43</v>
      </c>
      <c r="G10" s="52" t="s">
        <v>45</v>
      </c>
      <c r="H10" s="52" t="s">
        <v>47</v>
      </c>
      <c r="I10" s="52" t="s">
        <v>49</v>
      </c>
      <c r="J10" s="52" t="s">
        <v>51</v>
      </c>
      <c r="K10" s="52" t="s">
        <v>55</v>
      </c>
      <c r="L10" s="52" t="s">
        <v>57</v>
      </c>
      <c r="M10" s="52" t="s">
        <v>59</v>
      </c>
      <c r="N10" s="52" t="s">
        <v>61</v>
      </c>
      <c r="O10" s="54" t="s">
        <v>62</v>
      </c>
    </row>
    <row r="11" spans="1:16" ht="24.95" customHeight="1" thickBot="1" x14ac:dyDescent="0.35">
      <c r="A11" s="35"/>
      <c r="B11" s="48" t="s">
        <v>15</v>
      </c>
      <c r="C11" s="108">
        <v>9800</v>
      </c>
      <c r="D11" s="103">
        <v>9800</v>
      </c>
      <c r="E11" s="103">
        <v>9800</v>
      </c>
      <c r="F11" s="103">
        <v>9800</v>
      </c>
      <c r="G11" s="103">
        <v>9800</v>
      </c>
      <c r="H11" s="103">
        <v>9800</v>
      </c>
      <c r="I11" s="103"/>
      <c r="J11" s="103"/>
      <c r="K11" s="103"/>
      <c r="L11" s="103"/>
      <c r="M11" s="103"/>
      <c r="N11" s="103"/>
      <c r="O11" s="104">
        <f t="shared" ref="O11:O18" si="1">SUM(C11:N11)</f>
        <v>58800</v>
      </c>
    </row>
    <row r="12" spans="1:16" ht="24.95" customHeight="1" thickBot="1" x14ac:dyDescent="0.35">
      <c r="A12" s="35"/>
      <c r="B12" s="48" t="s">
        <v>16</v>
      </c>
      <c r="C12" s="108">
        <v>4</v>
      </c>
      <c r="D12" s="103">
        <v>430</v>
      </c>
      <c r="E12" s="103">
        <v>385</v>
      </c>
      <c r="F12" s="103">
        <v>230</v>
      </c>
      <c r="G12" s="103">
        <v>87</v>
      </c>
      <c r="H12" s="103">
        <v>88</v>
      </c>
      <c r="I12" s="103"/>
      <c r="J12" s="103"/>
      <c r="K12" s="103"/>
      <c r="L12" s="103"/>
      <c r="M12" s="103"/>
      <c r="N12" s="103"/>
      <c r="O12" s="104">
        <f t="shared" si="1"/>
        <v>1224</v>
      </c>
    </row>
    <row r="13" spans="1:16" ht="24.95" customHeight="1" thickBot="1" x14ac:dyDescent="0.35">
      <c r="A13" s="35"/>
      <c r="B13" s="48" t="s">
        <v>17</v>
      </c>
      <c r="C13" s="108">
        <v>288</v>
      </c>
      <c r="D13" s="103">
        <v>278</v>
      </c>
      <c r="E13" s="103">
        <v>268</v>
      </c>
      <c r="F13" s="103">
        <v>299</v>
      </c>
      <c r="G13" s="103">
        <v>306</v>
      </c>
      <c r="H13" s="103">
        <v>290</v>
      </c>
      <c r="I13" s="103"/>
      <c r="J13" s="103"/>
      <c r="K13" s="103"/>
      <c r="L13" s="103"/>
      <c r="M13" s="103"/>
      <c r="N13" s="103"/>
      <c r="O13" s="104">
        <f t="shared" si="1"/>
        <v>1729</v>
      </c>
    </row>
    <row r="14" spans="1:16" ht="24.95" customHeight="1" thickBot="1" x14ac:dyDescent="0.35">
      <c r="A14" s="35"/>
      <c r="B14" s="48" t="s">
        <v>18</v>
      </c>
      <c r="C14" s="108">
        <v>35</v>
      </c>
      <c r="D14" s="103">
        <v>33</v>
      </c>
      <c r="E14" s="103">
        <v>34</v>
      </c>
      <c r="F14" s="103">
        <v>36</v>
      </c>
      <c r="G14" s="103">
        <v>34</v>
      </c>
      <c r="H14" s="103">
        <v>36</v>
      </c>
      <c r="I14" s="103"/>
      <c r="J14" s="103"/>
      <c r="K14" s="103"/>
      <c r="L14" s="103"/>
      <c r="M14" s="103"/>
      <c r="N14" s="103"/>
      <c r="O14" s="104">
        <f t="shared" si="1"/>
        <v>208</v>
      </c>
    </row>
    <row r="15" spans="1:16" ht="24.95" customHeight="1" thickBot="1" x14ac:dyDescent="0.35">
      <c r="A15" s="35"/>
      <c r="B15" s="48" t="s">
        <v>19</v>
      </c>
      <c r="C15" s="108">
        <v>224</v>
      </c>
      <c r="D15" s="103">
        <v>235</v>
      </c>
      <c r="E15" s="103">
        <v>265</v>
      </c>
      <c r="F15" s="103">
        <v>245</v>
      </c>
      <c r="G15" s="103">
        <v>245</v>
      </c>
      <c r="H15" s="103">
        <v>220</v>
      </c>
      <c r="I15" s="103"/>
      <c r="J15" s="103"/>
      <c r="K15" s="103"/>
      <c r="L15" s="103"/>
      <c r="M15" s="103"/>
      <c r="N15" s="103"/>
      <c r="O15" s="104">
        <f t="shared" si="1"/>
        <v>1434</v>
      </c>
    </row>
    <row r="16" spans="1:16" ht="24.95" customHeight="1" thickBot="1" x14ac:dyDescent="0.35">
      <c r="A16" s="35"/>
      <c r="B16" s="48" t="s">
        <v>20</v>
      </c>
      <c r="C16" s="108">
        <v>180</v>
      </c>
      <c r="D16" s="103">
        <v>180</v>
      </c>
      <c r="E16" s="103">
        <v>180</v>
      </c>
      <c r="F16" s="103">
        <v>180</v>
      </c>
      <c r="G16" s="103">
        <v>180</v>
      </c>
      <c r="H16" s="103">
        <v>180</v>
      </c>
      <c r="I16" s="103"/>
      <c r="J16" s="103"/>
      <c r="K16" s="103"/>
      <c r="L16" s="103"/>
      <c r="M16" s="103"/>
      <c r="N16" s="103"/>
      <c r="O16" s="104">
        <f t="shared" si="1"/>
        <v>1080</v>
      </c>
    </row>
    <row r="17" spans="1:15" ht="24.95" customHeight="1" thickBot="1" x14ac:dyDescent="0.35">
      <c r="A17" s="35"/>
      <c r="B17" s="48" t="s">
        <v>21</v>
      </c>
      <c r="C17" s="108">
        <v>256</v>
      </c>
      <c r="D17" s="103">
        <v>142</v>
      </c>
      <c r="E17" s="103">
        <v>160</v>
      </c>
      <c r="F17" s="103">
        <v>221</v>
      </c>
      <c r="G17" s="103">
        <v>256</v>
      </c>
      <c r="H17" s="103">
        <v>240</v>
      </c>
      <c r="I17" s="103"/>
      <c r="J17" s="103"/>
      <c r="K17" s="103"/>
      <c r="L17" s="103"/>
      <c r="M17" s="103"/>
      <c r="N17" s="103"/>
      <c r="O17" s="104">
        <f t="shared" si="1"/>
        <v>1275</v>
      </c>
    </row>
    <row r="18" spans="1:15" ht="24.95" customHeight="1" thickBot="1" x14ac:dyDescent="0.35">
      <c r="A18" s="35"/>
      <c r="B18" s="48" t="s">
        <v>22</v>
      </c>
      <c r="C18" s="108">
        <v>600</v>
      </c>
      <c r="D18" s="103">
        <v>600</v>
      </c>
      <c r="E18" s="103">
        <v>600</v>
      </c>
      <c r="F18" s="103">
        <v>600</v>
      </c>
      <c r="G18" s="103">
        <v>600</v>
      </c>
      <c r="H18" s="103">
        <v>600</v>
      </c>
      <c r="I18" s="103"/>
      <c r="J18" s="103"/>
      <c r="K18" s="103"/>
      <c r="L18" s="103"/>
      <c r="M18" s="103"/>
      <c r="N18" s="103"/>
      <c r="O18" s="104">
        <f t="shared" si="1"/>
        <v>3600</v>
      </c>
    </row>
    <row r="19" spans="1:15" ht="21" customHeight="1" x14ac:dyDescent="0.3">
      <c r="A19" s="35"/>
      <c r="B19" s="73" t="s">
        <v>13</v>
      </c>
      <c r="C19" s="125">
        <f>SUBTOTAL(109,EffettiviUfficio[Gen])</f>
        <v>11387</v>
      </c>
      <c r="D19" s="125">
        <f>SUBTOTAL(109,EffettiviUfficio[Feb])</f>
        <v>11698</v>
      </c>
      <c r="E19" s="125">
        <f>SUBTOTAL(109,EffettiviUfficio[Mar])</f>
        <v>11692</v>
      </c>
      <c r="F19" s="125">
        <f>SUBTOTAL(109,EffettiviUfficio[Apr])</f>
        <v>11611</v>
      </c>
      <c r="G19" s="125">
        <f>SUBTOTAL(109,EffettiviUfficio[Mag])</f>
        <v>11508</v>
      </c>
      <c r="H19" s="125">
        <f>SUBTOTAL(109,EffettiviUfficio[Giu])</f>
        <v>11454</v>
      </c>
      <c r="I19" s="125">
        <f>SUBTOTAL(109,EffettiviUfficio[Lug])</f>
        <v>0</v>
      </c>
      <c r="J19" s="125">
        <f>SUBTOTAL(109,EffettiviUfficio[Ago])</f>
        <v>0</v>
      </c>
      <c r="K19" s="125">
        <f>SUBTOTAL(109,EffettiviUfficio[Set])</f>
        <v>0</v>
      </c>
      <c r="L19" s="125">
        <f>SUBTOTAL(109,EffettiviUfficio[Ott])</f>
        <v>0</v>
      </c>
      <c r="M19" s="125">
        <f>SUBTOTAL(109,EffettiviUfficio[Nov])</f>
        <v>0</v>
      </c>
      <c r="N19" s="125">
        <f>SUBTOTAL(109,EffettiviUfficio[Dic])</f>
        <v>0</v>
      </c>
      <c r="O19" s="123">
        <f>SUBTOTAL(109,EffettiviUfficio[ANNO])</f>
        <v>69350</v>
      </c>
    </row>
    <row r="20" spans="1:15" ht="24.95" customHeight="1" x14ac:dyDescent="0.3">
      <c r="A20" s="35"/>
      <c r="B20" s="90"/>
      <c r="C20" s="90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1:15" ht="24.95" customHeight="1" thickBot="1" x14ac:dyDescent="0.35">
      <c r="A21" s="35"/>
      <c r="B21" s="74" t="s">
        <v>23</v>
      </c>
      <c r="C21" s="71" t="s">
        <v>37</v>
      </c>
      <c r="D21" s="52" t="s">
        <v>39</v>
      </c>
      <c r="E21" s="53" t="s">
        <v>41</v>
      </c>
      <c r="F21" s="52" t="s">
        <v>43</v>
      </c>
      <c r="G21" s="52" t="s">
        <v>45</v>
      </c>
      <c r="H21" s="52" t="s">
        <v>47</v>
      </c>
      <c r="I21" s="52" t="s">
        <v>49</v>
      </c>
      <c r="J21" s="52" t="s">
        <v>51</v>
      </c>
      <c r="K21" s="52" t="s">
        <v>55</v>
      </c>
      <c r="L21" s="52" t="s">
        <v>57</v>
      </c>
      <c r="M21" s="52" t="s">
        <v>59</v>
      </c>
      <c r="N21" s="52" t="s">
        <v>61</v>
      </c>
      <c r="O21" s="54" t="s">
        <v>62</v>
      </c>
    </row>
    <row r="22" spans="1:15" ht="24.95" customHeight="1" thickBot="1" x14ac:dyDescent="0.35">
      <c r="A22" s="35"/>
      <c r="B22" s="48" t="s">
        <v>24</v>
      </c>
      <c r="C22" s="108">
        <v>500</v>
      </c>
      <c r="D22" s="103">
        <v>500</v>
      </c>
      <c r="E22" s="103">
        <v>500</v>
      </c>
      <c r="F22" s="103">
        <v>500</v>
      </c>
      <c r="G22" s="103">
        <v>500</v>
      </c>
      <c r="H22" s="103">
        <v>500</v>
      </c>
      <c r="I22" s="103"/>
      <c r="J22" s="103"/>
      <c r="K22" s="103"/>
      <c r="L22" s="103"/>
      <c r="M22" s="103"/>
      <c r="N22" s="103"/>
      <c r="O22" s="104">
        <f t="shared" ref="O22:O27" si="2">SUM(C22:N22)</f>
        <v>3000</v>
      </c>
    </row>
    <row r="23" spans="1:15" ht="24.95" customHeight="1" thickBot="1" x14ac:dyDescent="0.35">
      <c r="A23" s="35"/>
      <c r="B23" s="48" t="s">
        <v>25</v>
      </c>
      <c r="C23" s="108">
        <v>200</v>
      </c>
      <c r="D23" s="103">
        <v>200</v>
      </c>
      <c r="E23" s="103">
        <v>200</v>
      </c>
      <c r="F23" s="103">
        <v>200</v>
      </c>
      <c r="G23" s="103">
        <v>200</v>
      </c>
      <c r="H23" s="103">
        <v>1500</v>
      </c>
      <c r="I23" s="103"/>
      <c r="J23" s="103"/>
      <c r="K23" s="103"/>
      <c r="L23" s="103"/>
      <c r="M23" s="103"/>
      <c r="N23" s="103"/>
      <c r="O23" s="104">
        <f t="shared" si="2"/>
        <v>2500</v>
      </c>
    </row>
    <row r="24" spans="1:15" ht="24.95" customHeight="1" thickBot="1" x14ac:dyDescent="0.35">
      <c r="A24" s="35"/>
      <c r="B24" s="48" t="s">
        <v>26</v>
      </c>
      <c r="C24" s="108">
        <v>4800</v>
      </c>
      <c r="D24" s="103">
        <v>0</v>
      </c>
      <c r="E24" s="103">
        <v>0</v>
      </c>
      <c r="F24" s="103">
        <v>5500</v>
      </c>
      <c r="G24" s="103">
        <v>0</v>
      </c>
      <c r="H24" s="103">
        <v>0</v>
      </c>
      <c r="I24" s="103"/>
      <c r="J24" s="103"/>
      <c r="K24" s="103"/>
      <c r="L24" s="103"/>
      <c r="M24" s="103"/>
      <c r="N24" s="103"/>
      <c r="O24" s="104">
        <f t="shared" si="2"/>
        <v>10300</v>
      </c>
    </row>
    <row r="25" spans="1:15" ht="24.95" customHeight="1" thickBot="1" x14ac:dyDescent="0.35">
      <c r="A25" s="35"/>
      <c r="B25" s="48" t="s">
        <v>27</v>
      </c>
      <c r="C25" s="108">
        <v>100</v>
      </c>
      <c r="D25" s="103">
        <v>500</v>
      </c>
      <c r="E25" s="103">
        <v>100</v>
      </c>
      <c r="F25" s="103">
        <v>100</v>
      </c>
      <c r="G25" s="103">
        <v>600</v>
      </c>
      <c r="H25" s="103">
        <v>180</v>
      </c>
      <c r="I25" s="103"/>
      <c r="J25" s="103"/>
      <c r="K25" s="103"/>
      <c r="L25" s="103"/>
      <c r="M25" s="103"/>
      <c r="N25" s="103"/>
      <c r="O25" s="104">
        <f t="shared" si="2"/>
        <v>1580</v>
      </c>
    </row>
    <row r="26" spans="1:15" ht="24.95" customHeight="1" thickBot="1" x14ac:dyDescent="0.35">
      <c r="A26" s="35"/>
      <c r="B26" s="48" t="s">
        <v>28</v>
      </c>
      <c r="C26" s="108">
        <v>1800</v>
      </c>
      <c r="D26" s="103">
        <v>2200</v>
      </c>
      <c r="E26" s="103">
        <v>2200</v>
      </c>
      <c r="F26" s="103">
        <v>4700</v>
      </c>
      <c r="G26" s="103">
        <v>1500</v>
      </c>
      <c r="H26" s="103">
        <v>2300</v>
      </c>
      <c r="I26" s="103"/>
      <c r="J26" s="103"/>
      <c r="K26" s="103"/>
      <c r="L26" s="103"/>
      <c r="M26" s="103"/>
      <c r="N26" s="103"/>
      <c r="O26" s="104">
        <f t="shared" si="2"/>
        <v>14700</v>
      </c>
    </row>
    <row r="27" spans="1:15" ht="24.95" customHeight="1" thickBot="1" x14ac:dyDescent="0.35">
      <c r="A27" s="35"/>
      <c r="B27" s="48" t="s">
        <v>29</v>
      </c>
      <c r="C27" s="108">
        <v>145</v>
      </c>
      <c r="D27" s="103">
        <v>156</v>
      </c>
      <c r="E27" s="103">
        <v>123</v>
      </c>
      <c r="F27" s="103">
        <v>223</v>
      </c>
      <c r="G27" s="103">
        <v>187</v>
      </c>
      <c r="H27" s="103">
        <v>245</v>
      </c>
      <c r="I27" s="103"/>
      <c r="J27" s="103"/>
      <c r="K27" s="103"/>
      <c r="L27" s="103"/>
      <c r="M27" s="103"/>
      <c r="N27" s="103"/>
      <c r="O27" s="104">
        <f t="shared" si="2"/>
        <v>1079</v>
      </c>
    </row>
    <row r="28" spans="1:15" ht="21" customHeight="1" x14ac:dyDescent="0.3">
      <c r="A28" s="35"/>
      <c r="B28" s="70" t="s">
        <v>13</v>
      </c>
      <c r="C28" s="111">
        <f>SUBTOTAL(109,MarketingEffettivi[Gen])</f>
        <v>7545</v>
      </c>
      <c r="D28" s="109">
        <f>SUBTOTAL(109,MarketingEffettivi[Feb])</f>
        <v>3556</v>
      </c>
      <c r="E28" s="109">
        <f>SUBTOTAL(109,MarketingEffettivi[Mar])</f>
        <v>3123</v>
      </c>
      <c r="F28" s="109">
        <f>SUBTOTAL(109,MarketingEffettivi[Apr])</f>
        <v>11223</v>
      </c>
      <c r="G28" s="109">
        <f>SUBTOTAL(109,MarketingEffettivi[Mag])</f>
        <v>2987</v>
      </c>
      <c r="H28" s="109">
        <f>SUBTOTAL(109,MarketingEffettivi[Giu])</f>
        <v>4725</v>
      </c>
      <c r="I28" s="109">
        <f>SUBTOTAL(109,MarketingEffettivi[Lug])</f>
        <v>0</v>
      </c>
      <c r="J28" s="109">
        <f>SUBTOTAL(109,MarketingEffettivi[Ago])</f>
        <v>0</v>
      </c>
      <c r="K28" s="109">
        <f>SUBTOTAL(109,MarketingEffettivi[Set])</f>
        <v>0</v>
      </c>
      <c r="L28" s="109">
        <f>SUBTOTAL(109,MarketingEffettivi[Ott])</f>
        <v>0</v>
      </c>
      <c r="M28" s="109">
        <f>SUBTOTAL(109,MarketingEffettivi[Nov])</f>
        <v>0</v>
      </c>
      <c r="N28" s="109">
        <f>SUBTOTAL(109,MarketingEffettivi[Dic])</f>
        <v>0</v>
      </c>
      <c r="O28" s="110">
        <f>SUBTOTAL(109,MarketingEffettivi[ANNO])</f>
        <v>33159</v>
      </c>
    </row>
    <row r="29" spans="1:15" ht="24.95" customHeight="1" x14ac:dyDescent="0.3">
      <c r="A29" s="35"/>
      <c r="B29" s="89"/>
      <c r="C29" s="8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1:15" ht="24.95" customHeight="1" thickBot="1" x14ac:dyDescent="0.35">
      <c r="A30" s="35"/>
      <c r="B30" s="62" t="s">
        <v>30</v>
      </c>
      <c r="C30" s="52" t="s">
        <v>37</v>
      </c>
      <c r="D30" s="52" t="s">
        <v>39</v>
      </c>
      <c r="E30" s="53" t="s">
        <v>41</v>
      </c>
      <c r="F30" s="52" t="s">
        <v>43</v>
      </c>
      <c r="G30" s="52" t="s">
        <v>45</v>
      </c>
      <c r="H30" s="52" t="s">
        <v>47</v>
      </c>
      <c r="I30" s="52" t="s">
        <v>49</v>
      </c>
      <c r="J30" s="52" t="s">
        <v>51</v>
      </c>
      <c r="K30" s="52" t="s">
        <v>55</v>
      </c>
      <c r="L30" s="52" t="s">
        <v>57</v>
      </c>
      <c r="M30" s="52" t="s">
        <v>59</v>
      </c>
      <c r="N30" s="52" t="s">
        <v>61</v>
      </c>
      <c r="O30" s="54" t="s">
        <v>62</v>
      </c>
    </row>
    <row r="31" spans="1:15" ht="24.95" customHeight="1" thickBot="1" x14ac:dyDescent="0.35">
      <c r="A31" s="35"/>
      <c r="B31" s="69" t="s">
        <v>31</v>
      </c>
      <c r="C31" s="103">
        <v>1600</v>
      </c>
      <c r="D31" s="103">
        <v>2400</v>
      </c>
      <c r="E31" s="103">
        <v>1400</v>
      </c>
      <c r="F31" s="103">
        <v>1600</v>
      </c>
      <c r="G31" s="103">
        <v>1200</v>
      </c>
      <c r="H31" s="103">
        <v>2800</v>
      </c>
      <c r="I31" s="103"/>
      <c r="J31" s="103"/>
      <c r="K31" s="103"/>
      <c r="L31" s="103"/>
      <c r="M31" s="103"/>
      <c r="N31" s="103"/>
      <c r="O31" s="104">
        <f>SUM(C31:N31)</f>
        <v>11000</v>
      </c>
    </row>
    <row r="32" spans="1:15" ht="24.95" customHeight="1" thickBot="1" x14ac:dyDescent="0.35">
      <c r="A32" s="35"/>
      <c r="B32" s="69" t="s">
        <v>32</v>
      </c>
      <c r="C32" s="103">
        <v>1200</v>
      </c>
      <c r="D32" s="103">
        <v>2200</v>
      </c>
      <c r="E32" s="103">
        <v>1400</v>
      </c>
      <c r="F32" s="103">
        <v>1200</v>
      </c>
      <c r="G32" s="103">
        <v>800</v>
      </c>
      <c r="H32" s="103">
        <v>3500</v>
      </c>
      <c r="I32" s="103"/>
      <c r="J32" s="103"/>
      <c r="K32" s="103"/>
      <c r="L32" s="103"/>
      <c r="M32" s="103"/>
      <c r="N32" s="103"/>
      <c r="O32" s="104">
        <f>SUM(C32:N32)</f>
        <v>10300</v>
      </c>
    </row>
    <row r="33" spans="1:16" ht="21" customHeight="1" x14ac:dyDescent="0.3">
      <c r="A33" s="35"/>
      <c r="B33" s="73" t="s">
        <v>13</v>
      </c>
      <c r="C33" s="109">
        <f>SUBTOTAL(109,EffettiviFormazioneEViaggi[Gen])</f>
        <v>2800</v>
      </c>
      <c r="D33" s="109">
        <f>SUBTOTAL(109,EffettiviFormazioneEViaggi[Feb])</f>
        <v>4600</v>
      </c>
      <c r="E33" s="109">
        <f>SUBTOTAL(109,EffettiviFormazioneEViaggi[Mar])</f>
        <v>2800</v>
      </c>
      <c r="F33" s="109">
        <f>SUBTOTAL(109,EffettiviFormazioneEViaggi[Apr])</f>
        <v>2800</v>
      </c>
      <c r="G33" s="109">
        <f>SUBTOTAL(109,EffettiviFormazioneEViaggi[Mag])</f>
        <v>2000</v>
      </c>
      <c r="H33" s="109">
        <f>SUBTOTAL(109,EffettiviFormazioneEViaggi[Giu])</f>
        <v>6300</v>
      </c>
      <c r="I33" s="109">
        <f>SUBTOTAL(109,EffettiviFormazioneEViaggi[Lug])</f>
        <v>0</v>
      </c>
      <c r="J33" s="109">
        <f>SUBTOTAL(109,EffettiviFormazioneEViaggi[Ago])</f>
        <v>0</v>
      </c>
      <c r="K33" s="109">
        <f>SUBTOTAL(109,EffettiviFormazioneEViaggi[Set])</f>
        <v>0</v>
      </c>
      <c r="L33" s="109">
        <f>SUBTOTAL(109,EffettiviFormazioneEViaggi[Ott])</f>
        <v>0</v>
      </c>
      <c r="M33" s="109">
        <f>SUBTOTAL(109,EffettiviFormazioneEViaggi[Nov])</f>
        <v>0</v>
      </c>
      <c r="N33" s="109">
        <f>SUBTOTAL(109,EffettiviFormazioneEViaggi[Dic])</f>
        <v>0</v>
      </c>
      <c r="O33" s="110">
        <f>SUBTOTAL(109,EffettiviFormazioneEViaggi[ANNO])</f>
        <v>21300</v>
      </c>
    </row>
    <row r="34" spans="1:16" ht="24.95" customHeight="1" x14ac:dyDescent="0.3">
      <c r="A34" s="35"/>
      <c r="B34" s="89"/>
      <c r="C34" s="8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24.95" customHeight="1" thickBot="1" x14ac:dyDescent="0.35">
      <c r="A35" s="35"/>
      <c r="B35" s="30" t="s">
        <v>35</v>
      </c>
      <c r="C35" s="31" t="s">
        <v>37</v>
      </c>
      <c r="D35" s="31" t="s">
        <v>39</v>
      </c>
      <c r="E35" s="31" t="s">
        <v>41</v>
      </c>
      <c r="F35" s="31" t="s">
        <v>43</v>
      </c>
      <c r="G35" s="31" t="s">
        <v>45</v>
      </c>
      <c r="H35" s="31" t="s">
        <v>47</v>
      </c>
      <c r="I35" s="31" t="s">
        <v>49</v>
      </c>
      <c r="J35" s="31" t="s">
        <v>51</v>
      </c>
      <c r="K35" s="31" t="s">
        <v>55</v>
      </c>
      <c r="L35" s="31" t="s">
        <v>57</v>
      </c>
      <c r="M35" s="31" t="s">
        <v>59</v>
      </c>
      <c r="N35" s="31" t="s">
        <v>61</v>
      </c>
      <c r="O35" s="76" t="s">
        <v>63</v>
      </c>
      <c r="P35"/>
    </row>
    <row r="36" spans="1:16" ht="24.95" customHeight="1" thickBot="1" x14ac:dyDescent="0.35">
      <c r="A36" s="35"/>
      <c r="B36" s="75" t="s">
        <v>66</v>
      </c>
      <c r="C36" s="117">
        <f>EffettiviFormazioneEViaggi[[#Totals],[Gen]]+MarketingEffettivi[[#Totals],[Gen]]+EffettiviUfficio[[#Totals],[Gen]]+EffettiviDipendenti[[#Totals],[Gen]]</f>
        <v>129682</v>
      </c>
      <c r="D36" s="118">
        <f>EffettiviFormazioneEViaggi[[#Totals],[Feb]]+MarketingEffettivi[[#Totals],[Feb]]+EffettiviUfficio[[#Totals],[Feb]]+EffettiviDipendenti[[#Totals],[Feb]]</f>
        <v>127804</v>
      </c>
      <c r="E36" s="118">
        <f>EffettiviFormazioneEViaggi[[#Totals],[Mar]]+MarketingEffettivi[[#Totals],[Mar]]+EffettiviUfficio[[#Totals],[Mar]]+EffettiviDipendenti[[#Totals],[Mar]]</f>
        <v>125565</v>
      </c>
      <c r="F36" s="118">
        <f>EffettiviFormazioneEViaggi[[#Totals],[Apr]]+MarketingEffettivi[[#Totals],[Apr]]+EffettiviUfficio[[#Totals],[Apr]]+EffettiviDipendenti[[#Totals],[Apr]]</f>
        <v>137394</v>
      </c>
      <c r="G36" s="118">
        <f>EffettiviFormazioneEViaggi[[#Totals],[Mag]]+MarketingEffettivi[[#Totals],[Mag]]+EffettiviUfficio[[#Totals],[Mag]]+EffettiviDipendenti[[#Totals],[Mag]]</f>
        <v>128255</v>
      </c>
      <c r="H36" s="118">
        <f>EffettiviFormazioneEViaggi[[#Totals],[Giu]]+MarketingEffettivi[[#Totals],[Giu]]+EffettiviUfficio[[#Totals],[Giu]]+EffettiviDipendenti[[#Totals],[Giu]]</f>
        <v>134239</v>
      </c>
      <c r="I36" s="118">
        <f>EffettiviFormazioneEViaggi[[#Totals],[Lug]]+MarketingEffettivi[[#Totals],[Lug]]+EffettiviUfficio[[#Totals],[Lug]]+EffettiviDipendenti[[#Totals],[Lug]]</f>
        <v>0</v>
      </c>
      <c r="J36" s="118">
        <f>EffettiviFormazioneEViaggi[[#Totals],[Ago]]+MarketingEffettivi[[#Totals],[Ago]]+EffettiviUfficio[[#Totals],[Ago]]+EffettiviDipendenti[[#Totals],[Ago]]</f>
        <v>0</v>
      </c>
      <c r="K36" s="118">
        <f>EffettiviFormazioneEViaggi[[#Totals],[Set]]+MarketingEffettivi[[#Totals],[Set]]+EffettiviUfficio[[#Totals],[Set]]+EffettiviDipendenti[[#Totals],[Set]]</f>
        <v>0</v>
      </c>
      <c r="L36" s="118">
        <f>EffettiviFormazioneEViaggi[[#Totals],[Ott]]+MarketingEffettivi[[#Totals],[Ott]]+EffettiviUfficio[[#Totals],[Ott]]+EffettiviDipendenti[[#Totals],[Ott]]</f>
        <v>0</v>
      </c>
      <c r="M36" s="118">
        <f>EffettiviFormazioneEViaggi[[#Totals],[Nov]]+MarketingEffettivi[[#Totals],[Nov]]+EffettiviUfficio[[#Totals],[Nov]]+EffettiviDipendenti[[#Totals],[Nov]]</f>
        <v>0</v>
      </c>
      <c r="N36" s="118">
        <f>EffettiviFormazioneEViaggi[[#Totals],[Dic]]+MarketingEffettivi[[#Totals],[Dic]]+EffettiviUfficio[[#Totals],[Dic]]+EffettiviDipendenti[[#Totals],[Dic]]</f>
        <v>0</v>
      </c>
      <c r="O36" s="118">
        <f>EffettiviFormazioneEViaggi[[#Totals],[ANNO]]+MarketingEffettivi[[#Totals],[ANNO]]+EffettiviUfficio[[#Totals],[ANNO]]+EffettiviDipendenti[[#Totals],[ANNO]]</f>
        <v>782939</v>
      </c>
      <c r="P36"/>
    </row>
    <row r="37" spans="1:16" ht="21" customHeight="1" thickBot="1" x14ac:dyDescent="0.35">
      <c r="B37" s="75" t="s">
        <v>67</v>
      </c>
      <c r="C37" s="119">
        <f>SUM($C$36:C36)</f>
        <v>129682</v>
      </c>
      <c r="D37" s="120">
        <f>SUM($C$36:D36)</f>
        <v>257486</v>
      </c>
      <c r="E37" s="120">
        <f>SUM($C$36:E36)</f>
        <v>383051</v>
      </c>
      <c r="F37" s="120">
        <f>SUM($C$36:F36)</f>
        <v>520445</v>
      </c>
      <c r="G37" s="120">
        <f>SUM($C$36:G36)</f>
        <v>648700</v>
      </c>
      <c r="H37" s="121">
        <f>SUM($C$36:H36)</f>
        <v>782939</v>
      </c>
      <c r="I37" s="120">
        <f>SUM($C$36:I36)</f>
        <v>782939</v>
      </c>
      <c r="J37" s="120">
        <f>SUM($C$36:J36)</f>
        <v>782939</v>
      </c>
      <c r="K37" s="120">
        <f>SUM($C$36:K36)</f>
        <v>782939</v>
      </c>
      <c r="L37" s="120">
        <f>SUM($C$36:L36)</f>
        <v>782939</v>
      </c>
      <c r="M37" s="121">
        <f>SUM($C$36:M36)</f>
        <v>782939</v>
      </c>
      <c r="N37" s="120">
        <f>SUM($C$36:N36)</f>
        <v>782939</v>
      </c>
      <c r="O37" s="121"/>
    </row>
    <row r="38" spans="1:16" ht="21" customHeight="1" x14ac:dyDescent="0.3">
      <c r="L38" s="16"/>
      <c r="M38" s="16"/>
      <c r="N38" s="16"/>
      <c r="O38" s="16"/>
    </row>
  </sheetData>
  <mergeCells count="2">
    <mergeCell ref="K2:M2"/>
    <mergeCell ref="K3:M3"/>
  </mergeCells>
  <dataValidations count="9">
    <dataValidation allowBlank="1" showInputMessage="1" showErrorMessage="1" prompt="Il segnaposto del logo si trova in questa cella." sqref="N2" xr:uid="{C95257D8-3930-4F5C-8D70-88B292233801}"/>
    <dataValidation allowBlank="1" showInputMessage="1" showErrorMessage="1" prompt="Immettere i costi dei dipendenti nella tabella Totale effettivo partendo dalla cella a destra." sqref="A4" xr:uid="{177C6CBD-70F5-4EE0-A8BD-78C9CA33B2BD}"/>
    <dataValidation allowBlank="1" showInputMessage="1" showErrorMessage="1" prompt="Immettere i costi dei dipendenti nella tabella Totale effettivo partendo dalla cella a destra. L'istruzione successiva si trova nella cella A10." sqref="A5" xr:uid="{C3141D3D-0B91-4F53-BE3F-38687FD87D6B}"/>
    <dataValidation allowBlank="1" showInputMessage="1" showErrorMessage="1" prompt="Immettere i costi di Office nella tabella Effettivo di Office a partire dalla cella a destra. L'istruzione successiva si trova nella cella A21." sqref="A10" xr:uid="{6B251561-6C81-4CE6-8EBF-9D5790C7CB5E}"/>
    <dataValidation allowBlank="1" showInputMessage="1" showErrorMessage="1" prompt="Immettere i costi di marketing nella tabella Effettivo di marketing a partire dalla cella a destra. L'istruzione successiva si trova nella cella A30." sqref="A20" xr:uid="{D284BFB1-3C99-4A34-BA1D-2099E5838FB2}"/>
    <dataValidation allowBlank="1" showInputMessage="1" showErrorMessage="1" prompt="Immettere i costi di formazione o di viaggio nella tabella Costi di formazione e viaggio effettivi partendo dalla cella a destra. L'istruzione successiva si trova nella cella A35." sqref="A30" xr:uid="{255C7F8A-67BD-4F48-9D93-C907D407CF4C}"/>
    <dataValidation allowBlank="1" showInputMessage="1" showErrorMessage="1" sqref="A1" xr:uid="{79AE6394-A51C-466A-B4A1-C38D88BF4EBB}"/>
    <dataValidation allowBlank="1" showInputMessage="1" showErrorMessage="1" prompt="Il nome della società viene aggiornato automaticamente nella cella a destra. Il titolo di questo foglio di lavoro si trova nella cella K2. Immettere il logo nella cella N2." sqref="A2" xr:uid="{26A4B1D9-8F73-440F-9A07-A3F7DBC9AEEF}"/>
    <dataValidation allowBlank="1" showInputMessage="1" showErrorMessage="1" prompt="Il suggerimento si trova nella cella K3." sqref="A3" xr:uid="{7DD6B845-A534-4A07-B96C-7DC7C0D747FC}"/>
  </dataValidations>
  <pageMargins left="0.7" right="0.7" top="0.75" bottom="0.75" header="0.3" footer="0.3"/>
  <pageSetup paperSize="9" fitToHeight="0" orientation="portrait" r:id="rId1"/>
  <ignoredErrors>
    <ignoredError sqref="B2 O31:O33 O22:O28 O11:O18" emptyCellReference="1"/>
    <ignoredError sqref="C37:N37 C7:H7 C6:N6 O7 C36:N36" calculatedColumn="1"/>
    <ignoredError sqref="O6 I7:N7" emptyCellReference="1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autoPageBreaks="0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4.28515625" style="2" customWidth="1"/>
    <col min="3" max="15" width="15.7109375" style="2" customWidth="1"/>
    <col min="16" max="16" width="4.7109375" style="1" customWidth="1"/>
    <col min="17" max="16384" width="9.140625" style="2"/>
  </cols>
  <sheetData>
    <row r="1" spans="1:16" s="1" customFormat="1" ht="24" customHeight="1" x14ac:dyDescent="0.3">
      <c r="A1" s="36" t="s">
        <v>76</v>
      </c>
      <c r="B1" s="10"/>
      <c r="C1" s="10"/>
      <c r="D1" s="10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68" t="s">
        <v>64</v>
      </c>
    </row>
    <row r="2" spans="1:16" s="1" customFormat="1" ht="45" customHeight="1" x14ac:dyDescent="0.35">
      <c r="A2" s="34"/>
      <c r="B2" s="91" t="str">
        <f>'SPESE PIANIFICATE'!B2:D3</f>
        <v>Nome società</v>
      </c>
      <c r="C2" s="91"/>
      <c r="D2" s="91"/>
      <c r="E2" s="11"/>
      <c r="F2" s="8"/>
      <c r="G2" s="8"/>
      <c r="H2" s="8"/>
      <c r="I2" s="8"/>
      <c r="J2" s="8"/>
      <c r="K2" s="132" t="str">
        <f>worksheet_title</f>
        <v>Previsioni di spesa dettagliate</v>
      </c>
      <c r="L2" s="132"/>
      <c r="M2" s="132"/>
      <c r="N2" s="88"/>
      <c r="O2" s="88"/>
      <c r="P2" s="7"/>
    </row>
    <row r="3" spans="1:16" s="1" customFormat="1" ht="30" customHeight="1" x14ac:dyDescent="0.3">
      <c r="A3" s="34"/>
      <c r="B3" s="91"/>
      <c r="C3" s="91"/>
      <c r="D3" s="91"/>
      <c r="E3" s="12"/>
      <c r="F3" s="9"/>
      <c r="G3" s="9"/>
      <c r="H3" s="9"/>
      <c r="I3" s="9"/>
      <c r="J3" s="9"/>
      <c r="K3" s="134" t="s">
        <v>53</v>
      </c>
      <c r="L3" s="134"/>
      <c r="M3" s="134"/>
      <c r="N3" s="88"/>
      <c r="O3" s="88"/>
      <c r="P3" s="7"/>
    </row>
    <row r="4" spans="1:16" s="13" customFormat="1" ht="49.5" customHeight="1" x14ac:dyDescent="0.3">
      <c r="A4" s="35"/>
      <c r="B4" s="24" t="s">
        <v>68</v>
      </c>
      <c r="C4" s="25" t="s">
        <v>36</v>
      </c>
      <c r="D4" s="25" t="s">
        <v>38</v>
      </c>
      <c r="E4" s="25" t="s">
        <v>40</v>
      </c>
      <c r="F4" s="25" t="s">
        <v>42</v>
      </c>
      <c r="G4" s="25" t="s">
        <v>44</v>
      </c>
      <c r="H4" s="25" t="s">
        <v>46</v>
      </c>
      <c r="I4" s="129" t="s">
        <v>48</v>
      </c>
      <c r="J4" s="25" t="s">
        <v>50</v>
      </c>
      <c r="K4" s="25" t="s">
        <v>54</v>
      </c>
      <c r="L4" s="25" t="s">
        <v>56</v>
      </c>
      <c r="M4" s="25" t="s">
        <v>58</v>
      </c>
      <c r="N4" s="129" t="s">
        <v>60</v>
      </c>
      <c r="O4" s="25" t="s">
        <v>62</v>
      </c>
    </row>
    <row r="5" spans="1:16" ht="24.95" customHeight="1" thickBot="1" x14ac:dyDescent="0.35">
      <c r="A5" s="35"/>
      <c r="B5" s="62" t="s">
        <v>10</v>
      </c>
      <c r="C5" s="77" t="s">
        <v>37</v>
      </c>
      <c r="D5" s="77" t="s">
        <v>39</v>
      </c>
      <c r="E5" s="78" t="s">
        <v>41</v>
      </c>
      <c r="F5" s="77" t="s">
        <v>43</v>
      </c>
      <c r="G5" s="77" t="s">
        <v>45</v>
      </c>
      <c r="H5" s="77" t="s">
        <v>47</v>
      </c>
      <c r="I5" s="77" t="s">
        <v>49</v>
      </c>
      <c r="J5" s="77" t="s">
        <v>51</v>
      </c>
      <c r="K5" s="77" t="s">
        <v>55</v>
      </c>
      <c r="L5" s="77" t="s">
        <v>57</v>
      </c>
      <c r="M5" s="77" t="s">
        <v>59</v>
      </c>
      <c r="N5" s="77" t="s">
        <v>61</v>
      </c>
      <c r="O5" s="79" t="s">
        <v>62</v>
      </c>
    </row>
    <row r="6" spans="1:16" ht="24.95" customHeight="1" thickBot="1" x14ac:dyDescent="0.35">
      <c r="A6" s="35"/>
      <c r="B6" s="48" t="s">
        <v>11</v>
      </c>
      <c r="C6" s="108">
        <f>INDEX(PianDipendenti[],MATCH(INDEX(EmployeeVariances[],ROW()-ROW(EmployeeVariances[[#Headers],[Gen]]),1),INDEX(PianDipendenti[],,1),0),MATCH(EmployeeVariances[[#Headers],[Gen]],PianDipendenti[#Headers],0))-INDEX(EffettiviDipendenti[],MATCH(INDEX(EmployeeVariances[],ROW()-ROW(EmployeeVariances[[#Headers],[Gen]]),1),INDEX(PianDipendenti[],,1),0),MATCH(EmployeeVariances[[#Headers],[Gen]],EffettiviDipendenti[#Headers],0))</f>
        <v>0</v>
      </c>
      <c r="D6" s="103">
        <f>INDEX(PianDipendenti[],MATCH(INDEX(EmployeeVariances[],ROW()-ROW(EmployeeVariances[[#Headers],[Feb]]),1),INDEX(PianDipendenti[],,1),0),MATCH(EmployeeVariances[[#Headers],[Feb]],PianDipendenti[#Headers],0))-INDEX(EffettiviDipendenti[],MATCH(INDEX(EmployeeVariances[],ROW()-ROW(EmployeeVariances[[#Headers],[Feb]]),1),INDEX(PianDipendenti[],,1),0),MATCH(EmployeeVariances[[#Headers],[Feb]],EffettiviDipendenti[#Headers],0))</f>
        <v>0</v>
      </c>
      <c r="E6" s="103">
        <f>INDEX(PianDipendenti[],MATCH(INDEX(EmployeeVariances[],ROW()-ROW(EmployeeVariances[[#Headers],[Mar]]),1),INDEX(PianDipendenti[],,1),0),MATCH(EmployeeVariances[[#Headers],[Mar]],PianDipendenti[#Headers],0))-INDEX(EffettiviDipendenti[],MATCH(INDEX(EmployeeVariances[],ROW()-ROW(EmployeeVariances[[#Headers],[Mar]]),1),INDEX(PianDipendenti[],,1),0),MATCH(EmployeeVariances[[#Headers],[Mar]],EffettiviDipendenti[#Headers],0))</f>
        <v>0</v>
      </c>
      <c r="F6" s="103">
        <f>INDEX(PianDipendenti[],MATCH(INDEX(EmployeeVariances[],ROW()-ROW(EmployeeVariances[[#Headers],[Apr]]),1),INDEX(PianDipendenti[],,1),0),MATCH(EmployeeVariances[[#Headers],[Apr]],PianDipendenti[#Headers],0))-INDEX(EffettiviDipendenti[],MATCH(INDEX(EmployeeVariances[],ROW()-ROW(EmployeeVariances[[#Headers],[Apr]]),1),INDEX(PianDipendenti[],,1),0),MATCH(EmployeeVariances[[#Headers],[Apr]],EffettiviDipendenti[#Headers],0))</f>
        <v>-500</v>
      </c>
      <c r="G6" s="103">
        <f>INDEX(PianDipendenti[],MATCH(INDEX(EmployeeVariances[],ROW()-ROW(EmployeeVariances[[#Headers],[Mag]]),1),INDEX(PianDipendenti[],,1),0),MATCH(EmployeeVariances[[#Headers],[Mag]],PianDipendenti[#Headers],0))-INDEX(EffettiviDipendenti[],MATCH(INDEX(EmployeeVariances[],ROW()-ROW(EmployeeVariances[[#Headers],[Mag]]),1),INDEX(PianDipendenti[],,1),0),MATCH(EmployeeVariances[[#Headers],[Mag]],EffettiviDipendenti[#Headers],0))</f>
        <v>-500</v>
      </c>
      <c r="H6" s="103">
        <f>INDEX(PianDipendenti[],MATCH(INDEX(EmployeeVariances[],ROW()-ROW(EmployeeVariances[[#Headers],[Giu]]),1),INDEX(PianDipendenti[],,1),0),MATCH(EmployeeVariances[[#Headers],[Giu]],PianDipendenti[#Headers],0))-INDEX(EffettiviDipendenti[],MATCH(INDEX(EmployeeVariances[],ROW()-ROW(EmployeeVariances[[#Headers],[Giu]]),1),INDEX(PianDipendenti[],,1),0),MATCH(EmployeeVariances[[#Headers],[Giu]],EffettiviDipendenti[#Headers],0))</f>
        <v>-500</v>
      </c>
      <c r="I6" s="103">
        <f>INDEX(PianDipendenti[],MATCH(INDEX(EmployeeVariances[],ROW()-ROW(EmployeeVariances[[#Headers],[Lug]]),1),INDEX(PianDipendenti[],,1),0),MATCH(EmployeeVariances[[#Headers],[Lug]],PianDipendenti[#Headers],0))-INDEX(EffettiviDipendenti[],MATCH(INDEX(EmployeeVariances[],ROW()-ROW(EmployeeVariances[[#Headers],[Lug]]),1),INDEX(PianDipendenti[],,1),0),MATCH(EmployeeVariances[[#Headers],[Lug]],EffettiviDipendenti[#Headers],0))</f>
        <v>87500</v>
      </c>
      <c r="J6" s="103">
        <f>INDEX(PianDipendenti[],MATCH(INDEX(EmployeeVariances[],ROW()-ROW(EmployeeVariances[[#Headers],[Ago]]),1),INDEX(PianDipendenti[],,1),0),MATCH(EmployeeVariances[[#Headers],[Ago]],PianDipendenti[#Headers],0))-INDEX(EffettiviDipendenti[],MATCH(INDEX(EmployeeVariances[],ROW()-ROW(EmployeeVariances[[#Headers],[Ago]]),1),INDEX(PianDipendenti[],,1),0),MATCH(EmployeeVariances[[#Headers],[Ago]],EffettiviDipendenti[#Headers],0))</f>
        <v>92400</v>
      </c>
      <c r="K6" s="103">
        <f>INDEX(PianDipendenti[],MATCH(INDEX(EmployeeVariances[],ROW()-ROW(EmployeeVariances[[#Headers],[Set]]),1),INDEX(PianDipendenti[],,1),0),MATCH(EmployeeVariances[[#Headers],[Set]],PianDipendenti[#Headers],0))-INDEX(EffettiviDipendenti[],MATCH(INDEX(EmployeeVariances[],ROW()-ROW(EmployeeVariances[[#Headers],[Set]]),1),INDEX(PianDipendenti[],,1),0),MATCH(EmployeeVariances[[#Headers],[Set]],EffettiviDipendenti[#Headers],0))</f>
        <v>92400</v>
      </c>
      <c r="L6" s="103">
        <f>INDEX(PianDipendenti[],MATCH(INDEX(EmployeeVariances[],ROW()-ROW(EmployeeVariances[[#Headers],[Ott]]),1),INDEX(PianDipendenti[],,1),0),MATCH(EmployeeVariances[[#Headers],[Ott]],PianDipendenti[#Headers],0))-INDEX(EffettiviDipendenti[],MATCH(INDEX(EmployeeVariances[],ROW()-ROW(EmployeeVariances[[#Headers],[Ott]]),1),INDEX(PianDipendenti[],,1),0),MATCH(EmployeeVariances[[#Headers],[Ott]],EffettiviDipendenti[#Headers],0))</f>
        <v>92400</v>
      </c>
      <c r="M6" s="103">
        <f>INDEX(PianDipendenti[],MATCH(INDEX(EmployeeVariances[],ROW()-ROW(EmployeeVariances[[#Headers],[Nov]]),1),INDEX(PianDipendenti[],,1),0),MATCH(EmployeeVariances[[#Headers],[Nov]],PianDipendenti[#Headers],0))-INDEX(EffettiviDipendenti[],MATCH(INDEX(EmployeeVariances[],ROW()-ROW(EmployeeVariances[[#Headers],[Nov]]),1),INDEX(PianDipendenti[],,1),0),MATCH(EmployeeVariances[[#Headers],[Nov]],EffettiviDipendenti[#Headers],0))</f>
        <v>92400</v>
      </c>
      <c r="N6" s="103">
        <f>INDEX(PianDipendenti[],MATCH(INDEX(EmployeeVariances[],ROW()-ROW(EmployeeVariances[[#Headers],[Dic]]),1),INDEX(PianDipendenti[],,1),0),MATCH(EmployeeVariances[[#Headers],[Dic]],PianDipendenti[#Headers],0))-INDEX(EffettiviDipendenti[],MATCH(INDEX(EmployeeVariances[],ROW()-ROW(EmployeeVariances[[#Headers],[Dic]]),1),INDEX(PianDipendenti[],,1),0),MATCH(EmployeeVariances[[#Headers],[Dic]],EffettiviDipendenti[#Headers],0))</f>
        <v>92400</v>
      </c>
      <c r="O6" s="104">
        <f>SUM(EmployeeVariances[[#This Row],[Gen]:[Dic]])</f>
        <v>548000</v>
      </c>
    </row>
    <row r="7" spans="1:16" ht="24.95" customHeight="1" thickBot="1" x14ac:dyDescent="0.35">
      <c r="A7" s="35"/>
      <c r="B7" s="48" t="s">
        <v>12</v>
      </c>
      <c r="C7" s="108">
        <f>INDEX(PianDipendenti[],MATCH(INDEX(EmployeeVariances[],ROW()-ROW(EmployeeVariances[[#Headers],[Gen]]),1),INDEX(PianDipendenti[],,1),0),MATCH(EmployeeVariances[[#Headers],[Gen]],PianDipendenti[#Headers],0))-INDEX(EffettiviDipendenti[],MATCH(INDEX(EmployeeVariances[],ROW()-ROW(EmployeeVariances[[#Headers],[Gen]]),1),INDEX(PianDipendenti[],,1),0),MATCH(EmployeeVariances[[#Headers],[Gen]],EffettiviDipendenti[#Headers],0))</f>
        <v>0</v>
      </c>
      <c r="D7" s="103">
        <f>INDEX(PianDipendenti[],MATCH(INDEX(EmployeeVariances[],ROW()-ROW(EmployeeVariances[[#Headers],[Feb]]),1),INDEX(PianDipendenti[],,1),0),MATCH(EmployeeVariances[[#Headers],[Feb]],PianDipendenti[#Headers],0))-INDEX(EffettiviDipendenti[],MATCH(INDEX(EmployeeVariances[],ROW()-ROW(EmployeeVariances[[#Headers],[Feb]]),1),INDEX(PianDipendenti[],,1),0),MATCH(EmployeeVariances[[#Headers],[Feb]],EffettiviDipendenti[#Headers],0))</f>
        <v>0</v>
      </c>
      <c r="E7" s="103">
        <f>INDEX(PianDipendenti[],MATCH(INDEX(EmployeeVariances[],ROW()-ROW(EmployeeVariances[[#Headers],[Mar]]),1),INDEX(PianDipendenti[],,1),0),MATCH(EmployeeVariances[[#Headers],[Mar]],PianDipendenti[#Headers],0))-INDEX(EffettiviDipendenti[],MATCH(INDEX(EmployeeVariances[],ROW()-ROW(EmployeeVariances[[#Headers],[Mar]]),1),INDEX(PianDipendenti[],,1),0),MATCH(EmployeeVariances[[#Headers],[Mar]],EffettiviDipendenti[#Headers],0))</f>
        <v>0</v>
      </c>
      <c r="F7" s="103">
        <f>INDEX(PianDipendenti[],MATCH(INDEX(EmployeeVariances[],ROW()-ROW(EmployeeVariances[[#Headers],[Apr]]),1),INDEX(PianDipendenti[],,1),0),MATCH(EmployeeVariances[[#Headers],[Apr]],PianDipendenti[#Headers],0))-INDEX(EffettiviDipendenti[],MATCH(INDEX(EmployeeVariances[],ROW()-ROW(EmployeeVariances[[#Headers],[Apr]]),1),INDEX(PianDipendenti[],,1),0),MATCH(EmployeeVariances[[#Headers],[Apr]],EffettiviDipendenti[#Headers],0))</f>
        <v>-135</v>
      </c>
      <c r="G7" s="103">
        <f>INDEX(PianDipendenti[],MATCH(INDEX(EmployeeVariances[],ROW()-ROW(EmployeeVariances[[#Headers],[Mag]]),1),INDEX(PianDipendenti[],,1),0),MATCH(EmployeeVariances[[#Headers],[Mag]],PianDipendenti[#Headers],0))-INDEX(EffettiviDipendenti[],MATCH(INDEX(EmployeeVariances[],ROW()-ROW(EmployeeVariances[[#Headers],[Mag]]),1),INDEX(PianDipendenti[],,1),0),MATCH(EmployeeVariances[[#Headers],[Mag]],EffettiviDipendenti[#Headers],0))</f>
        <v>-135</v>
      </c>
      <c r="H7" s="103">
        <f>INDEX(PianDipendenti[],MATCH(INDEX(EmployeeVariances[],ROW()-ROW(EmployeeVariances[[#Headers],[Giu]]),1),INDEX(PianDipendenti[],,1),0),MATCH(EmployeeVariances[[#Headers],[Giu]],PianDipendenti[#Headers],0))-INDEX(EffettiviDipendenti[],MATCH(INDEX(EmployeeVariances[],ROW()-ROW(EmployeeVariances[[#Headers],[Giu]]),1),INDEX(PianDipendenti[],,1),0),MATCH(EmployeeVariances[[#Headers],[Giu]],EffettiviDipendenti[#Headers],0))</f>
        <v>-135</v>
      </c>
      <c r="I7" s="103">
        <f>INDEX(PianDipendenti[],MATCH(INDEX(EmployeeVariances[],ROW()-ROW(EmployeeVariances[[#Headers],[Lug]]),1),INDEX(PianDipendenti[],,1),0),MATCH(EmployeeVariances[[#Headers],[Lug]],PianDipendenti[#Headers],0))-INDEX(EffettiviDipendenti[],MATCH(INDEX(EmployeeVariances[],ROW()-ROW(EmployeeVariances[[#Headers],[Lug]]),1),INDEX(PianDipendenti[],,1),0),MATCH(EmployeeVariances[[#Headers],[Lug]],EffettiviDipendenti[#Headers],0))</f>
        <v>23625</v>
      </c>
      <c r="J7" s="103">
        <f>INDEX(PianDipendenti[],MATCH(INDEX(EmployeeVariances[],ROW()-ROW(EmployeeVariances[[#Headers],[Ago]]),1),INDEX(PianDipendenti[],,1),0),MATCH(EmployeeVariances[[#Headers],[Ago]],PianDipendenti[#Headers],0))-INDEX(EffettiviDipendenti[],MATCH(INDEX(EmployeeVariances[],ROW()-ROW(EmployeeVariances[[#Headers],[Ago]]),1),INDEX(PianDipendenti[],,1),0),MATCH(EmployeeVariances[[#Headers],[Ago]],EffettiviDipendenti[#Headers],0))</f>
        <v>24948</v>
      </c>
      <c r="K7" s="103">
        <f>INDEX(PianDipendenti[],MATCH(INDEX(EmployeeVariances[],ROW()-ROW(EmployeeVariances[[#Headers],[Set]]),1),INDEX(PianDipendenti[],,1),0),MATCH(EmployeeVariances[[#Headers],[Set]],PianDipendenti[#Headers],0))-INDEX(EffettiviDipendenti[],MATCH(INDEX(EmployeeVariances[],ROW()-ROW(EmployeeVariances[[#Headers],[Set]]),1),INDEX(PianDipendenti[],,1),0),MATCH(EmployeeVariances[[#Headers],[Set]],EffettiviDipendenti[#Headers],0))</f>
        <v>24948</v>
      </c>
      <c r="L7" s="103">
        <f>INDEX(PianDipendenti[],MATCH(INDEX(EmployeeVariances[],ROW()-ROW(EmployeeVariances[[#Headers],[Ott]]),1),INDEX(PianDipendenti[],,1),0),MATCH(EmployeeVariances[[#Headers],[Ott]],PianDipendenti[#Headers],0))-INDEX(EffettiviDipendenti[],MATCH(INDEX(EmployeeVariances[],ROW()-ROW(EmployeeVariances[[#Headers],[Ott]]),1),INDEX(PianDipendenti[],,1),0),MATCH(EmployeeVariances[[#Headers],[Ott]],EffettiviDipendenti[#Headers],0))</f>
        <v>24948</v>
      </c>
      <c r="M7" s="103">
        <f>INDEX(PianDipendenti[],MATCH(INDEX(EmployeeVariances[],ROW()-ROW(EmployeeVariances[[#Headers],[Nov]]),1),INDEX(PianDipendenti[],,1),0),MATCH(EmployeeVariances[[#Headers],[Nov]],PianDipendenti[#Headers],0))-INDEX(EffettiviDipendenti[],MATCH(INDEX(EmployeeVariances[],ROW()-ROW(EmployeeVariances[[#Headers],[Nov]]),1),INDEX(PianDipendenti[],,1),0),MATCH(EmployeeVariances[[#Headers],[Nov]],EffettiviDipendenti[#Headers],0))</f>
        <v>24948</v>
      </c>
      <c r="N7" s="103">
        <f>INDEX(PianDipendenti[],MATCH(INDEX(EmployeeVariances[],ROW()-ROW(EmployeeVariances[[#Headers],[Dic]]),1),INDEX(PianDipendenti[],,1),0),MATCH(EmployeeVariances[[#Headers],[Dic]],PianDipendenti[#Headers],0))-INDEX(EffettiviDipendenti[],MATCH(INDEX(EmployeeVariances[],ROW()-ROW(EmployeeVariances[[#Headers],[Dic]]),1),INDEX(PianDipendenti[],,1),0),MATCH(EmployeeVariances[[#Headers],[Dic]],EffettiviDipendenti[#Headers],0))</f>
        <v>24948</v>
      </c>
      <c r="O7" s="104">
        <f>SUM(EmployeeVariances[[#This Row],[Gen]:[Dic]])</f>
        <v>147960</v>
      </c>
    </row>
    <row r="8" spans="1:16" ht="24.95" customHeight="1" x14ac:dyDescent="0.3">
      <c r="A8" s="35"/>
      <c r="B8" s="80" t="s">
        <v>13</v>
      </c>
      <c r="C8" s="106">
        <f>SUBTOTAL(109,EmployeeVariances[Gen])</f>
        <v>0</v>
      </c>
      <c r="D8" s="106">
        <f>SUBTOTAL(109,EmployeeVariances[Feb])</f>
        <v>0</v>
      </c>
      <c r="E8" s="106">
        <f>SUBTOTAL(109,EmployeeVariances[Mar])</f>
        <v>0</v>
      </c>
      <c r="F8" s="106">
        <f>SUBTOTAL(109,EmployeeVariances[Apr])</f>
        <v>-635</v>
      </c>
      <c r="G8" s="106">
        <f>SUBTOTAL(109,EmployeeVariances[Mag])</f>
        <v>-635</v>
      </c>
      <c r="H8" s="106">
        <f>SUBTOTAL(109,EmployeeVariances[Giu])</f>
        <v>-635</v>
      </c>
      <c r="I8" s="106">
        <f>SUBTOTAL(109,EmployeeVariances[Lug])</f>
        <v>111125</v>
      </c>
      <c r="J8" s="106">
        <f>SUBTOTAL(109,EmployeeVariances[Ago])</f>
        <v>117348</v>
      </c>
      <c r="K8" s="106">
        <f>SUBTOTAL(109,EmployeeVariances[Set])</f>
        <v>117348</v>
      </c>
      <c r="L8" s="106">
        <f>SUBTOTAL(109,EmployeeVariances[Ott])</f>
        <v>117348</v>
      </c>
      <c r="M8" s="106">
        <f>SUBTOTAL(109,EmployeeVariances[Nov])</f>
        <v>117348</v>
      </c>
      <c r="N8" s="106">
        <f>SUBTOTAL(109,EmployeeVariances[Dic])</f>
        <v>117348</v>
      </c>
      <c r="O8" s="107">
        <f>SUBTOTAL(109,EmployeeVariances[ANNO])</f>
        <v>695960</v>
      </c>
    </row>
    <row r="9" spans="1:16" ht="21" customHeight="1" x14ac:dyDescent="0.3">
      <c r="A9" s="35"/>
      <c r="B9" s="89"/>
      <c r="C9" s="8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6" ht="24.95" customHeight="1" thickBot="1" x14ac:dyDescent="0.35">
      <c r="A10" s="35"/>
      <c r="B10" s="51" t="s">
        <v>14</v>
      </c>
      <c r="C10" s="52" t="s">
        <v>37</v>
      </c>
      <c r="D10" s="52" t="s">
        <v>39</v>
      </c>
      <c r="E10" s="53" t="s">
        <v>41</v>
      </c>
      <c r="F10" s="52" t="s">
        <v>43</v>
      </c>
      <c r="G10" s="52" t="s">
        <v>45</v>
      </c>
      <c r="H10" s="52" t="s">
        <v>47</v>
      </c>
      <c r="I10" s="52" t="s">
        <v>49</v>
      </c>
      <c r="J10" s="52" t="s">
        <v>51</v>
      </c>
      <c r="K10" s="52" t="s">
        <v>55</v>
      </c>
      <c r="L10" s="52" t="s">
        <v>57</v>
      </c>
      <c r="M10" s="52" t="s">
        <v>59</v>
      </c>
      <c r="N10" s="52" t="s">
        <v>61</v>
      </c>
      <c r="O10" s="54" t="s">
        <v>62</v>
      </c>
    </row>
    <row r="11" spans="1:16" ht="24.95" customHeight="1" thickBot="1" x14ac:dyDescent="0.35">
      <c r="A11" s="35"/>
      <c r="B11" s="69" t="s">
        <v>15</v>
      </c>
      <c r="C11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0</v>
      </c>
      <c r="D11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0</v>
      </c>
      <c r="E11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0</v>
      </c>
      <c r="F11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0</v>
      </c>
      <c r="G11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0</v>
      </c>
      <c r="H11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0</v>
      </c>
      <c r="I11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9800</v>
      </c>
      <c r="J11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9800</v>
      </c>
      <c r="K11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9800</v>
      </c>
      <c r="L11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9800</v>
      </c>
      <c r="M11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9800</v>
      </c>
      <c r="N11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9800</v>
      </c>
      <c r="O11" s="104">
        <f>SUM(OfficeVariances[[#This Row],[Gen]:[Dic]])</f>
        <v>58800</v>
      </c>
    </row>
    <row r="12" spans="1:16" ht="24.95" customHeight="1" thickBot="1" x14ac:dyDescent="0.35">
      <c r="A12" s="35"/>
      <c r="B12" s="69" t="s">
        <v>16</v>
      </c>
      <c r="C12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-4</v>
      </c>
      <c r="D12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-30</v>
      </c>
      <c r="E12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15</v>
      </c>
      <c r="F12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-130</v>
      </c>
      <c r="G12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13</v>
      </c>
      <c r="H12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12</v>
      </c>
      <c r="I12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100</v>
      </c>
      <c r="J12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100</v>
      </c>
      <c r="K12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100</v>
      </c>
      <c r="L12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100</v>
      </c>
      <c r="M12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400</v>
      </c>
      <c r="N12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400</v>
      </c>
      <c r="O12" s="104">
        <f>SUM(OfficeVariances[[#This Row],[Gen]:[Dic]])</f>
        <v>1076</v>
      </c>
    </row>
    <row r="13" spans="1:16" ht="24.95" customHeight="1" thickBot="1" x14ac:dyDescent="0.35">
      <c r="A13" s="35"/>
      <c r="B13" s="69" t="s">
        <v>17</v>
      </c>
      <c r="C13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12</v>
      </c>
      <c r="D13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22</v>
      </c>
      <c r="E13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32</v>
      </c>
      <c r="F13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1</v>
      </c>
      <c r="G13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-6</v>
      </c>
      <c r="H13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10</v>
      </c>
      <c r="I13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300</v>
      </c>
      <c r="J13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300</v>
      </c>
      <c r="K13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300</v>
      </c>
      <c r="L13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300</v>
      </c>
      <c r="M13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300</v>
      </c>
      <c r="N13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300</v>
      </c>
      <c r="O13" s="104">
        <f>SUM(OfficeVariances[[#This Row],[Gen]:[Dic]])</f>
        <v>1871</v>
      </c>
    </row>
    <row r="14" spans="1:16" ht="24.95" customHeight="1" thickBot="1" x14ac:dyDescent="0.35">
      <c r="A14" s="35"/>
      <c r="B14" s="69" t="s">
        <v>18</v>
      </c>
      <c r="C14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5</v>
      </c>
      <c r="D14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7</v>
      </c>
      <c r="E14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6</v>
      </c>
      <c r="F14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4</v>
      </c>
      <c r="G14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6</v>
      </c>
      <c r="H14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4</v>
      </c>
      <c r="I14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40</v>
      </c>
      <c r="J14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40</v>
      </c>
      <c r="K14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40</v>
      </c>
      <c r="L14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40</v>
      </c>
      <c r="M14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40</v>
      </c>
      <c r="N14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40</v>
      </c>
      <c r="O14" s="104">
        <f>SUM(OfficeVariances[[#This Row],[Gen]:[Dic]])</f>
        <v>272</v>
      </c>
    </row>
    <row r="15" spans="1:16" ht="24.95" customHeight="1" thickBot="1" x14ac:dyDescent="0.35">
      <c r="A15" s="35"/>
      <c r="B15" s="69" t="s">
        <v>19</v>
      </c>
      <c r="C15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26</v>
      </c>
      <c r="D15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15</v>
      </c>
      <c r="E15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-15</v>
      </c>
      <c r="F15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5</v>
      </c>
      <c r="G15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5</v>
      </c>
      <c r="H15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30</v>
      </c>
      <c r="I15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250</v>
      </c>
      <c r="J15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250</v>
      </c>
      <c r="K15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250</v>
      </c>
      <c r="L15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250</v>
      </c>
      <c r="M15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250</v>
      </c>
      <c r="N15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250</v>
      </c>
      <c r="O15" s="104">
        <f>SUM(OfficeVariances[[#This Row],[Gen]:[Dic]])</f>
        <v>1566</v>
      </c>
    </row>
    <row r="16" spans="1:16" ht="24.95" customHeight="1" thickBot="1" x14ac:dyDescent="0.35">
      <c r="A16" s="35"/>
      <c r="B16" s="69" t="s">
        <v>20</v>
      </c>
      <c r="C16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0</v>
      </c>
      <c r="D16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0</v>
      </c>
      <c r="E16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0</v>
      </c>
      <c r="F16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0</v>
      </c>
      <c r="G16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0</v>
      </c>
      <c r="H16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0</v>
      </c>
      <c r="I16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180</v>
      </c>
      <c r="J16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180</v>
      </c>
      <c r="K16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180</v>
      </c>
      <c r="L16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180</v>
      </c>
      <c r="M16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180</v>
      </c>
      <c r="N16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180</v>
      </c>
      <c r="O16" s="104">
        <f>SUM(OfficeVariances[[#This Row],[Gen]:[Dic]])</f>
        <v>1080</v>
      </c>
    </row>
    <row r="17" spans="1:15" ht="24.95" customHeight="1" thickBot="1" x14ac:dyDescent="0.35">
      <c r="A17" s="35"/>
      <c r="B17" s="69" t="s">
        <v>21</v>
      </c>
      <c r="C17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-56</v>
      </c>
      <c r="D17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58</v>
      </c>
      <c r="E17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40</v>
      </c>
      <c r="F17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-21</v>
      </c>
      <c r="G17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-56</v>
      </c>
      <c r="H17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-40</v>
      </c>
      <c r="I17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200</v>
      </c>
      <c r="J17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200</v>
      </c>
      <c r="K17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200</v>
      </c>
      <c r="L17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200</v>
      </c>
      <c r="M17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200</v>
      </c>
      <c r="N17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200</v>
      </c>
      <c r="O17" s="104">
        <f>SUM(OfficeVariances[[#This Row],[Gen]:[Dic]])</f>
        <v>1125</v>
      </c>
    </row>
    <row r="18" spans="1:15" ht="24.95" customHeight="1" thickBot="1" x14ac:dyDescent="0.35">
      <c r="A18" s="35"/>
      <c r="B18" s="69" t="s">
        <v>22</v>
      </c>
      <c r="C18" s="103">
        <f>INDEX(PianUfficio[],MATCH(INDEX(OfficeVariances[],ROW()-ROW(OfficeVariances[[#Headers],[Gen]]),1),INDEX(PianUfficio[],,1),0),MATCH(OfficeVariances[[#Headers],[Gen]],PianUfficio[#Headers],0))-INDEX(EffettiviUfficio[],MATCH(INDEX(OfficeVariances[],ROW()-ROW(OfficeVariances[[#Headers],[Gen]]),1),INDEX(PianUfficio[],,1),0),MATCH(OfficeVariances[[#Headers],[Gen]],EffettiviUfficio[#Headers],0))</f>
        <v>0</v>
      </c>
      <c r="D18" s="103">
        <f>INDEX(PianUfficio[],MATCH(INDEX(OfficeVariances[],ROW()-ROW(OfficeVariances[[#Headers],[Feb]]),1),INDEX(PianUfficio[],,1),0),MATCH(OfficeVariances[[#Headers],[Feb]],PianUfficio[#Headers],0))-INDEX(EffettiviUfficio[],MATCH(INDEX(OfficeVariances[],ROW()-ROW(OfficeVariances[[#Headers],[Feb]]),1),INDEX(PianUfficio[],,1),0),MATCH(OfficeVariances[[#Headers],[Feb]],EffettiviUfficio[#Headers],0))</f>
        <v>0</v>
      </c>
      <c r="E18" s="103">
        <f>INDEX(PianUfficio[],MATCH(INDEX(OfficeVariances[],ROW()-ROW(OfficeVariances[[#Headers],[Mar]]),1),INDEX(PianUfficio[],,1),0),MATCH(OfficeVariances[[#Headers],[Mar]],PianUfficio[#Headers],0))-INDEX(EffettiviUfficio[],MATCH(INDEX(OfficeVariances[],ROW()-ROW(OfficeVariances[[#Headers],[Mar]]),1),INDEX(PianUfficio[],,1),0),MATCH(OfficeVariances[[#Headers],[Mar]],EffettiviUfficio[#Headers],0))</f>
        <v>0</v>
      </c>
      <c r="F18" s="103">
        <f>INDEX(PianUfficio[],MATCH(INDEX(OfficeVariances[],ROW()-ROW(OfficeVariances[[#Headers],[Apr]]),1),INDEX(PianUfficio[],,1),0),MATCH(OfficeVariances[[#Headers],[Apr]],PianUfficio[#Headers],0))-INDEX(EffettiviUfficio[],MATCH(INDEX(OfficeVariances[],ROW()-ROW(OfficeVariances[[#Headers],[Apr]]),1),INDEX(PianUfficio[],,1),0),MATCH(OfficeVariances[[#Headers],[Apr]],EffettiviUfficio[#Headers],0))</f>
        <v>0</v>
      </c>
      <c r="G18" s="103">
        <f>INDEX(PianUfficio[],MATCH(INDEX(OfficeVariances[],ROW()-ROW(OfficeVariances[[#Headers],[Mag]]),1),INDEX(PianUfficio[],,1),0),MATCH(OfficeVariances[[#Headers],[Mag]],PianUfficio[#Headers],0))-INDEX(EffettiviUfficio[],MATCH(INDEX(OfficeVariances[],ROW()-ROW(OfficeVariances[[#Headers],[Mag]]),1),INDEX(PianUfficio[],,1),0),MATCH(OfficeVariances[[#Headers],[Mag]],EffettiviUfficio[#Headers],0))</f>
        <v>0</v>
      </c>
      <c r="H18" s="103">
        <f>INDEX(PianUfficio[],MATCH(INDEX(OfficeVariances[],ROW()-ROW(OfficeVariances[[#Headers],[Giu]]),1),INDEX(PianUfficio[],,1),0),MATCH(OfficeVariances[[#Headers],[Giu]],PianUfficio[#Headers],0))-INDEX(EffettiviUfficio[],MATCH(INDEX(OfficeVariances[],ROW()-ROW(OfficeVariances[[#Headers],[Giu]]),1),INDEX(PianUfficio[],,1),0),MATCH(OfficeVariances[[#Headers],[Giu]],EffettiviUfficio[#Headers],0))</f>
        <v>0</v>
      </c>
      <c r="I18" s="103">
        <f>INDEX(PianUfficio[],MATCH(INDEX(OfficeVariances[],ROW()-ROW(OfficeVariances[[#Headers],[Lug]]),1),INDEX(PianUfficio[],,1),0),MATCH(OfficeVariances[[#Headers],[Lug]],PianUfficio[#Headers],0))-INDEX(EffettiviUfficio[],MATCH(INDEX(OfficeVariances[],ROW()-ROW(OfficeVariances[[#Headers],[Lug]]),1),INDEX(PianUfficio[],,1),0),MATCH(OfficeVariances[[#Headers],[Lug]],EffettiviUfficio[#Headers],0))</f>
        <v>600</v>
      </c>
      <c r="J18" s="103">
        <f>INDEX(PianUfficio[],MATCH(INDEX(OfficeVariances[],ROW()-ROW(OfficeVariances[[#Headers],[Ago]]),1),INDEX(PianUfficio[],,1),0),MATCH(OfficeVariances[[#Headers],[Ago]],PianUfficio[#Headers],0))-INDEX(EffettiviUfficio[],MATCH(INDEX(OfficeVariances[],ROW()-ROW(OfficeVariances[[#Headers],[Ago]]),1),INDEX(PianUfficio[],,1),0),MATCH(OfficeVariances[[#Headers],[Ago]],EffettiviUfficio[#Headers],0))</f>
        <v>600</v>
      </c>
      <c r="K18" s="103">
        <f>INDEX(PianUfficio[],MATCH(INDEX(OfficeVariances[],ROW()-ROW(OfficeVariances[[#Headers],[Set]]),1),INDEX(PianUfficio[],,1),0),MATCH(OfficeVariances[[#Headers],[Set]],PianUfficio[#Headers],0))-INDEX(EffettiviUfficio[],MATCH(INDEX(OfficeVariances[],ROW()-ROW(OfficeVariances[[#Headers],[Set]]),1),INDEX(PianUfficio[],,1),0),MATCH(OfficeVariances[[#Headers],[Set]],EffettiviUfficio[#Headers],0))</f>
        <v>600</v>
      </c>
      <c r="L18" s="103">
        <f>INDEX(PianUfficio[],MATCH(INDEX(OfficeVariances[],ROW()-ROW(OfficeVariances[[#Headers],[Ott]]),1),INDEX(PianUfficio[],,1),0),MATCH(OfficeVariances[[#Headers],[Ott]],PianUfficio[#Headers],0))-INDEX(EffettiviUfficio[],MATCH(INDEX(OfficeVariances[],ROW()-ROW(OfficeVariances[[#Headers],[Ott]]),1),INDEX(PianUfficio[],,1),0),MATCH(OfficeVariances[[#Headers],[Ott]],EffettiviUfficio[#Headers],0))</f>
        <v>600</v>
      </c>
      <c r="M18" s="103">
        <f>INDEX(PianUfficio[],MATCH(INDEX(OfficeVariances[],ROW()-ROW(OfficeVariances[[#Headers],[Nov]]),1),INDEX(PianUfficio[],,1),0),MATCH(OfficeVariances[[#Headers],[Nov]],PianUfficio[#Headers],0))-INDEX(EffettiviUfficio[],MATCH(INDEX(OfficeVariances[],ROW()-ROW(OfficeVariances[[#Headers],[Nov]]),1),INDEX(PianUfficio[],,1),0),MATCH(OfficeVariances[[#Headers],[Nov]],EffettiviUfficio[#Headers],0))</f>
        <v>600</v>
      </c>
      <c r="N18" s="103">
        <f>INDEX(PianUfficio[],MATCH(INDEX(OfficeVariances[],ROW()-ROW(OfficeVariances[[#Headers],[Dic]]),1),INDEX(PianUfficio[],,1),0),MATCH(OfficeVariances[[#Headers],[Dic]],PianUfficio[#Headers],0))-INDEX(EffettiviUfficio[],MATCH(INDEX(OfficeVariances[],ROW()-ROW(OfficeVariances[[#Headers],[Dic]]),1),INDEX(PianUfficio[],,1),0),MATCH(OfficeVariances[[#Headers],[Dic]],EffettiviUfficio[#Headers],0))</f>
        <v>600</v>
      </c>
      <c r="O18" s="104">
        <f>SUM(OfficeVariances[[#This Row],[Gen]:[Dic]])</f>
        <v>3600</v>
      </c>
    </row>
    <row r="19" spans="1:15" ht="24.95" customHeight="1" x14ac:dyDescent="0.3">
      <c r="A19" s="35"/>
      <c r="B19" s="82" t="s">
        <v>13</v>
      </c>
      <c r="C19" s="105">
        <f>SUBTOTAL(109,OfficeVariances[Gen])</f>
        <v>-17</v>
      </c>
      <c r="D19" s="106">
        <f>SUBTOTAL(109,OfficeVariances[Feb])</f>
        <v>72</v>
      </c>
      <c r="E19" s="106">
        <f>SUBTOTAL(109,OfficeVariances[Mar])</f>
        <v>78</v>
      </c>
      <c r="F19" s="106">
        <f>SUBTOTAL(109,OfficeVariances[Apr])</f>
        <v>-141</v>
      </c>
      <c r="G19" s="106">
        <f>SUBTOTAL(109,OfficeVariances[Mag])</f>
        <v>-38</v>
      </c>
      <c r="H19" s="106">
        <f>SUBTOTAL(109,OfficeVariances[Giu])</f>
        <v>16</v>
      </c>
      <c r="I19" s="106">
        <f>SUBTOTAL(109,OfficeVariances[Lug])</f>
        <v>11470</v>
      </c>
      <c r="J19" s="106">
        <f>SUBTOTAL(109,OfficeVariances[Ago])</f>
        <v>11470</v>
      </c>
      <c r="K19" s="106">
        <f>SUBTOTAL(109,OfficeVariances[Set])</f>
        <v>11470</v>
      </c>
      <c r="L19" s="106">
        <f>SUBTOTAL(109,OfficeVariances[Ott])</f>
        <v>11470</v>
      </c>
      <c r="M19" s="106">
        <f>SUBTOTAL(109,OfficeVariances[Nov])</f>
        <v>11770</v>
      </c>
      <c r="N19" s="106">
        <f>SUBTOTAL(109,OfficeVariances[Dic])</f>
        <v>11770</v>
      </c>
      <c r="O19" s="107">
        <f>SUBTOTAL(109,OfficeVariances[ANNO])</f>
        <v>69390</v>
      </c>
    </row>
    <row r="20" spans="1:15" ht="21" customHeight="1" x14ac:dyDescent="0.3">
      <c r="A20" s="35"/>
      <c r="B20" s="90"/>
      <c r="C20" s="90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1:15" ht="24.95" customHeight="1" thickBot="1" x14ac:dyDescent="0.35">
      <c r="A21" s="35"/>
      <c r="B21" s="61" t="s">
        <v>23</v>
      </c>
      <c r="C21" s="52" t="s">
        <v>37</v>
      </c>
      <c r="D21" s="52" t="s">
        <v>39</v>
      </c>
      <c r="E21" s="53" t="s">
        <v>41</v>
      </c>
      <c r="F21" s="52" t="s">
        <v>43</v>
      </c>
      <c r="G21" s="52" t="s">
        <v>45</v>
      </c>
      <c r="H21" s="52" t="s">
        <v>47</v>
      </c>
      <c r="I21" s="52" t="s">
        <v>49</v>
      </c>
      <c r="J21" s="52" t="s">
        <v>51</v>
      </c>
      <c r="K21" s="52" t="s">
        <v>55</v>
      </c>
      <c r="L21" s="52" t="s">
        <v>57</v>
      </c>
      <c r="M21" s="52" t="s">
        <v>59</v>
      </c>
      <c r="N21" s="52" t="s">
        <v>61</v>
      </c>
      <c r="O21" s="54" t="s">
        <v>62</v>
      </c>
    </row>
    <row r="22" spans="1:15" ht="24.95" customHeight="1" thickBot="1" x14ac:dyDescent="0.35">
      <c r="A22" s="35"/>
      <c r="B22" s="69" t="s">
        <v>24</v>
      </c>
      <c r="C22" s="103">
        <f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f>
        <v>0</v>
      </c>
      <c r="D22" s="103">
        <f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f>
        <v>0</v>
      </c>
      <c r="E22" s="103">
        <f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f>
        <v>0</v>
      </c>
      <c r="F22" s="103">
        <f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f>
        <v>0</v>
      </c>
      <c r="G22" s="103">
        <f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f>
        <v>0</v>
      </c>
      <c r="H22" s="103">
        <f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f>
        <v>0</v>
      </c>
      <c r="I22" s="103">
        <f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f>
        <v>500</v>
      </c>
      <c r="J22" s="103">
        <f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f>
        <v>500</v>
      </c>
      <c r="K22" s="103">
        <f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f>
        <v>500</v>
      </c>
      <c r="L22" s="103">
        <f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f>
        <v>500</v>
      </c>
      <c r="M22" s="103">
        <f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f>
        <v>500</v>
      </c>
      <c r="N22" s="103">
        <f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f>
        <v>500</v>
      </c>
      <c r="O22" s="104">
        <f>SUM(MarketingVariances[[#This Row],[Gen]:[Dic]])</f>
        <v>3000</v>
      </c>
    </row>
    <row r="23" spans="1:15" ht="24.95" customHeight="1" thickBot="1" x14ac:dyDescent="0.35">
      <c r="A23" s="35"/>
      <c r="B23" s="69" t="s">
        <v>25</v>
      </c>
      <c r="C23" s="103">
        <f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f>
        <v>0</v>
      </c>
      <c r="D23" s="103">
        <f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f>
        <v>0</v>
      </c>
      <c r="E23" s="103">
        <f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f>
        <v>0</v>
      </c>
      <c r="F23" s="103">
        <f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f>
        <v>0</v>
      </c>
      <c r="G23" s="103">
        <f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f>
        <v>0</v>
      </c>
      <c r="H23" s="103">
        <f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f>
        <v>-500</v>
      </c>
      <c r="I23" s="103">
        <f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f>
        <v>200</v>
      </c>
      <c r="J23" s="103">
        <f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f>
        <v>200</v>
      </c>
      <c r="K23" s="103">
        <f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f>
        <v>200</v>
      </c>
      <c r="L23" s="103">
        <f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f>
        <v>200</v>
      </c>
      <c r="M23" s="103">
        <f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f>
        <v>200</v>
      </c>
      <c r="N23" s="103">
        <f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f>
        <v>1000</v>
      </c>
      <c r="O23" s="104">
        <f>SUM(MarketingVariances[[#This Row],[Gen]:[Dic]])</f>
        <v>1500</v>
      </c>
    </row>
    <row r="24" spans="1:15" ht="24.95" customHeight="1" thickBot="1" x14ac:dyDescent="0.35">
      <c r="A24" s="35"/>
      <c r="B24" s="69" t="s">
        <v>26</v>
      </c>
      <c r="C24" s="103">
        <f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f>
        <v>200</v>
      </c>
      <c r="D24" s="103">
        <f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f>
        <v>0</v>
      </c>
      <c r="E24" s="103">
        <f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f>
        <v>0</v>
      </c>
      <c r="F24" s="103">
        <f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f>
        <v>-500</v>
      </c>
      <c r="G24" s="103">
        <f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f>
        <v>0</v>
      </c>
      <c r="H24" s="103">
        <f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f>
        <v>0</v>
      </c>
      <c r="I24" s="103">
        <f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f>
        <v>5000</v>
      </c>
      <c r="J24" s="103">
        <f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f>
        <v>0</v>
      </c>
      <c r="K24" s="103">
        <f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f>
        <v>0</v>
      </c>
      <c r="L24" s="103">
        <f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f>
        <v>5000</v>
      </c>
      <c r="M24" s="103">
        <f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f>
        <v>0</v>
      </c>
      <c r="N24" s="103">
        <f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f>
        <v>0</v>
      </c>
      <c r="O24" s="104">
        <f>SUM(MarketingVariances[[#This Row],[Gen]:[Dic]])</f>
        <v>9700</v>
      </c>
    </row>
    <row r="25" spans="1:15" ht="24.95" customHeight="1" thickBot="1" x14ac:dyDescent="0.35">
      <c r="A25" s="35"/>
      <c r="B25" s="69" t="s">
        <v>27</v>
      </c>
      <c r="C25" s="103">
        <f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f>
        <v>100</v>
      </c>
      <c r="D25" s="103">
        <f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f>
        <v>-300</v>
      </c>
      <c r="E25" s="103">
        <f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f>
        <v>100</v>
      </c>
      <c r="F25" s="103">
        <f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f>
        <v>100</v>
      </c>
      <c r="G25" s="103">
        <f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f>
        <v>-400</v>
      </c>
      <c r="H25" s="103">
        <f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f>
        <v>20</v>
      </c>
      <c r="I25" s="103">
        <f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f>
        <v>200</v>
      </c>
      <c r="J25" s="103">
        <f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f>
        <v>200</v>
      </c>
      <c r="K25" s="103">
        <f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f>
        <v>200</v>
      </c>
      <c r="L25" s="103">
        <f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f>
        <v>200</v>
      </c>
      <c r="M25" s="103">
        <f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f>
        <v>200</v>
      </c>
      <c r="N25" s="103">
        <f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f>
        <v>200</v>
      </c>
      <c r="O25" s="104">
        <f>SUM(MarketingVariances[[#This Row],[Gen]:[Dic]])</f>
        <v>820</v>
      </c>
    </row>
    <row r="26" spans="1:15" ht="24.95" customHeight="1" thickBot="1" x14ac:dyDescent="0.35">
      <c r="A26" s="35"/>
      <c r="B26" s="69" t="s">
        <v>28</v>
      </c>
      <c r="C26" s="103">
        <f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f>
        <v>200</v>
      </c>
      <c r="D26" s="103">
        <f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f>
        <v>-200</v>
      </c>
      <c r="E26" s="103">
        <f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f>
        <v>-200</v>
      </c>
      <c r="F26" s="103">
        <f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f>
        <v>300</v>
      </c>
      <c r="G26" s="103">
        <f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f>
        <v>500</v>
      </c>
      <c r="H26" s="103">
        <f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f>
        <v>-300</v>
      </c>
      <c r="I26" s="103">
        <f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f>
        <v>2000</v>
      </c>
      <c r="J26" s="103">
        <f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f>
        <v>5000</v>
      </c>
      <c r="K26" s="103">
        <f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f>
        <v>2000</v>
      </c>
      <c r="L26" s="103">
        <f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f>
        <v>2000</v>
      </c>
      <c r="M26" s="103">
        <f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f>
        <v>2000</v>
      </c>
      <c r="N26" s="103">
        <f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f>
        <v>5000</v>
      </c>
      <c r="O26" s="104">
        <f>SUM(MarketingVariances[[#This Row],[Gen]:[Dic]])</f>
        <v>18300</v>
      </c>
    </row>
    <row r="27" spans="1:15" ht="24.95" customHeight="1" thickBot="1" x14ac:dyDescent="0.35">
      <c r="A27" s="35"/>
      <c r="B27" s="69" t="s">
        <v>29</v>
      </c>
      <c r="C27" s="103">
        <f>INDEX(PianMarketing[],MATCH(INDEX(MarketingVariances[],ROW()-ROW(MarketingVariances[[#Headers],[Gen]]),1),INDEX(PianMarketing[],,1),0),MATCH(MarketingVariances[[#Headers],[Gen]],PianMarketing[#Headers],0))-INDEX(MarketingEffettivi[],MATCH(INDEX(MarketingVariances[],ROW()-ROW(MarketingVariances[[#Headers],[Gen]]),1),INDEX(PianMarketing[],,1),0),MATCH(MarketingVariances[[#Headers],[Gen]],MarketingEffettivi[#Headers],0))</f>
        <v>55</v>
      </c>
      <c r="D27" s="103">
        <f>INDEX(PianMarketing[],MATCH(INDEX(MarketingVariances[],ROW()-ROW(MarketingVariances[[#Headers],[Feb]]),1),INDEX(PianMarketing[],,1),0),MATCH(MarketingVariances[[#Headers],[Feb]],PianMarketing[#Headers],0))-INDEX(MarketingEffettivi[],MATCH(INDEX(MarketingVariances[],ROW()-ROW(MarketingVariances[[#Headers],[Feb]]),1),INDEX(PianMarketing[],,1),0),MATCH(MarketingVariances[[#Headers],[Feb]],MarketingEffettivi[#Headers],0))</f>
        <v>44</v>
      </c>
      <c r="E27" s="103">
        <f>INDEX(PianMarketing[],MATCH(INDEX(MarketingVariances[],ROW()-ROW(MarketingVariances[[#Headers],[Mar]]),1),INDEX(PianMarketing[],,1),0),MATCH(MarketingVariances[[#Headers],[Mar]],PianMarketing[#Headers],0))-INDEX(MarketingEffettivi[],MATCH(INDEX(MarketingVariances[],ROW()-ROW(MarketingVariances[[#Headers],[Mar]]),1),INDEX(PianMarketing[],,1),0),MATCH(MarketingVariances[[#Headers],[Mar]],MarketingEffettivi[#Headers],0))</f>
        <v>77</v>
      </c>
      <c r="F27" s="103">
        <f>INDEX(PianMarketing[],MATCH(INDEX(MarketingVariances[],ROW()-ROW(MarketingVariances[[#Headers],[Apr]]),1),INDEX(PianMarketing[],,1),0),MATCH(MarketingVariances[[#Headers],[Apr]],PianMarketing[#Headers],0))-INDEX(MarketingEffettivi[],MATCH(INDEX(MarketingVariances[],ROW()-ROW(MarketingVariances[[#Headers],[Apr]]),1),INDEX(PianMarketing[],,1),0),MATCH(MarketingVariances[[#Headers],[Apr]],MarketingEffettivi[#Headers],0))</f>
        <v>-23</v>
      </c>
      <c r="G27" s="103">
        <f>INDEX(PianMarketing[],MATCH(INDEX(MarketingVariances[],ROW()-ROW(MarketingVariances[[#Headers],[Mag]]),1),INDEX(PianMarketing[],,1),0),MATCH(MarketingVariances[[#Headers],[Mag]],PianMarketing[#Headers],0))-INDEX(MarketingEffettivi[],MATCH(INDEX(MarketingVariances[],ROW()-ROW(MarketingVariances[[#Headers],[Mag]]),1),INDEX(PianMarketing[],,1),0),MATCH(MarketingVariances[[#Headers],[Mag]],MarketingEffettivi[#Headers],0))</f>
        <v>13</v>
      </c>
      <c r="H27" s="103">
        <f>INDEX(PianMarketing[],MATCH(INDEX(MarketingVariances[],ROW()-ROW(MarketingVariances[[#Headers],[Giu]]),1),INDEX(PianMarketing[],,1),0),MATCH(MarketingVariances[[#Headers],[Giu]],PianMarketing[#Headers],0))-INDEX(MarketingEffettivi[],MATCH(INDEX(MarketingVariances[],ROW()-ROW(MarketingVariances[[#Headers],[Giu]]),1),INDEX(PianMarketing[],,1),0),MATCH(MarketingVariances[[#Headers],[Giu]],MarketingEffettivi[#Headers],0))</f>
        <v>-45</v>
      </c>
      <c r="I27" s="103">
        <f>INDEX(PianMarketing[],MATCH(INDEX(MarketingVariances[],ROW()-ROW(MarketingVariances[[#Headers],[Lug]]),1),INDEX(PianMarketing[],,1),0),MATCH(MarketingVariances[[#Headers],[Lug]],PianMarketing[#Headers],0))-INDEX(MarketingEffettivi[],MATCH(INDEX(MarketingVariances[],ROW()-ROW(MarketingVariances[[#Headers],[Lug]]),1),INDEX(PianMarketing[],,1),0),MATCH(MarketingVariances[[#Headers],[Lug]],MarketingEffettivi[#Headers],0))</f>
        <v>200</v>
      </c>
      <c r="J27" s="103">
        <f>INDEX(PianMarketing[],MATCH(INDEX(MarketingVariances[],ROW()-ROW(MarketingVariances[[#Headers],[Ago]]),1),INDEX(PianMarketing[],,1),0),MATCH(MarketingVariances[[#Headers],[Ago]],PianMarketing[#Headers],0))-INDEX(MarketingEffettivi[],MATCH(INDEX(MarketingVariances[],ROW()-ROW(MarketingVariances[[#Headers],[Ago]]),1),INDEX(PianMarketing[],,1),0),MATCH(MarketingVariances[[#Headers],[Ago]],MarketingEffettivi[#Headers],0))</f>
        <v>200</v>
      </c>
      <c r="K27" s="103">
        <f>INDEX(PianMarketing[],MATCH(INDEX(MarketingVariances[],ROW()-ROW(MarketingVariances[[#Headers],[Set]]),1),INDEX(PianMarketing[],,1),0),MATCH(MarketingVariances[[#Headers],[Set]],PianMarketing[#Headers],0))-INDEX(MarketingEffettivi[],MATCH(INDEX(MarketingVariances[],ROW()-ROW(MarketingVariances[[#Headers],[Set]]),1),INDEX(PianMarketing[],,1),0),MATCH(MarketingVariances[[#Headers],[Set]],MarketingEffettivi[#Headers],0))</f>
        <v>200</v>
      </c>
      <c r="L27" s="103">
        <f>INDEX(PianMarketing[],MATCH(INDEX(MarketingVariances[],ROW()-ROW(MarketingVariances[[#Headers],[Ott]]),1),INDEX(PianMarketing[],,1),0),MATCH(MarketingVariances[[#Headers],[Ott]],PianMarketing[#Headers],0))-INDEX(MarketingEffettivi[],MATCH(INDEX(MarketingVariances[],ROW()-ROW(MarketingVariances[[#Headers],[Ott]]),1),INDEX(PianMarketing[],,1),0),MATCH(MarketingVariances[[#Headers],[Ott]],MarketingEffettivi[#Headers],0))</f>
        <v>200</v>
      </c>
      <c r="M27" s="103">
        <f>INDEX(PianMarketing[],MATCH(INDEX(MarketingVariances[],ROW()-ROW(MarketingVariances[[#Headers],[Nov]]),1),INDEX(PianMarketing[],,1),0),MATCH(MarketingVariances[[#Headers],[Nov]],PianMarketing[#Headers],0))-INDEX(MarketingEffettivi[],MATCH(INDEX(MarketingVariances[],ROW()-ROW(MarketingVariances[[#Headers],[Nov]]),1),INDEX(PianMarketing[],,1),0),MATCH(MarketingVariances[[#Headers],[Nov]],MarketingEffettivi[#Headers],0))</f>
        <v>200</v>
      </c>
      <c r="N27" s="103">
        <f>INDEX(PianMarketing[],MATCH(INDEX(MarketingVariances[],ROW()-ROW(MarketingVariances[[#Headers],[Dic]]),1),INDEX(PianMarketing[],,1),0),MATCH(MarketingVariances[[#Headers],[Dic]],PianMarketing[#Headers],0))-INDEX(MarketingEffettivi[],MATCH(INDEX(MarketingVariances[],ROW()-ROW(MarketingVariances[[#Headers],[Dic]]),1),INDEX(PianMarketing[],,1),0),MATCH(MarketingVariances[[#Headers],[Dic]],MarketingEffettivi[#Headers],0))</f>
        <v>200</v>
      </c>
      <c r="O27" s="104">
        <f>SUM(MarketingVariances[[#This Row],[Gen]:[Dic]])</f>
        <v>1321</v>
      </c>
    </row>
    <row r="28" spans="1:15" ht="24.95" customHeight="1" x14ac:dyDescent="0.3">
      <c r="A28" s="35"/>
      <c r="B28" s="81" t="s">
        <v>13</v>
      </c>
      <c r="C28" s="106">
        <f>SUBTOTAL(109,MarketingVariances[Gen])</f>
        <v>555</v>
      </c>
      <c r="D28" s="106">
        <f>SUBTOTAL(109,MarketingVariances[Feb])</f>
        <v>-456</v>
      </c>
      <c r="E28" s="106">
        <f>SUBTOTAL(109,MarketingVariances[Mar])</f>
        <v>-23</v>
      </c>
      <c r="F28" s="106">
        <f>SUBTOTAL(109,MarketingVariances[Apr])</f>
        <v>-123</v>
      </c>
      <c r="G28" s="106">
        <f>SUBTOTAL(109,MarketingVariances[Mag])</f>
        <v>113</v>
      </c>
      <c r="H28" s="106">
        <f>SUBTOTAL(109,MarketingVariances[Giu])</f>
        <v>-825</v>
      </c>
      <c r="I28" s="106">
        <f>SUBTOTAL(109,MarketingVariances[Lug])</f>
        <v>8100</v>
      </c>
      <c r="J28" s="106">
        <f>SUBTOTAL(109,MarketingVariances[Ago])</f>
        <v>6100</v>
      </c>
      <c r="K28" s="106">
        <f>SUBTOTAL(109,MarketingVariances[Set])</f>
        <v>3100</v>
      </c>
      <c r="L28" s="106">
        <f>SUBTOTAL(109,MarketingVariances[Ott])</f>
        <v>8100</v>
      </c>
      <c r="M28" s="106">
        <f>SUBTOTAL(109,MarketingVariances[Nov])</f>
        <v>3100</v>
      </c>
      <c r="N28" s="106">
        <f>SUBTOTAL(109,MarketingVariances[Dic])</f>
        <v>6900</v>
      </c>
      <c r="O28" s="107">
        <f>SUBTOTAL(109,MarketingVariances[ANNO])</f>
        <v>34641</v>
      </c>
    </row>
    <row r="29" spans="1:15" ht="21" customHeight="1" x14ac:dyDescent="0.3">
      <c r="A29" s="35"/>
      <c r="B29" s="89"/>
      <c r="C29" s="8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1:15" ht="24.95" customHeight="1" thickBot="1" x14ac:dyDescent="0.35">
      <c r="A30" s="35"/>
      <c r="B30" s="62" t="s">
        <v>30</v>
      </c>
      <c r="C30" s="52" t="s">
        <v>37</v>
      </c>
      <c r="D30" s="52" t="s">
        <v>39</v>
      </c>
      <c r="E30" s="53" t="s">
        <v>41</v>
      </c>
      <c r="F30" s="52" t="s">
        <v>43</v>
      </c>
      <c r="G30" s="52" t="s">
        <v>45</v>
      </c>
      <c r="H30" s="52" t="s">
        <v>47</v>
      </c>
      <c r="I30" s="52" t="s">
        <v>49</v>
      </c>
      <c r="J30" s="52" t="s">
        <v>51</v>
      </c>
      <c r="K30" s="52" t="s">
        <v>55</v>
      </c>
      <c r="L30" s="52" t="s">
        <v>57</v>
      </c>
      <c r="M30" s="52" t="s">
        <v>59</v>
      </c>
      <c r="N30" s="52" t="s">
        <v>61</v>
      </c>
      <c r="O30" s="54" t="s">
        <v>62</v>
      </c>
    </row>
    <row r="31" spans="1:15" ht="24.95" customHeight="1" thickBot="1" x14ac:dyDescent="0.35">
      <c r="A31" s="35"/>
      <c r="B31" s="69" t="s">
        <v>31</v>
      </c>
      <c r="C31" s="103">
        <f>INDEX(PianFormazioneEViaggi[],MATCH(INDEX(TrainingAndTravelVariances[],ROW()-ROW(TrainingAndTravelVariances[[#Headers],[Gen]]),1),INDEX(PianFormazioneEViaggi[],,1),0),MATCH(TrainingAndTravelVariances[[#Headers],[Gen]],PianFormazioneEViaggi[#Headers],0))-INDEX(EffettiviFormazioneEViaggi[],MATCH(INDEX(TrainingAndTravelVariances[],ROW()-ROW(TrainingAndTravelVariances[[#Headers],[Gen]]),1),INDEX(PianFormazioneEViaggi[],,1),0),MATCH(TrainingAndTravelVariances[[#Headers],[Gen]],EffettiviFormazioneEViaggi[#Headers],0))</f>
        <v>400</v>
      </c>
      <c r="D31" s="103">
        <f>INDEX(PianFormazioneEViaggi[],MATCH(INDEX(TrainingAndTravelVariances[],ROW()-ROW(TrainingAndTravelVariances[[#Headers],[Feb]]),1),INDEX(PianFormazioneEViaggi[],,1),0),MATCH(TrainingAndTravelVariances[[#Headers],[Feb]],PianFormazioneEViaggi[#Headers],0))-INDEX(EffettiviFormazioneEViaggi[],MATCH(INDEX(TrainingAndTravelVariances[],ROW()-ROW(TrainingAndTravelVariances[[#Headers],[Feb]]),1),INDEX(PianFormazioneEViaggi[],,1),0),MATCH(TrainingAndTravelVariances[[#Headers],[Feb]],EffettiviFormazioneEViaggi[#Headers],0))</f>
        <v>-400</v>
      </c>
      <c r="E31" s="103">
        <f>INDEX(PianFormazioneEViaggi[],MATCH(INDEX(TrainingAndTravelVariances[],ROW()-ROW(TrainingAndTravelVariances[[#Headers],[Mar]]),1),INDEX(PianFormazioneEViaggi[],,1),0),MATCH(TrainingAndTravelVariances[[#Headers],[Mar]],PianFormazioneEViaggi[#Headers],0))-INDEX(EffettiviFormazioneEViaggi[],MATCH(INDEX(TrainingAndTravelVariances[],ROW()-ROW(TrainingAndTravelVariances[[#Headers],[Mar]]),1),INDEX(PianFormazioneEViaggi[],,1),0),MATCH(TrainingAndTravelVariances[[#Headers],[Mar]],EffettiviFormazioneEViaggi[#Headers],0))</f>
        <v>600</v>
      </c>
      <c r="F31" s="103">
        <f>INDEX(PianFormazioneEViaggi[],MATCH(INDEX(TrainingAndTravelVariances[],ROW()-ROW(TrainingAndTravelVariances[[#Headers],[Apr]]),1),INDEX(PianFormazioneEViaggi[],,1),0),MATCH(TrainingAndTravelVariances[[#Headers],[Apr]],PianFormazioneEViaggi[#Headers],0))-INDEX(EffettiviFormazioneEViaggi[],MATCH(INDEX(TrainingAndTravelVariances[],ROW()-ROW(TrainingAndTravelVariances[[#Headers],[Apr]]),1),INDEX(PianFormazioneEViaggi[],,1),0),MATCH(TrainingAndTravelVariances[[#Headers],[Apr]],EffettiviFormazioneEViaggi[#Headers],0))</f>
        <v>400</v>
      </c>
      <c r="G31" s="103">
        <f>INDEX(PianFormazioneEViaggi[],MATCH(INDEX(TrainingAndTravelVariances[],ROW()-ROW(TrainingAndTravelVariances[[#Headers],[Mag]]),1),INDEX(PianFormazioneEViaggi[],,1),0),MATCH(TrainingAndTravelVariances[[#Headers],[Mag]],PianFormazioneEViaggi[#Headers],0))-INDEX(EffettiviFormazioneEViaggi[],MATCH(INDEX(TrainingAndTravelVariances[],ROW()-ROW(TrainingAndTravelVariances[[#Headers],[Mag]]),1),INDEX(PianFormazioneEViaggi[],,1),0),MATCH(TrainingAndTravelVariances[[#Headers],[Mag]],EffettiviFormazioneEViaggi[#Headers],0))</f>
        <v>800</v>
      </c>
      <c r="H31" s="103">
        <f>INDEX(PianFormazioneEViaggi[],MATCH(INDEX(TrainingAndTravelVariances[],ROW()-ROW(TrainingAndTravelVariances[[#Headers],[Giu]]),1),INDEX(PianFormazioneEViaggi[],,1),0),MATCH(TrainingAndTravelVariances[[#Headers],[Giu]],PianFormazioneEViaggi[#Headers],0))-INDEX(EffettiviFormazioneEViaggi[],MATCH(INDEX(TrainingAndTravelVariances[],ROW()-ROW(TrainingAndTravelVariances[[#Headers],[Giu]]),1),INDEX(PianFormazioneEViaggi[],,1),0),MATCH(TrainingAndTravelVariances[[#Headers],[Giu]],EffettiviFormazioneEViaggi[#Headers],0))</f>
        <v>-800</v>
      </c>
      <c r="I31" s="103">
        <f>INDEX(PianFormazioneEViaggi[],MATCH(INDEX(TrainingAndTravelVariances[],ROW()-ROW(TrainingAndTravelVariances[[#Headers],[Lug]]),1),INDEX(PianFormazioneEViaggi[],,1),0),MATCH(TrainingAndTravelVariances[[#Headers],[Lug]],PianFormazioneEViaggi[#Headers],0))-INDEX(EffettiviFormazioneEViaggi[],MATCH(INDEX(TrainingAndTravelVariances[],ROW()-ROW(TrainingAndTravelVariances[[#Headers],[Lug]]),1),INDEX(PianFormazioneEViaggi[],,1),0),MATCH(TrainingAndTravelVariances[[#Headers],[Lug]],EffettiviFormazioneEViaggi[#Headers],0))</f>
        <v>2000</v>
      </c>
      <c r="J31" s="103">
        <f>INDEX(PianFormazioneEViaggi[],MATCH(INDEX(TrainingAndTravelVariances[],ROW()-ROW(TrainingAndTravelVariances[[#Headers],[Ago]]),1),INDEX(PianFormazioneEViaggi[],,1),0),MATCH(TrainingAndTravelVariances[[#Headers],[Ago]],PianFormazioneEViaggi[#Headers],0))-INDEX(EffettiviFormazioneEViaggi[],MATCH(INDEX(TrainingAndTravelVariances[],ROW()-ROW(TrainingAndTravelVariances[[#Headers],[Ago]]),1),INDEX(PianFormazioneEViaggi[],,1),0),MATCH(TrainingAndTravelVariances[[#Headers],[Ago]],EffettiviFormazioneEViaggi[#Headers],0))</f>
        <v>2000</v>
      </c>
      <c r="K31" s="103">
        <f>INDEX(PianFormazioneEViaggi[],MATCH(INDEX(TrainingAndTravelVariances[],ROW()-ROW(TrainingAndTravelVariances[[#Headers],[Set]]),1),INDEX(PianFormazioneEViaggi[],,1),0),MATCH(TrainingAndTravelVariances[[#Headers],[Set]],PianFormazioneEViaggi[#Headers],0))-INDEX(EffettiviFormazioneEViaggi[],MATCH(INDEX(TrainingAndTravelVariances[],ROW()-ROW(TrainingAndTravelVariances[[#Headers],[Set]]),1),INDEX(PianFormazioneEViaggi[],,1),0),MATCH(TrainingAndTravelVariances[[#Headers],[Set]],EffettiviFormazioneEViaggi[#Headers],0))</f>
        <v>2000</v>
      </c>
      <c r="L31" s="103">
        <f>INDEX(PianFormazioneEViaggi[],MATCH(INDEX(TrainingAndTravelVariances[],ROW()-ROW(TrainingAndTravelVariances[[#Headers],[Ott]]),1),INDEX(PianFormazioneEViaggi[],,1),0),MATCH(TrainingAndTravelVariances[[#Headers],[Ott]],PianFormazioneEViaggi[#Headers],0))-INDEX(EffettiviFormazioneEViaggi[],MATCH(INDEX(TrainingAndTravelVariances[],ROW()-ROW(TrainingAndTravelVariances[[#Headers],[Ott]]),1),INDEX(PianFormazioneEViaggi[],,1),0),MATCH(TrainingAndTravelVariances[[#Headers],[Ott]],EffettiviFormazioneEViaggi[#Headers],0))</f>
        <v>2000</v>
      </c>
      <c r="M31" s="103">
        <f>INDEX(PianFormazioneEViaggi[],MATCH(INDEX(TrainingAndTravelVariances[],ROW()-ROW(TrainingAndTravelVariances[[#Headers],[Nov]]),1),INDEX(PianFormazioneEViaggi[],,1),0),MATCH(TrainingAndTravelVariances[[#Headers],[Nov]],PianFormazioneEViaggi[#Headers],0))-INDEX(EffettiviFormazioneEViaggi[],MATCH(INDEX(TrainingAndTravelVariances[],ROW()-ROW(TrainingAndTravelVariances[[#Headers],[Nov]]),1),INDEX(PianFormazioneEViaggi[],,1),0),MATCH(TrainingAndTravelVariances[[#Headers],[Nov]],EffettiviFormazioneEViaggi[#Headers],0))</f>
        <v>2000</v>
      </c>
      <c r="N31" s="103">
        <f>INDEX(PianFormazioneEViaggi[],MATCH(INDEX(TrainingAndTravelVariances[],ROW()-ROW(TrainingAndTravelVariances[[#Headers],[Dic]]),1),INDEX(PianFormazioneEViaggi[],,1),0),MATCH(TrainingAndTravelVariances[[#Headers],[Dic]],PianFormazioneEViaggi[#Headers],0))-INDEX(EffettiviFormazioneEViaggi[],MATCH(INDEX(TrainingAndTravelVariances[],ROW()-ROW(TrainingAndTravelVariances[[#Headers],[Dic]]),1),INDEX(PianFormazioneEViaggi[],,1),0),MATCH(TrainingAndTravelVariances[[#Headers],[Dic]],EffettiviFormazioneEViaggi[#Headers],0))</f>
        <v>2000</v>
      </c>
      <c r="O31" s="104">
        <f>SUM(TrainingAndTravelVariances[[#This Row],[Gen]:[Dic]])</f>
        <v>13000</v>
      </c>
    </row>
    <row r="32" spans="1:15" ht="24.95" customHeight="1" thickBot="1" x14ac:dyDescent="0.35">
      <c r="A32" s="35"/>
      <c r="B32" s="69" t="s">
        <v>32</v>
      </c>
      <c r="C32" s="103">
        <f>INDEX(PianFormazioneEViaggi[],MATCH(INDEX(TrainingAndTravelVariances[],ROW()-ROW(TrainingAndTravelVariances[[#Headers],[Gen]]),1),INDEX(PianFormazioneEViaggi[],,1),0),MATCH(TrainingAndTravelVariances[[#Headers],[Gen]],PianFormazioneEViaggi[#Headers],0))-INDEX(EffettiviFormazioneEViaggi[],MATCH(INDEX(TrainingAndTravelVariances[],ROW()-ROW(TrainingAndTravelVariances[[#Headers],[Gen]]),1),INDEX(PianFormazioneEViaggi[],,1),0),MATCH(TrainingAndTravelVariances[[#Headers],[Gen]],EffettiviFormazioneEViaggi[#Headers],0))</f>
        <v>800</v>
      </c>
      <c r="D32" s="103">
        <f>INDEX(PianFormazioneEViaggi[],MATCH(INDEX(TrainingAndTravelVariances[],ROW()-ROW(TrainingAndTravelVariances[[#Headers],[Feb]]),1),INDEX(PianFormazioneEViaggi[],,1),0),MATCH(TrainingAndTravelVariances[[#Headers],[Feb]],PianFormazioneEViaggi[#Headers],0))-INDEX(EffettiviFormazioneEViaggi[],MATCH(INDEX(TrainingAndTravelVariances[],ROW()-ROW(TrainingAndTravelVariances[[#Headers],[Feb]]),1),INDEX(PianFormazioneEViaggi[],,1),0),MATCH(TrainingAndTravelVariances[[#Headers],[Feb]],EffettiviFormazioneEViaggi[#Headers],0))</f>
        <v>-200</v>
      </c>
      <c r="E32" s="103">
        <f>INDEX(PianFormazioneEViaggi[],MATCH(INDEX(TrainingAndTravelVariances[],ROW()-ROW(TrainingAndTravelVariances[[#Headers],[Mar]]),1),INDEX(PianFormazioneEViaggi[],,1),0),MATCH(TrainingAndTravelVariances[[#Headers],[Mar]],PianFormazioneEViaggi[#Headers],0))-INDEX(EffettiviFormazioneEViaggi[],MATCH(INDEX(TrainingAndTravelVariances[],ROW()-ROW(TrainingAndTravelVariances[[#Headers],[Mar]]),1),INDEX(PianFormazioneEViaggi[],,1),0),MATCH(TrainingAndTravelVariances[[#Headers],[Mar]],EffettiviFormazioneEViaggi[#Headers],0))</f>
        <v>600</v>
      </c>
      <c r="F32" s="103">
        <f>INDEX(PianFormazioneEViaggi[],MATCH(INDEX(TrainingAndTravelVariances[],ROW()-ROW(TrainingAndTravelVariances[[#Headers],[Apr]]),1),INDEX(PianFormazioneEViaggi[],,1),0),MATCH(TrainingAndTravelVariances[[#Headers],[Apr]],PianFormazioneEViaggi[#Headers],0))-INDEX(EffettiviFormazioneEViaggi[],MATCH(INDEX(TrainingAndTravelVariances[],ROW()-ROW(TrainingAndTravelVariances[[#Headers],[Apr]]),1),INDEX(PianFormazioneEViaggi[],,1),0),MATCH(TrainingAndTravelVariances[[#Headers],[Apr]],EffettiviFormazioneEViaggi[#Headers],0))</f>
        <v>800</v>
      </c>
      <c r="G32" s="103">
        <f>INDEX(PianFormazioneEViaggi[],MATCH(INDEX(TrainingAndTravelVariances[],ROW()-ROW(TrainingAndTravelVariances[[#Headers],[Mag]]),1),INDEX(PianFormazioneEViaggi[],,1),0),MATCH(TrainingAndTravelVariances[[#Headers],[Mag]],PianFormazioneEViaggi[#Headers],0))-INDEX(EffettiviFormazioneEViaggi[],MATCH(INDEX(TrainingAndTravelVariances[],ROW()-ROW(TrainingAndTravelVariances[[#Headers],[Mag]]),1),INDEX(PianFormazioneEViaggi[],,1),0),MATCH(TrainingAndTravelVariances[[#Headers],[Mag]],EffettiviFormazioneEViaggi[#Headers],0))</f>
        <v>1200</v>
      </c>
      <c r="H32" s="103">
        <f>INDEX(PianFormazioneEViaggi[],MATCH(INDEX(TrainingAndTravelVariances[],ROW()-ROW(TrainingAndTravelVariances[[#Headers],[Giu]]),1),INDEX(PianFormazioneEViaggi[],,1),0),MATCH(TrainingAndTravelVariances[[#Headers],[Giu]],PianFormazioneEViaggi[#Headers],0))-INDEX(EffettiviFormazioneEViaggi[],MATCH(INDEX(TrainingAndTravelVariances[],ROW()-ROW(TrainingAndTravelVariances[[#Headers],[Giu]]),1),INDEX(PianFormazioneEViaggi[],,1),0),MATCH(TrainingAndTravelVariances[[#Headers],[Giu]],EffettiviFormazioneEViaggi[#Headers],0))</f>
        <v>-1500</v>
      </c>
      <c r="I32" s="103">
        <f>INDEX(PianFormazioneEViaggi[],MATCH(INDEX(TrainingAndTravelVariances[],ROW()-ROW(TrainingAndTravelVariances[[#Headers],[Lug]]),1),INDEX(PianFormazioneEViaggi[],,1),0),MATCH(TrainingAndTravelVariances[[#Headers],[Lug]],PianFormazioneEViaggi[#Headers],0))-INDEX(EffettiviFormazioneEViaggi[],MATCH(INDEX(TrainingAndTravelVariances[],ROW()-ROW(TrainingAndTravelVariances[[#Headers],[Lug]]),1),INDEX(PianFormazioneEViaggi[],,1),0),MATCH(TrainingAndTravelVariances[[#Headers],[Lug]],EffettiviFormazioneEViaggi[#Headers],0))</f>
        <v>2000</v>
      </c>
      <c r="J32" s="103">
        <f>INDEX(PianFormazioneEViaggi[],MATCH(INDEX(TrainingAndTravelVariances[],ROW()-ROW(TrainingAndTravelVariances[[#Headers],[Ago]]),1),INDEX(PianFormazioneEViaggi[],,1),0),MATCH(TrainingAndTravelVariances[[#Headers],[Ago]],PianFormazioneEViaggi[#Headers],0))-INDEX(EffettiviFormazioneEViaggi[],MATCH(INDEX(TrainingAndTravelVariances[],ROW()-ROW(TrainingAndTravelVariances[[#Headers],[Ago]]),1),INDEX(PianFormazioneEViaggi[],,1),0),MATCH(TrainingAndTravelVariances[[#Headers],[Ago]],EffettiviFormazioneEViaggi[#Headers],0))</f>
        <v>2000</v>
      </c>
      <c r="K32" s="103">
        <f>INDEX(PianFormazioneEViaggi[],MATCH(INDEX(TrainingAndTravelVariances[],ROW()-ROW(TrainingAndTravelVariances[[#Headers],[Set]]),1),INDEX(PianFormazioneEViaggi[],,1),0),MATCH(TrainingAndTravelVariances[[#Headers],[Set]],PianFormazioneEViaggi[#Headers],0))-INDEX(EffettiviFormazioneEViaggi[],MATCH(INDEX(TrainingAndTravelVariances[],ROW()-ROW(TrainingAndTravelVariances[[#Headers],[Set]]),1),INDEX(PianFormazioneEViaggi[],,1),0),MATCH(TrainingAndTravelVariances[[#Headers],[Set]],EffettiviFormazioneEViaggi[#Headers],0))</f>
        <v>2000</v>
      </c>
      <c r="L32" s="103">
        <f>INDEX(PianFormazioneEViaggi[],MATCH(INDEX(TrainingAndTravelVariances[],ROW()-ROW(TrainingAndTravelVariances[[#Headers],[Ott]]),1),INDEX(PianFormazioneEViaggi[],,1),0),MATCH(TrainingAndTravelVariances[[#Headers],[Ott]],PianFormazioneEViaggi[#Headers],0))-INDEX(EffettiviFormazioneEViaggi[],MATCH(INDEX(TrainingAndTravelVariances[],ROW()-ROW(TrainingAndTravelVariances[[#Headers],[Ott]]),1),INDEX(PianFormazioneEViaggi[],,1),0),MATCH(TrainingAndTravelVariances[[#Headers],[Ott]],EffettiviFormazioneEViaggi[#Headers],0))</f>
        <v>2000</v>
      </c>
      <c r="M32" s="103">
        <f>INDEX(PianFormazioneEViaggi[],MATCH(INDEX(TrainingAndTravelVariances[],ROW()-ROW(TrainingAndTravelVariances[[#Headers],[Nov]]),1),INDEX(PianFormazioneEViaggi[],,1),0),MATCH(TrainingAndTravelVariances[[#Headers],[Nov]],PianFormazioneEViaggi[#Headers],0))-INDEX(EffettiviFormazioneEViaggi[],MATCH(INDEX(TrainingAndTravelVariances[],ROW()-ROW(TrainingAndTravelVariances[[#Headers],[Nov]]),1),INDEX(PianFormazioneEViaggi[],,1),0),MATCH(TrainingAndTravelVariances[[#Headers],[Nov]],EffettiviFormazioneEViaggi[#Headers],0))</f>
        <v>2000</v>
      </c>
      <c r="N32" s="103">
        <f>INDEX(PianFormazioneEViaggi[],MATCH(INDEX(TrainingAndTravelVariances[],ROW()-ROW(TrainingAndTravelVariances[[#Headers],[Dic]]),1),INDEX(PianFormazioneEViaggi[],,1),0),MATCH(TrainingAndTravelVariances[[#Headers],[Dic]],PianFormazioneEViaggi[#Headers],0))-INDEX(EffettiviFormazioneEViaggi[],MATCH(INDEX(TrainingAndTravelVariances[],ROW()-ROW(TrainingAndTravelVariances[[#Headers],[Dic]]),1),INDEX(PianFormazioneEViaggi[],,1),0),MATCH(TrainingAndTravelVariances[[#Headers],[Dic]],EffettiviFormazioneEViaggi[#Headers],0))</f>
        <v>2000</v>
      </c>
      <c r="O32" s="104">
        <f>SUM(TrainingAndTravelVariances[[#This Row],[Gen]:[Dic]])</f>
        <v>13700</v>
      </c>
    </row>
    <row r="33" spans="1:15" ht="24.95" customHeight="1" x14ac:dyDescent="0.3">
      <c r="A33" s="35"/>
      <c r="B33" s="83" t="s">
        <v>13</v>
      </c>
      <c r="C33" s="106">
        <f>SUBTOTAL(109,TrainingAndTravelVariances[Gen])</f>
        <v>1200</v>
      </c>
      <c r="D33" s="106">
        <f>SUBTOTAL(109,TrainingAndTravelVariances[Feb])</f>
        <v>-600</v>
      </c>
      <c r="E33" s="106">
        <f>SUBTOTAL(109,TrainingAndTravelVariances[Mar])</f>
        <v>1200</v>
      </c>
      <c r="F33" s="106">
        <f>SUBTOTAL(109,TrainingAndTravelVariances[Apr])</f>
        <v>1200</v>
      </c>
      <c r="G33" s="106">
        <f>SUBTOTAL(109,TrainingAndTravelVariances[Mag])</f>
        <v>2000</v>
      </c>
      <c r="H33" s="106">
        <f>SUBTOTAL(109,TrainingAndTravelVariances[Giu])</f>
        <v>-2300</v>
      </c>
      <c r="I33" s="106">
        <f>SUBTOTAL(109,TrainingAndTravelVariances[Lug])</f>
        <v>4000</v>
      </c>
      <c r="J33" s="106">
        <f>SUBTOTAL(109,TrainingAndTravelVariances[Ago])</f>
        <v>4000</v>
      </c>
      <c r="K33" s="106">
        <f>SUBTOTAL(109,TrainingAndTravelVariances[Set])</f>
        <v>4000</v>
      </c>
      <c r="L33" s="106">
        <f>SUBTOTAL(109,TrainingAndTravelVariances[Ott])</f>
        <v>4000</v>
      </c>
      <c r="M33" s="106">
        <f>SUBTOTAL(109,TrainingAndTravelVariances[Nov])</f>
        <v>4000</v>
      </c>
      <c r="N33" s="106">
        <f>SUBTOTAL(109,TrainingAndTravelVariances[Dic])</f>
        <v>4000</v>
      </c>
      <c r="O33" s="107">
        <f>SUBTOTAL(109,TrainingAndTravelVariances[ANNO])</f>
        <v>26700</v>
      </c>
    </row>
    <row r="34" spans="1:15" ht="21" customHeight="1" x14ac:dyDescent="0.3">
      <c r="A34" s="35"/>
      <c r="B34" s="89"/>
      <c r="C34" s="8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.95" customHeight="1" thickBot="1" x14ac:dyDescent="0.35">
      <c r="A35" s="43"/>
      <c r="B35" s="14" t="s">
        <v>33</v>
      </c>
      <c r="C35" s="31" t="s">
        <v>37</v>
      </c>
      <c r="D35" s="31" t="s">
        <v>39</v>
      </c>
      <c r="E35" s="31" t="s">
        <v>41</v>
      </c>
      <c r="F35" s="31" t="s">
        <v>43</v>
      </c>
      <c r="G35" s="31" t="s">
        <v>45</v>
      </c>
      <c r="H35" s="31" t="s">
        <v>47</v>
      </c>
      <c r="I35" s="31" t="s">
        <v>49</v>
      </c>
      <c r="J35" s="31" t="s">
        <v>51</v>
      </c>
      <c r="K35" s="31" t="s">
        <v>55</v>
      </c>
      <c r="L35" s="31" t="s">
        <v>57</v>
      </c>
      <c r="M35" s="31" t="s">
        <v>59</v>
      </c>
      <c r="N35" s="31" t="s">
        <v>61</v>
      </c>
      <c r="O35" s="31" t="s">
        <v>63</v>
      </c>
    </row>
    <row r="36" spans="1:15" ht="24.95" customHeight="1" thickBot="1" x14ac:dyDescent="0.35">
      <c r="A36" s="35"/>
      <c r="B36" s="15" t="s">
        <v>66</v>
      </c>
      <c r="C36" s="115">
        <f>TrainingAndTravelVariances[[#Totals],[Gen]]+MarketingVariances[[#Totals],[Gen]]+OfficeVariances[[#Totals],[Gen]]+EmployeeVariances[[#Totals],[Gen]]</f>
        <v>1738</v>
      </c>
      <c r="D36" s="115">
        <f>TrainingAndTravelVariances[[#Totals],[Feb]]+MarketingVariances[[#Totals],[Feb]]+OfficeVariances[[#Totals],[Feb]]+EmployeeVariances[[#Totals],[Feb]]</f>
        <v>-984</v>
      </c>
      <c r="E36" s="115">
        <f>TrainingAndTravelVariances[[#Totals],[Mar]]+MarketingVariances[[#Totals],[Mar]]+OfficeVariances[[#Totals],[Mar]]+EmployeeVariances[[#Totals],[Mar]]</f>
        <v>1255</v>
      </c>
      <c r="F36" s="115">
        <f>TrainingAndTravelVariances[[#Totals],[Apr]]+MarketingVariances[[#Totals],[Apr]]+OfficeVariances[[#Totals],[Apr]]+EmployeeVariances[[#Totals],[Apr]]</f>
        <v>301</v>
      </c>
      <c r="G36" s="115">
        <f>TrainingAndTravelVariances[[#Totals],[Mag]]+MarketingVariances[[#Totals],[Mag]]+OfficeVariances[[#Totals],[Mag]]+EmployeeVariances[[#Totals],[Mag]]</f>
        <v>1440</v>
      </c>
      <c r="H36" s="115">
        <f>TrainingAndTravelVariances[[#Totals],[Giu]]+MarketingVariances[[#Totals],[Giu]]+OfficeVariances[[#Totals],[Giu]]+EmployeeVariances[[#Totals],[Giu]]</f>
        <v>-3744</v>
      </c>
      <c r="I36" s="115">
        <f>TrainingAndTravelVariances[[#Totals],[Lug]]+MarketingVariances[[#Totals],[Lug]]+OfficeVariances[[#Totals],[Lug]]+EmployeeVariances[[#Totals],[Lug]]</f>
        <v>134695</v>
      </c>
      <c r="J36" s="115">
        <f>TrainingAndTravelVariances[[#Totals],[Ago]]+MarketingVariances[[#Totals],[Ago]]+OfficeVariances[[#Totals],[Ago]]+EmployeeVariances[[#Totals],[Ago]]</f>
        <v>138918</v>
      </c>
      <c r="K36" s="115">
        <f>TrainingAndTravelVariances[[#Totals],[Set]]+MarketingVariances[[#Totals],[Set]]+OfficeVariances[[#Totals],[Set]]+EmployeeVariances[[#Totals],[Set]]</f>
        <v>135918</v>
      </c>
      <c r="L36" s="115">
        <f>TrainingAndTravelVariances[[#Totals],[Ott]]+MarketingVariances[[#Totals],[Ott]]+OfficeVariances[[#Totals],[Ott]]+EmployeeVariances[[#Totals],[Ott]]</f>
        <v>140918</v>
      </c>
      <c r="M36" s="115">
        <f>TrainingAndTravelVariances[[#Totals],[Nov]]+MarketingVariances[[#Totals],[Nov]]+OfficeVariances[[#Totals],[Nov]]+EmployeeVariances[[#Totals],[Nov]]</f>
        <v>136218</v>
      </c>
      <c r="N36" s="115">
        <f>TrainingAndTravelVariances[[#Totals],[Dic]]+MarketingVariances[[#Totals],[Dic]]+OfficeVariances[[#Totals],[Dic]]+EmployeeVariances[[#Totals],[Dic]]</f>
        <v>140018</v>
      </c>
      <c r="O36" s="115">
        <f>TrainingAndTravelVariances[[#Totals],[ANNO]]+MarketingVariances[[#Totals],[ANNO]]+OfficeVariances[[#Totals],[ANNO]]+EmployeeVariances[[#Totals],[ANNO]]</f>
        <v>826691</v>
      </c>
    </row>
    <row r="37" spans="1:15" ht="24.95" customHeight="1" thickBot="1" x14ac:dyDescent="0.35">
      <c r="A37" s="35"/>
      <c r="B37" s="15" t="s">
        <v>67</v>
      </c>
      <c r="C37" s="116">
        <f>SUM($C$36:C36)</f>
        <v>1738</v>
      </c>
      <c r="D37" s="116">
        <f>SUM($C$36:D36)</f>
        <v>754</v>
      </c>
      <c r="E37" s="116">
        <f>SUM($C$36:E36)</f>
        <v>2009</v>
      </c>
      <c r="F37" s="116">
        <f>SUM($C$36:F36)</f>
        <v>2310</v>
      </c>
      <c r="G37" s="116">
        <f>SUM($C$36:G36)</f>
        <v>3750</v>
      </c>
      <c r="H37" s="116">
        <f>SUM($C$36:H36)</f>
        <v>6</v>
      </c>
      <c r="I37" s="116">
        <f>SUM($C$36:I36)</f>
        <v>134701</v>
      </c>
      <c r="J37" s="116">
        <f>SUM($C$36:J36)</f>
        <v>273619</v>
      </c>
      <c r="K37" s="116">
        <f>SUM($C$36:K36)</f>
        <v>409537</v>
      </c>
      <c r="L37" s="116">
        <f>SUM($C$36:L36)</f>
        <v>550455</v>
      </c>
      <c r="M37" s="116">
        <f>SUM($C$36:M36)</f>
        <v>686673</v>
      </c>
      <c r="N37" s="116">
        <f>SUM($C$36:N36)</f>
        <v>826691</v>
      </c>
      <c r="O37" s="116"/>
    </row>
    <row r="38" spans="1:15" ht="21" customHeight="1" x14ac:dyDescent="0.3">
      <c r="A38" s="35"/>
      <c r="D38" s="16"/>
    </row>
  </sheetData>
  <mergeCells count="2">
    <mergeCell ref="K2:M2"/>
    <mergeCell ref="K3:M3"/>
  </mergeCells>
  <conditionalFormatting sqref="C6:O8">
    <cfRule type="cellIs" dxfId="152" priority="5" operator="lessThan">
      <formula>0</formula>
    </cfRule>
  </conditionalFormatting>
  <conditionalFormatting sqref="C11:O19">
    <cfRule type="cellIs" dxfId="151" priority="4" operator="lessThan">
      <formula>0</formula>
    </cfRule>
  </conditionalFormatting>
  <conditionalFormatting sqref="C22:O28">
    <cfRule type="cellIs" dxfId="150" priority="3" operator="lessThan">
      <formula>0</formula>
    </cfRule>
  </conditionalFormatting>
  <conditionalFormatting sqref="C31:O33">
    <cfRule type="cellIs" dxfId="149" priority="2" operator="lessThan">
      <formula>0</formula>
    </cfRule>
  </conditionalFormatting>
  <conditionalFormatting sqref="C36:O37">
    <cfRule type="cellIs" dxfId="148" priority="1" operator="lessThan">
      <formula>0</formula>
    </cfRule>
  </conditionalFormatting>
  <dataValidations count="10">
    <dataValidation allowBlank="1" showInputMessage="1" showErrorMessage="1" prompt="Il segnaposto del logo si trova in questa cella." sqref="N2" xr:uid="{37781601-5DCB-461E-AE37-039617AC3765}"/>
    <dataValidation allowBlank="1" showInputMessage="1" showErrorMessage="1" prompt="L’etichetta Scostamenti di spese si trova nella cella a destra, i mesi nelle celle da C4 a N4 e l’etichetta Anno in O4." sqref="A4" xr:uid="{30EF6476-989C-4E19-8BDE-66AFC1B5F398}"/>
    <dataValidation allowBlank="1" showInputMessage="1" showErrorMessage="1" prompt="Lo scostamento in Costi dei dipendenti viene calcolato automaticamente nella tabella Scostamenti dei dipendenti partendo dalla cella a destra. L'istruzione successiva si trova nella cella A10." sqref="A5" xr:uid="{839F8F2D-41ED-4FCE-836B-A98A823A57CC}"/>
    <dataValidation allowBlank="1" showInputMessage="1" showErrorMessage="1" prompt="Lo scostamento in Costi di Office viene calcolato automaticamente nella tabella Scostamenti di Office partendo dalla cella a destra. L'istruzione successiva è nella cella A21." sqref="A10" xr:uid="{27073073-4E55-44AA-82CF-0E84E7DE56D1}"/>
    <dataValidation allowBlank="1" showInputMessage="1" showErrorMessage="1" prompt="Lo scostamento in Costi di marketing viene calcolato automaticamente nella tabella Scostamenti di marketing partendo dalla cella a destra. L'istruzione successiva è nella cella A30." sqref="A21" xr:uid="{DE322E29-78F0-4CAC-A794-538FBE82A952}"/>
    <dataValidation allowBlank="1" showInputMessage="1" showErrorMessage="1" prompt="Lo scostamento in Costi di formazione e di viaggio viene calcolato automaticamente nella tabella Scostamenti di formazione e di viaggio partendo dalla cella a destra. L'istruzione successiva si trova nella cella A35." sqref="A30" xr:uid="{E7DC2698-49F1-46FA-BC02-81CE67BF794B}"/>
    <dataValidation allowBlank="1" showInputMessage="1" showErrorMessage="1" prompt="Gli scostamenti di spese vengono calcolati automaticamente nella tabella Scostamenti totali partendo dalla cella a destra." sqref="A35" xr:uid="{96167FAC-0878-4372-B9C2-FE529C7ABF6D}"/>
    <dataValidation allowBlank="1" showInputMessage="1" showErrorMessage="1" sqref="A1" xr:uid="{C935014E-97FD-4DC5-8990-FFCC7A693081}"/>
    <dataValidation allowBlank="1" showInputMessage="1" showErrorMessage="1" prompt="Il nome della società viene aggiornato automaticamente nella cella a destra. Il titolo di questo foglio di lavoro si trova nella cella K2. Immettere il logo nella cella N2." sqref="A2" xr:uid="{ACC2090E-7A1F-4581-8E9B-5F88818E0C50}"/>
    <dataValidation allowBlank="1" showInputMessage="1" showErrorMessage="1" prompt="Il suggerimento si trova nella cella K3." sqref="A3" xr:uid="{6033F748-E9D5-4DE6-B824-555D5C6CA4CF}"/>
  </dataValidations>
  <pageMargins left="0.7" right="0.7" top="0.75" bottom="0.75" header="0.3" footer="0.3"/>
  <pageSetup paperSize="9" fitToHeight="0" orientation="portrait" r:id="rId1"/>
  <ignoredErrors>
    <ignoredError sqref="B2" emptyCellReference="1"/>
    <ignoredError sqref="C36:O37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autoPageBreaks="0"/>
  </sheetPr>
  <dimension ref="A1:P39"/>
  <sheetViews>
    <sheetView showGridLines="0" zoomScaleNormal="100" workbookViewId="0"/>
  </sheetViews>
  <sheetFormatPr defaultColWidth="9.140625" defaultRowHeight="18.75" x14ac:dyDescent="0.3"/>
  <cols>
    <col min="1" max="1" width="4.7109375" style="40" customWidth="1"/>
    <col min="2" max="2" width="26.28515625" style="2" customWidth="1"/>
    <col min="3" max="3" width="23.28515625" style="2" customWidth="1"/>
    <col min="4" max="4" width="21" style="2" customWidth="1"/>
    <col min="5" max="5" width="23" style="2" customWidth="1"/>
    <col min="6" max="6" width="32.28515625" style="2" customWidth="1"/>
    <col min="7" max="7" width="4.7109375" style="1" customWidth="1"/>
    <col min="8" max="8" width="9" customWidth="1"/>
    <col min="9" max="16384" width="9.140625" style="2"/>
  </cols>
  <sheetData>
    <row r="1" spans="1:16" s="1" customFormat="1" ht="24" customHeight="1" x14ac:dyDescent="0.3">
      <c r="A1" s="37"/>
      <c r="B1" s="10"/>
      <c r="C1" s="10"/>
      <c r="D1" s="10"/>
      <c r="E1" s="7"/>
      <c r="F1" s="7"/>
      <c r="G1" s="68" t="s">
        <v>64</v>
      </c>
      <c r="I1"/>
      <c r="J1"/>
      <c r="K1"/>
      <c r="L1"/>
      <c r="M1"/>
      <c r="N1"/>
      <c r="O1"/>
      <c r="P1" t="s">
        <v>64</v>
      </c>
    </row>
    <row r="2" spans="1:16" s="1" customFormat="1" ht="45" customHeight="1" x14ac:dyDescent="0.35">
      <c r="A2" s="37"/>
      <c r="B2" s="91" t="str">
        <f>'SPESE PIANIFICATE'!B2:D3</f>
        <v>Nome società</v>
      </c>
      <c r="C2" s="91"/>
      <c r="D2" s="91"/>
      <c r="E2" s="17"/>
      <c r="F2" s="93"/>
      <c r="G2" s="93"/>
      <c r="I2"/>
      <c r="J2"/>
      <c r="K2"/>
      <c r="L2"/>
      <c r="M2"/>
      <c r="N2"/>
      <c r="O2"/>
      <c r="P2"/>
    </row>
    <row r="3" spans="1:16" s="1" customFormat="1" ht="30" customHeight="1" x14ac:dyDescent="0.3">
      <c r="A3" s="37"/>
      <c r="B3" s="91"/>
      <c r="C3" s="91"/>
      <c r="D3" s="91"/>
      <c r="E3" s="135" t="str">
        <f>worksheet_title</f>
        <v>Previsioni di spesa dettagliate</v>
      </c>
      <c r="F3" s="135"/>
      <c r="G3" s="135"/>
      <c r="I3"/>
      <c r="J3"/>
      <c r="K3"/>
      <c r="L3"/>
      <c r="M3"/>
      <c r="N3"/>
      <c r="O3"/>
      <c r="P3"/>
    </row>
    <row r="4" spans="1:16" customFormat="1" ht="18.75" customHeight="1" x14ac:dyDescent="0.2">
      <c r="A4" s="29"/>
    </row>
    <row r="5" spans="1:16" ht="24.95" customHeight="1" thickBot="1" x14ac:dyDescent="0.35">
      <c r="A5" s="38"/>
      <c r="B5" s="18" t="s">
        <v>69</v>
      </c>
      <c r="C5" s="19" t="s">
        <v>71</v>
      </c>
      <c r="D5" s="20" t="s">
        <v>72</v>
      </c>
      <c r="E5" s="18" t="s">
        <v>73</v>
      </c>
      <c r="F5" s="21" t="s">
        <v>74</v>
      </c>
      <c r="G5" s="13"/>
      <c r="I5"/>
      <c r="J5"/>
      <c r="K5"/>
      <c r="L5"/>
      <c r="M5"/>
      <c r="N5"/>
      <c r="O5"/>
      <c r="P5"/>
    </row>
    <row r="6" spans="1:16" ht="24.95" customHeight="1" thickBot="1" x14ac:dyDescent="0.35">
      <c r="A6" s="39"/>
      <c r="B6" s="84" t="s">
        <v>70</v>
      </c>
      <c r="C6" s="127">
        <f>PianDipendenti[[#Totals],[ANNO]]</f>
        <v>1355090</v>
      </c>
      <c r="D6" s="127">
        <f>EffettiviDipendenti[[#Totals],[ANNO]]</f>
        <v>659130</v>
      </c>
      <c r="E6" s="127">
        <f>C6-D6</f>
        <v>695960</v>
      </c>
      <c r="F6" s="23">
        <f>E6/C6</f>
        <v>0.5135895032802249</v>
      </c>
    </row>
    <row r="7" spans="1:16" ht="24.95" customHeight="1" thickBot="1" x14ac:dyDescent="0.35">
      <c r="A7" s="38"/>
      <c r="B7" s="84" t="str">
        <f>'SPESE PIANIFICATE'!B10</f>
        <v>Costi di ufficio</v>
      </c>
      <c r="C7" s="127">
        <f>PianUfficio[[#Totals],[ANNO]]</f>
        <v>138740</v>
      </c>
      <c r="D7" s="127">
        <f>EffettiviUfficio[[#Totals],[ANNO]]</f>
        <v>69350</v>
      </c>
      <c r="E7" s="127">
        <f>C7-D7</f>
        <v>69390</v>
      </c>
      <c r="F7" s="23">
        <f>E7/C7</f>
        <v>0.50014415453366012</v>
      </c>
    </row>
    <row r="8" spans="1:16" ht="24.95" customHeight="1" thickBot="1" x14ac:dyDescent="0.35">
      <c r="A8" s="38"/>
      <c r="B8" s="22" t="str">
        <f>'SPESE PIANIFICATE'!B21</f>
        <v>Costi di marketing</v>
      </c>
      <c r="C8" s="127">
        <f>PianMarketing[[#Totals],[ANNO]]</f>
        <v>67800</v>
      </c>
      <c r="D8" s="127">
        <f>MarketingEffettivi[[#Totals],[ANNO]]</f>
        <v>33159</v>
      </c>
      <c r="E8" s="127">
        <f>C8-D8</f>
        <v>34641</v>
      </c>
      <c r="F8" s="23">
        <f>E8/C8</f>
        <v>0.51092920353982296</v>
      </c>
    </row>
    <row r="9" spans="1:16" ht="24.95" customHeight="1" thickBot="1" x14ac:dyDescent="0.35">
      <c r="A9" s="38"/>
      <c r="B9" s="22" t="str">
        <f>'SPESE PIANIFICATE'!B30</f>
        <v>Formazione/viaggi</v>
      </c>
      <c r="C9" s="127">
        <f>PianFormazioneEViaggi[[#Totals],[ANNO]]</f>
        <v>48000</v>
      </c>
      <c r="D9" s="127">
        <f>EffettiviFormazioneEViaggi[[#Totals],[ANNO]]</f>
        <v>21300</v>
      </c>
      <c r="E9" s="127">
        <f>C9-D9</f>
        <v>26700</v>
      </c>
      <c r="F9" s="23">
        <f>E9/C9</f>
        <v>0.55625000000000002</v>
      </c>
    </row>
    <row r="10" spans="1:16" ht="24.95" customHeight="1" x14ac:dyDescent="0.3">
      <c r="A10" s="38"/>
      <c r="B10" s="41" t="str">
        <f>'SPESE PIANIFICATE'!B35</f>
        <v>TOTALI</v>
      </c>
      <c r="C10" s="128">
        <f>'SPESE PIANIFICATE'!O36</f>
        <v>1609630</v>
      </c>
      <c r="D10" s="128">
        <f>'SPESE EFFETTIVE'!O36</f>
        <v>782939</v>
      </c>
      <c r="E10" s="128">
        <f>C10-D10</f>
        <v>826691</v>
      </c>
      <c r="F10" s="42">
        <f>E10/C10</f>
        <v>0.51359070096854553</v>
      </c>
    </row>
    <row r="11" spans="1:16" x14ac:dyDescent="0.3">
      <c r="A11" s="38"/>
      <c r="B11" s="86"/>
      <c r="C11" s="126"/>
      <c r="D11" s="126"/>
      <c r="E11" s="126"/>
      <c r="F11" s="6"/>
    </row>
    <row r="12" spans="1:16" ht="300" customHeight="1" x14ac:dyDescent="0.3">
      <c r="A12" s="38"/>
      <c r="B12" s="136"/>
      <c r="C12" s="136"/>
      <c r="D12" s="136"/>
      <c r="E12" s="136"/>
      <c r="F12" s="136"/>
      <c r="G12"/>
    </row>
    <row r="13" spans="1:16" ht="18.75" customHeight="1" x14ac:dyDescent="0.3">
      <c r="A13" s="38"/>
      <c r="B13" s="87"/>
    </row>
    <row r="14" spans="1:16" x14ac:dyDescent="0.3">
      <c r="A14" s="38"/>
      <c r="B14" s="87"/>
      <c r="C14" s="90"/>
      <c r="D14" s="90"/>
      <c r="E14" s="90"/>
      <c r="F14" s="90"/>
    </row>
    <row r="15" spans="1:16" x14ac:dyDescent="0.3">
      <c r="A15" s="38"/>
      <c r="B15" s="87"/>
      <c r="C15" s="90"/>
      <c r="D15" s="90"/>
      <c r="E15" s="90"/>
      <c r="F15" s="90"/>
    </row>
    <row r="16" spans="1:16" x14ac:dyDescent="0.3">
      <c r="A16" s="38"/>
      <c r="B16" s="87"/>
      <c r="C16" s="90"/>
      <c r="D16" s="90"/>
      <c r="E16" s="90"/>
      <c r="F16" s="90"/>
    </row>
    <row r="17" spans="1:6" x14ac:dyDescent="0.3">
      <c r="A17" s="38"/>
      <c r="B17" s="87"/>
      <c r="C17" s="90"/>
      <c r="D17" s="90"/>
      <c r="E17" s="90"/>
      <c r="F17" s="90"/>
    </row>
    <row r="18" spans="1:6" x14ac:dyDescent="0.3">
      <c r="A18" s="38"/>
      <c r="B18" s="87"/>
      <c r="C18" s="90"/>
      <c r="D18" s="90"/>
      <c r="E18" s="90"/>
      <c r="F18" s="90"/>
    </row>
    <row r="19" spans="1:6" x14ac:dyDescent="0.3">
      <c r="A19" s="38"/>
      <c r="B19" s="90"/>
      <c r="C19" s="90"/>
      <c r="D19" s="90"/>
      <c r="E19" s="90"/>
      <c r="F19" s="90"/>
    </row>
    <row r="20" spans="1:6" x14ac:dyDescent="0.3">
      <c r="A20" s="38"/>
      <c r="B20" s="90"/>
      <c r="C20" s="90"/>
      <c r="D20" s="90"/>
      <c r="E20" s="90"/>
      <c r="F20" s="90"/>
    </row>
    <row r="21" spans="1:6" x14ac:dyDescent="0.3">
      <c r="A21" s="38"/>
      <c r="B21" s="90"/>
      <c r="C21" s="90"/>
      <c r="D21" s="90"/>
      <c r="E21" s="90"/>
      <c r="F21" s="90"/>
    </row>
    <row r="22" spans="1:6" x14ac:dyDescent="0.3">
      <c r="A22" s="38"/>
      <c r="B22" s="87"/>
      <c r="C22" s="90"/>
      <c r="D22" s="90"/>
      <c r="E22" s="90"/>
      <c r="F22" s="90"/>
    </row>
    <row r="23" spans="1:6" x14ac:dyDescent="0.3">
      <c r="A23" s="38"/>
      <c r="B23" s="87"/>
      <c r="C23" s="90"/>
      <c r="D23" s="90"/>
      <c r="E23" s="90"/>
      <c r="F23" s="90"/>
    </row>
    <row r="24" spans="1:6" x14ac:dyDescent="0.3">
      <c r="A24" s="38"/>
      <c r="B24" s="87"/>
      <c r="C24" s="90"/>
      <c r="D24" s="90"/>
      <c r="E24" s="90"/>
      <c r="F24" s="90"/>
    </row>
    <row r="25" spans="1:6" x14ac:dyDescent="0.3">
      <c r="A25" s="38"/>
      <c r="B25" s="87"/>
      <c r="C25" s="90"/>
      <c r="D25" s="90"/>
      <c r="E25" s="90"/>
      <c r="F25" s="90"/>
    </row>
    <row r="26" spans="1:6" x14ac:dyDescent="0.3">
      <c r="A26" s="38"/>
      <c r="B26" s="87"/>
      <c r="C26" s="90"/>
      <c r="D26" s="90"/>
      <c r="E26" s="90"/>
      <c r="F26" s="90"/>
    </row>
    <row r="27" spans="1:6" x14ac:dyDescent="0.3">
      <c r="A27" s="38"/>
      <c r="B27" s="87"/>
      <c r="C27" s="90"/>
      <c r="D27" s="90"/>
      <c r="E27" s="90"/>
      <c r="F27" s="90"/>
    </row>
    <row r="28" spans="1:6" x14ac:dyDescent="0.3">
      <c r="A28" s="38"/>
      <c r="B28" s="90"/>
      <c r="C28" s="90"/>
      <c r="D28" s="90"/>
      <c r="E28" s="90"/>
      <c r="F28" s="90"/>
    </row>
    <row r="29" spans="1:6" x14ac:dyDescent="0.3">
      <c r="A29" s="38"/>
      <c r="B29" s="90"/>
      <c r="C29" s="90"/>
      <c r="D29" s="90"/>
      <c r="E29" s="90"/>
      <c r="F29" s="90"/>
    </row>
    <row r="30" spans="1:6" x14ac:dyDescent="0.3">
      <c r="A30" s="38"/>
      <c r="B30" s="90"/>
      <c r="C30" s="90"/>
      <c r="D30" s="90"/>
      <c r="E30" s="90"/>
      <c r="F30" s="90"/>
    </row>
    <row r="31" spans="1:6" x14ac:dyDescent="0.3">
      <c r="A31" s="38"/>
      <c r="B31" s="87"/>
      <c r="C31" s="90"/>
      <c r="D31" s="90"/>
      <c r="E31" s="90"/>
      <c r="F31" s="90"/>
    </row>
    <row r="32" spans="1:6" x14ac:dyDescent="0.3">
      <c r="A32" s="38"/>
      <c r="B32" s="87"/>
      <c r="C32" s="90"/>
      <c r="D32" s="90"/>
      <c r="E32" s="90"/>
      <c r="F32" s="90"/>
    </row>
    <row r="33" spans="1:6" x14ac:dyDescent="0.3">
      <c r="A33" s="38"/>
      <c r="B33" s="90"/>
      <c r="C33" s="90"/>
      <c r="D33" s="90"/>
      <c r="E33" s="90"/>
      <c r="F33" s="90"/>
    </row>
    <row r="34" spans="1:6" x14ac:dyDescent="0.3">
      <c r="A34" s="38"/>
      <c r="B34" s="90"/>
      <c r="C34" s="90"/>
      <c r="D34" s="90"/>
      <c r="E34" s="90"/>
      <c r="F34" s="90"/>
    </row>
    <row r="35" spans="1:6" x14ac:dyDescent="0.3">
      <c r="A35" s="38"/>
      <c r="B35" s="90"/>
      <c r="C35" s="90"/>
      <c r="D35" s="90"/>
      <c r="E35" s="90"/>
      <c r="F35" s="90"/>
    </row>
    <row r="36" spans="1:6" x14ac:dyDescent="0.3">
      <c r="A36" s="38"/>
      <c r="B36" s="92"/>
      <c r="C36" s="90"/>
      <c r="D36" s="90"/>
      <c r="E36" s="90"/>
      <c r="F36" s="90"/>
    </row>
    <row r="37" spans="1:6" x14ac:dyDescent="0.3">
      <c r="A37" s="38"/>
      <c r="B37" s="92"/>
      <c r="C37" s="90"/>
      <c r="D37" s="90"/>
      <c r="E37" s="90"/>
      <c r="F37" s="90"/>
    </row>
    <row r="38" spans="1:6" x14ac:dyDescent="0.3">
      <c r="A38" s="38"/>
    </row>
    <row r="39" spans="1:6" x14ac:dyDescent="0.3">
      <c r="A39" s="38"/>
    </row>
  </sheetData>
  <mergeCells count="2">
    <mergeCell ref="E3:G3"/>
    <mergeCell ref="B12:F12"/>
  </mergeCells>
  <dataValidations count="8">
    <dataValidation allowBlank="1" showInputMessage="1" showErrorMessage="1" prompt="Il grafico a torta che mostra le spese pianificate nelle diverse categorie si trova in questa cella." sqref="B12:F12" xr:uid="{B2131E0D-FC0E-41E0-A823-1146E5092945}"/>
    <dataValidation allowBlank="1" showInputMessage="1" showErrorMessage="1" prompt="Spese annuali effettive e pianificate, variaz. delle spese e percentuale di varianza sono aggiornate automaticamente per categoria nel foglio di lavoro. Le istruzioni su come usare il foglio si trovano nelle celle della colonna. Per iniziare freccia giù." sqref="A1" xr:uid="{2B6B986C-CF09-4535-B287-5D9961D543F9}"/>
    <dataValidation allowBlank="1" showInputMessage="1" showErrorMessage="1" prompt="Il nome della società viene aggiornato automaticamente nella cella a destra. Immettere il logo nella cella F2." sqref="A2" xr:uid="{54F690A8-E3B2-49FE-B037-4CB57E2B08A1}"/>
    <dataValidation allowBlank="1" showInputMessage="1" showErrorMessage="1" prompt="Il titolo del foglio di lavoro si trova nella cella E3. L’istruzione successiva è nella cella A5." sqref="A3" xr:uid="{FED07153-5704-491F-BD0F-28D4A0F15619}"/>
    <dataValidation allowBlank="1" showInputMessage="1" showErrorMessage="1" prompt="Spese pianificate, spese effettive, scostamento di spese e percentuale di scostamento vengono calcolati automaticamente nella tabella Analisi partendo dalla cella a destra. L'istruzione successiva si trova nella cella A12." sqref="A5" xr:uid="{17A4F301-0551-4056-B357-1FCC3532C5BE}"/>
    <dataValidation allowBlank="1" showInputMessage="1" showErrorMessage="1" prompt="Il grafico a torta Spese pianificate si trova nella cella a destra e il grafico a torta Spese effettive nella cella D12. L'istruzione successiva si trova nella cella A14." sqref="A12" xr:uid="{FE13E92D-A1BA-4BB9-9C16-0CDEB5285C6E}"/>
    <dataValidation allowBlank="1" showInputMessage="1" showErrorMessage="1" prompt="Il grafico che mostra le spese pianificate, effettive e lo scostamento nelle spese mensili si trova nella cella a destra." sqref="A14" xr:uid="{A5F374DB-643C-44A4-B534-F79A39786B80}"/>
    <dataValidation allowBlank="1" showInputMessage="1" showErrorMessage="1" prompt="Il segnaposto del logo si trova in questa cella." sqref="F2:G2" xr:uid="{831A4984-168B-4337-BAEA-80B7246F2962}"/>
  </dataValidations>
  <pageMargins left="0.7" right="0.7" top="0.75" bottom="0.75" header="0.3" footer="0.3"/>
  <pageSetup paperSize="9" orientation="portrait" r:id="rId1"/>
  <ignoredErrors>
    <ignoredError sqref="B2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7C5DBCFF-B01D-443B-958D-5BBBD3E2E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9CB1A22-CE44-4532-A0DB-84194B783BC7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53F0F1A-F818-48F9-BE67-B9DBEFF91A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TM04035489</ap:Template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ap:HeadingPairs>
  <ap:TitlesOfParts>
    <vt:vector baseType="lpstr" size="6">
      <vt:lpstr>INIZIO</vt:lpstr>
      <vt:lpstr>SPESE PIANIFICATE</vt:lpstr>
      <vt:lpstr>SPESE EFFETTIVE</vt:lpstr>
      <vt:lpstr>VARIAZIONI DI SPESA</vt:lpstr>
      <vt:lpstr>ANALISI DELLE SPESE</vt:lpstr>
      <vt:lpstr>worksheet_title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2022-02-14T06:36:37Z</dcterms:created>
  <dcterms:modified xsi:type="dcterms:W3CDTF">2022-05-30T03:56:38Z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