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jpeg" ContentType="image/jpeg"/>
  <Default Extension="vml" ContentType="application/vnd.openxmlformats-officedocument.vmlDrawing"/>
  <Default Extension="jpg" ContentType="image/jpe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41.xml" ContentType="application/vnd.openxmlformats-officedocument.spreadsheetml.table+xml"/>
  <Override PartName="/xl/tables/table92.xml" ContentType="application/vnd.openxmlformats-officedocument.spreadsheetml.table+xml"/>
  <Override PartName="/xl/tables/table33.xml" ContentType="application/vnd.openxmlformats-officedocument.spreadsheetml.table+xml"/>
  <Override PartName="/xl/tables/table84.xml" ContentType="application/vnd.openxmlformats-officedocument.spreadsheetml.table+xml"/>
  <Override PartName="/xl/drawings/drawing11.xml" ContentType="application/vnd.openxmlformats-officedocument.drawing+xml"/>
  <Override PartName="/xl/tables/table125.xml" ContentType="application/vnd.openxmlformats-officedocument.spreadsheetml.table+xml"/>
  <Override PartName="/xl/tables/table26.xml" ContentType="application/vnd.openxmlformats-officedocument.spreadsheetml.table+xml"/>
  <Override PartName="/xl/tables/table77.xml" ContentType="application/vnd.openxmlformats-officedocument.spreadsheetml.table+xml"/>
  <Override PartName="/xl/tables/table18.xml" ContentType="application/vnd.openxmlformats-officedocument.spreadsheetml.table+xml"/>
  <Override PartName="/xl/tables/table119.xml" ContentType="application/vnd.openxmlformats-officedocument.spreadsheetml.table+xml"/>
  <Override PartName="/xl/tables/table610.xml" ContentType="application/vnd.openxmlformats-officedocument.spreadsheetml.table+xml"/>
  <Override PartName="/xl/ctrlProps/ctrlProp1.xml" ContentType="application/vnd.ms-excel.controlproperties+xml"/>
  <Override PartName="/xl/tables/table511.xml" ContentType="application/vnd.openxmlformats-officedocument.spreadsheetml.table+xml"/>
  <Override PartName="/xl/tables/table10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25"/>
  <workbookPr filterPrivacy="1" autoCompressPictures="0"/>
  <xr:revisionPtr revIDLastSave="0" documentId="13_ncr:1_{FDB419CD-A4AC-448A-83B9-91BD86981B6C}" xr6:coauthVersionLast="47" xr6:coauthVersionMax="47" xr10:uidLastSave="{00000000-0000-0000-0000-000000000000}"/>
  <bookViews>
    <workbookView xWindow="-120" yWindow="-120" windowWidth="29070" windowHeight="14310" xr2:uid="{00000000-000D-0000-FFFF-FFFF00000000}"/>
  </bookViews>
  <sheets>
    <sheet name="Awal" sheetId="2" r:id="rId1"/>
    <sheet name="Kalender Tahunan" sheetId="1" r:id="rId2"/>
  </sheets>
  <definedNames>
    <definedName name="AguMin1">DATE(TahunKalender,8,1)-WEEKDAY(DATE(TahunKalender,8,1))+1</definedName>
    <definedName name="AprMin1">DATE(TahunKalender,4,1)-WEEKDAY(DATE(TahunKalender,4,1))+1</definedName>
    <definedName name="DesMin1">DATE(TahunKalender,12,1)-WEEKDAY(DATE(TahunKalender,12,1))+1</definedName>
    <definedName name="FebSun1">DATE(TahunKalender,2,1)-WEEKDAY(DATE(TahunKalender,2,1))+1</definedName>
    <definedName name="JanSun1">DATE(TahunKalender,1,1)-WEEKDAY(DATE(TahunKalender,1,1))+1</definedName>
    <definedName name="MinJul1">DATE(TahunKalender,7,1)-WEEKDAY(DATE(TahunKalender,7,1))+1</definedName>
    <definedName name="MinJun1">DATE(TahunKalender,6,1)-WEEKDAY(DATE(TahunKalender,6,1))+1</definedName>
    <definedName name="MinMar1">DATE(TahunKalender,3,1)-WEEKDAY(DATE(TahunKalender,3,1))+1</definedName>
    <definedName name="MinMei1">DATE(TahunKalender,5,1)-WEEKDAY(DATE(TahunKalender,5,1))+1</definedName>
    <definedName name="MinNov1">DATE(TahunKalender,11,1)-WEEKDAY(DATE(TahunKalender,11,1))+1</definedName>
    <definedName name="MinOkt1">DATE(TahunKalender,10,1)-WEEKDAY(DATE(TahunKalender,10,1))+1</definedName>
    <definedName name="MinSep1">DATE(TahunKalender,9,1)-WEEKDAY(DATE(TahunKalender,9,1))+1</definedName>
    <definedName name="_xlnm.Print_Area" localSheetId="1">'Kalender Tahunan'!$B$1:$W$55</definedName>
    <definedName name="TahunKalender">'Kalender Tahunan'!$C$1</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<sst xmlns="http://schemas.openxmlformats.org/spreadsheetml/2006/main" count="135" uniqueCount="58">
  <si>
    <t>TENTANG TEMPLAT INI</t>
  </si>
  <si>
    <t>Gunakan templat ini untuk membuat kalender pribadi tahun tertentu untuk bisnis kecil.</t>
  </si>
  <si>
    <t>Isi Nama Perusahaan dan detail kontak dan tambahkan logo Perusahaan.</t>
  </si>
  <si>
    <t>Pilih tahun dan masukkan tanggal dan acara penting.</t>
  </si>
  <si>
    <t>Catatan: </t>
  </si>
  <si>
    <t xml:space="preserve">Instruksi tambahan telah tersedia di kolom A dalam lembar kerja KALENDER TAHUNAN. Teks ini sengaja disembunyikan. Untuk menghapus teks, pilih kolom A, lalu pilih HAPUS. </t>
  </si>
  <si>
    <t>Untuk mempelajari selengkapnya tentang tabel, tekan SHIFT lalu F10 dalam tabel, pilih opsi TABEL, kemudian pilih TEKS ALTERNATIF.</t>
  </si>
  <si>
    <t>Buat Kalender Bisnis Kecil tahun tertentu di lembar kerja ini. Instruksi yang berguna tentang cara menggunakan lembar kerja ini berada di sel-sel dalam kolom ini. Pilih pemutar dalam sel di sebelah kanan untuk mengubah tahun di sel C1. Label Tanggal Penting ada dalam sel U1</t>
  </si>
  <si>
    <t>Tips ada dalam sel di sebelah kanan</t>
  </si>
  <si>
    <t>Kalender tahun yang dipilih ada dalam sel C3 hingga Q55, kalender Januari dalam C4 hingga I10, dan kalender Februari dalam sel K4 hingga Q10. Label Januari ada dalam sel C3 dan Februari dalam sel K3. Masukkan tanggal dan acara penting dalam sel U3 hingga U42</t>
  </si>
  <si>
    <t>Tabel kalender Januari ada dalam sel C4 hingga I10 dan tabel kalender Februari dalam sel K4 hingga Q10. Instruksi berikutnya ada dalam sel A12</t>
  </si>
  <si>
    <t>Label Maret ada dalam sel C12 dan April dalam sel K12</t>
  </si>
  <si>
    <t>Tabel kalender Maret ada dalam sel C13 hingga I19 dan tabel kalender April dalam sel K13 hingga Q19. Instruksi berikutnya ada dalam sel A21</t>
  </si>
  <si>
    <t>Label Mei ada dalam sel C21 dan Juni dalam sel K21</t>
  </si>
  <si>
    <t>Tabel kalender Mei ada dalam sel C22 hingga I28 dan tabel kalender Juni dalam sel K22 hingga Q28. Instruksi berikutnya ada dalam sel A30</t>
  </si>
  <si>
    <t>Label Juli ada dalam sel C30 dan Agustus dalam sel K30</t>
  </si>
  <si>
    <t>Tabel kalender Juli ada dalam sel C31 hingga I37 dan tabel kalender Agustus dalam sel K31 hingga Q37. Instruksi berikutnya ada dalam sel A39</t>
  </si>
  <si>
    <t>Label September ada dalam sel C39 dan Oktober dalam sel K39</t>
  </si>
  <si>
    <t>Tabel kalender September ada dalam sel C40 hingga I46 dan kalender Oktober dalam sel K40 hingga Q46. Instruksi berikutnya ada dalam sel A44</t>
  </si>
  <si>
    <t>Masukkan Alamat dalam sel U44</t>
  </si>
  <si>
    <t>Masukkan Kota, Provinsi, dan Kode Pos dalam sel U45. Instruksi berikutnya ada dalam sel A47</t>
  </si>
  <si>
    <t>Masukkan Nomor Telepon Perusahaan dalam sel U47</t>
  </si>
  <si>
    <t xml:space="preserve">Label November ada dalam sel C48 dan Desember dalam sel K48. Masukkan Alamat email dalam sel U48 </t>
  </si>
  <si>
    <t>Tabel kalender November ada dalam sel C49 hingga I55 dan kalender Desember dalam sel K49 hingga Q55. Instruksi berikutnya ada dalam sel A51</t>
  </si>
  <si>
    <t>Tambahkan logo perusahaan dalam sel U51</t>
  </si>
  <si>
    <t>Gunakan pemutar untuk mengubah tahun kalender</t>
  </si>
  <si>
    <t>JANUARI</t>
  </si>
  <si>
    <t>SEN</t>
  </si>
  <si>
    <t>MARET</t>
  </si>
  <si>
    <t>MEI</t>
  </si>
  <si>
    <t>JULI</t>
  </si>
  <si>
    <t>SEPTEMBER</t>
  </si>
  <si>
    <t>NOVEMBER</t>
  </si>
  <si>
    <t>SEL</t>
  </si>
  <si>
    <t>RAB</t>
  </si>
  <si>
    <t>KAM</t>
  </si>
  <si>
    <t>JUM</t>
  </si>
  <si>
    <t>SAB</t>
  </si>
  <si>
    <t>MIN</t>
  </si>
  <si>
    <t>FEBRUARI</t>
  </si>
  <si>
    <t>APRIL</t>
  </si>
  <si>
    <t>JUNI</t>
  </si>
  <si>
    <t>AGUSTUS</t>
  </si>
  <si>
    <t>OKTOBER</t>
  </si>
  <si>
    <t>DESEMBER</t>
  </si>
  <si>
    <t>TANGGAL PENTING</t>
  </si>
  <si>
    <t>1 JANUARI</t>
  </si>
  <si>
    <t>TAHUN BARU</t>
  </si>
  <si>
    <t>14 FEBRUARI</t>
  </si>
  <si>
    <t>HARI VALENTINE</t>
  </si>
  <si>
    <t>22 FEBRUARI</t>
  </si>
  <si>
    <t>PESTA</t>
  </si>
  <si>
    <t>Alamat</t>
  </si>
  <si>
    <t>Kota, Provinsi, dan Kode Pos</t>
  </si>
  <si>
    <t>Telepon</t>
  </si>
  <si>
    <t>Email</t>
  </si>
  <si>
    <t>Situs Web</t>
  </si>
  <si>
    <t>Tempat penampung logo berada dalam sel 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</si>
</sst>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Rp&quot;* #,##0_-;\-&quot;Rp&quot;* #,##0_-;_-&quot;Rp&quot;* &quot;-&quot;_-;_-@_-"/>
    <numFmt numFmtId="44" formatCode="_-&quot;Rp&quot;* #,##0.00_-;\-&quot;Rp&quot;* #,##0.00_-;_-&quot;Rp&quot;* &quot;-&quot;??_-;_-@_-"/>
    <numFmt numFmtId="164" formatCode="_(* #,##0_);_(* \(#,##0\);_(* &quot;-&quot;_);_(@_)"/>
    <numFmt numFmtId="165" formatCode="_(* #,##0.00_);_(* \(#,##0.00\);_(* &quot;-&quot;??_);_(@_)"/>
    <numFmt numFmtId="166" formatCode=";;;"/>
    <numFmt numFmtId="167" formatCode="d"/>
  </numFmts>
  <fonts count="38" x14ac:knownFonts="1">
    <font>
      <sz val="8"/>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sz val="8"/>
      <color theme="0"/>
      <name val="Calibri"/>
      <family val="2"/>
      <scheme val="minor"/>
    </font>
    <font>
      <b/>
      <sz val="13.5"/>
      <color theme="0"/>
      <name val="Calibri"/>
      <family val="2"/>
      <scheme val="major"/>
    </font>
    <font>
      <sz val="9"/>
      <color theme="1"/>
      <name val="Calibri"/>
      <family val="2"/>
      <scheme val="minor"/>
    </font>
    <font>
      <sz val="9"/>
      <color theme="8"/>
      <name val="Calibri"/>
      <family val="2"/>
      <scheme val="minor"/>
    </font>
    <font>
      <sz val="8"/>
      <color theme="8"/>
      <name val="Calibri"/>
      <family val="2"/>
      <scheme val="minor"/>
    </font>
    <font>
      <sz val="9"/>
      <color theme="1" tint="0.14999847407452621"/>
      <name val="Calibri"/>
      <family val="2"/>
      <scheme val="minor"/>
    </font>
    <font>
      <i/>
      <sz val="10"/>
      <color theme="8" tint="-0.499984740745262"/>
      <name val="Calibri"/>
      <family val="2"/>
      <scheme val="minor"/>
    </font>
    <font>
      <b/>
      <sz val="9.5"/>
      <color theme="8" tint="-0.499984740745262"/>
      <name val="Calibri"/>
      <family val="2"/>
      <scheme val="major"/>
    </font>
    <font>
      <sz val="9"/>
      <color theme="8" tint="-0.499984740745262"/>
      <name val="Calibri"/>
      <family val="2"/>
      <scheme val="minor"/>
    </font>
    <font>
      <sz val="8"/>
      <color theme="8" tint="-0.499984740745262"/>
      <name val="Calibri"/>
      <family val="2"/>
      <scheme val="minor"/>
    </font>
    <font>
      <b/>
      <sz val="8"/>
      <color theme="1" tint="0.34998626667073579"/>
      <name val="Calibri"/>
      <family val="2"/>
      <scheme val="minor"/>
    </font>
    <font>
      <b/>
      <sz val="13"/>
      <color theme="3"/>
      <name val="Calibri"/>
      <family val="2"/>
      <scheme val="minor"/>
    </font>
    <font>
      <b/>
      <sz val="11"/>
      <color theme="1"/>
      <name val="Calibri"/>
      <family val="2"/>
      <scheme val="minor"/>
    </font>
    <font>
      <b/>
      <sz val="16"/>
      <color theme="0"/>
      <name val="Calibri"/>
      <family val="2"/>
      <scheme val="major"/>
    </font>
    <font>
      <sz val="8"/>
      <color theme="1"/>
      <name val="Calibri"/>
      <family val="2"/>
      <scheme val="minor"/>
    </font>
    <font>
      <sz val="18"/>
      <color theme="3"/>
      <name val="Calibri"/>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8"/>
        <bgColor indexed="64"/>
      </patternFill>
    </fill>
    <fill>
      <patternFill patternType="solid">
        <fgColor theme="8"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thin">
        <color theme="8"/>
      </top>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0" fillId="0" borderId="2" applyNumberFormat="0" applyFill="0" applyAlignment="0" applyProtection="0"/>
    <xf numFmtId="165" fontId="23" fillId="0" borderId="0" applyFont="0" applyFill="0" applyBorder="0" applyAlignment="0" applyProtection="0"/>
    <xf numFmtId="164"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5" applyNumberFormat="0" applyAlignment="0" applyProtection="0"/>
    <xf numFmtId="0" fontId="31" fillId="8" borderId="6" applyNumberFormat="0" applyAlignment="0" applyProtection="0"/>
    <xf numFmtId="0" fontId="32" fillId="8" borderId="5" applyNumberFormat="0" applyAlignment="0" applyProtection="0"/>
    <xf numFmtId="0" fontId="33" fillId="0" borderId="7" applyNumberFormat="0" applyFill="0" applyAlignment="0" applyProtection="0"/>
    <xf numFmtId="0" fontId="34" fillId="9" borderId="8" applyNumberFormat="0" applyAlignment="0" applyProtection="0"/>
    <xf numFmtId="0" fontId="35" fillId="0" borderId="0" applyNumberFormat="0" applyFill="0" applyBorder="0" applyAlignment="0" applyProtection="0"/>
    <xf numFmtId="0" fontId="23" fillId="10" borderId="9" applyNumberFormat="0" applyFont="0" applyAlignment="0" applyProtection="0"/>
    <xf numFmtId="0" fontId="36" fillId="0" borderId="0" applyNumberFormat="0" applyFill="0" applyBorder="0" applyAlignment="0" applyProtection="0"/>
    <xf numFmtId="0" fontId="21" fillId="0" borderId="10" applyNumberFormat="0" applyFill="0" applyAlignment="0" applyProtection="0"/>
    <xf numFmtId="0" fontId="3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6">
    <xf numFmtId="0" fontId="0" fillId="0" borderId="0" xfId="0"/>
    <xf numFmtId="0" fontId="0" fillId="0" borderId="0" xfId="0" applyAlignment="1">
      <alignment horizontal="center"/>
    </xf>
    <xf numFmtId="0" fontId="7" fillId="0" borderId="0" xfId="0" applyFont="1"/>
    <xf numFmtId="0" fontId="0" fillId="2" borderId="0" xfId="0" applyFill="1"/>
    <xf numFmtId="49" fontId="0" fillId="0" borderId="0" xfId="0" applyNumberFormat="1"/>
    <xf numFmtId="49" fontId="12" fillId="0" borderId="0" xfId="0" applyNumberFormat="1" applyFont="1"/>
    <xf numFmtId="49" fontId="0" fillId="0" borderId="0" xfId="0" applyNumberFormat="1" applyAlignment="1">
      <alignment horizontal="left"/>
    </xf>
    <xf numFmtId="49" fontId="13" fillId="0" borderId="0" xfId="0" applyNumberFormat="1" applyFont="1" applyAlignment="1">
      <alignment horizontal="left"/>
    </xf>
    <xf numFmtId="0" fontId="11" fillId="0" borderId="0" xfId="0" applyFont="1"/>
    <xf numFmtId="49" fontId="14" fillId="0" borderId="0" xfId="0" applyNumberFormat="1" applyFont="1" applyAlignment="1">
      <alignment horizontal="left"/>
    </xf>
    <xf numFmtId="0" fontId="0" fillId="3" borderId="0" xfId="0" applyFill="1"/>
    <xf numFmtId="0" fontId="8" fillId="3" borderId="0" xfId="0" applyFont="1" applyFill="1" applyAlignment="1">
      <alignment vertical="center"/>
    </xf>
    <xf numFmtId="0" fontId="9" fillId="3" borderId="0" xfId="0" applyFont="1" applyFill="1"/>
    <xf numFmtId="0" fontId="10" fillId="3" borderId="0" xfId="0" applyFont="1" applyFill="1" applyAlignment="1">
      <alignment vertical="center"/>
    </xf>
    <xf numFmtId="49" fontId="17" fillId="0" borderId="1" xfId="0" applyNumberFormat="1" applyFont="1" applyBorder="1"/>
    <xf numFmtId="49" fontId="17" fillId="0" borderId="0" xfId="0" applyNumberFormat="1" applyFont="1"/>
    <xf numFmtId="49" fontId="18" fillId="0" borderId="0" xfId="0" applyNumberFormat="1" applyFont="1" applyAlignment="1">
      <alignment horizontal="left"/>
    </xf>
    <xf numFmtId="0" fontId="19" fillId="0" borderId="0" xfId="0" applyFont="1" applyAlignment="1">
      <alignment horizontal="center"/>
    </xf>
    <xf numFmtId="0" fontId="5" fillId="0" borderId="0" xfId="0" applyFont="1" applyAlignment="1">
      <alignment vertical="center" wrapText="1"/>
    </xf>
    <xf numFmtId="0" fontId="22" fillId="3" borderId="0" xfId="1" applyFont="1" applyFill="1" applyBorder="1" applyAlignment="1">
      <alignment horizontal="center" vertical="center"/>
    </xf>
    <xf numFmtId="0" fontId="4" fillId="0" borderId="0" xfId="0" applyFont="1" applyAlignment="1">
      <alignment vertical="center" wrapText="1"/>
    </xf>
    <xf numFmtId="0" fontId="21" fillId="0" borderId="0" xfId="0" applyFont="1" applyAlignment="1">
      <alignment wrapText="1"/>
    </xf>
    <xf numFmtId="0" fontId="0" fillId="0" borderId="0" xfId="0" applyAlignment="1">
      <alignment vertical="center"/>
    </xf>
    <xf numFmtId="166" fontId="0" fillId="0" borderId="0" xfId="0" applyNumberFormat="1" applyAlignment="1">
      <alignment wrapText="1"/>
    </xf>
    <xf numFmtId="166" fontId="3" fillId="0" borderId="0" xfId="0" applyNumberFormat="1" applyFont="1" applyAlignment="1">
      <alignment vertical="center"/>
    </xf>
    <xf numFmtId="166" fontId="0" fillId="0" borderId="0" xfId="0" applyNumberFormat="1"/>
    <xf numFmtId="0" fontId="2" fillId="0" borderId="0" xfId="0" applyFont="1" applyAlignment="1">
      <alignment vertical="center" wrapText="1"/>
    </xf>
    <xf numFmtId="0" fontId="15" fillId="0" borderId="0" xfId="0" applyFont="1" applyAlignment="1">
      <alignment horizontal="left" vertical="center" indent="2"/>
    </xf>
    <xf numFmtId="14" fontId="0" fillId="0" borderId="0" xfId="0" applyNumberFormat="1" applyAlignment="1">
      <alignment horizontal="center"/>
    </xf>
    <xf numFmtId="14" fontId="0" fillId="0" borderId="0" xfId="0" applyNumberFormat="1"/>
    <xf numFmtId="14" fontId="0" fillId="2" borderId="0" xfId="0" applyNumberFormat="1" applyFill="1"/>
    <xf numFmtId="167" fontId="0" fillId="0" borderId="0" xfId="0" applyNumberFormat="1" applyAlignment="1">
      <alignment horizontal="center"/>
    </xf>
    <xf numFmtId="0" fontId="8" fillId="3" borderId="0" xfId="0" applyFont="1" applyFill="1" applyAlignment="1">
      <alignment horizontal="left" vertical="center"/>
    </xf>
    <xf numFmtId="0" fontId="16" fillId="0" borderId="0" xfId="0" applyFont="1" applyAlignment="1">
      <alignment horizontal="left"/>
    </xf>
    <xf numFmtId="0" fontId="16" fillId="0" borderId="0" xfId="0" applyFont="1"/>
    <xf numFmtId="166" fontId="0" fillId="0" borderId="0" xfId="0" applyNumberFormat="1" applyAlignment="1">
      <alignment horizontal="center"/>
    </xf>
  </cellXfs>
  <cellStyles count="47">
    <cellStyle name="20% - Aksen1" xfId="24" builtinId="30" customBuiltin="1"/>
    <cellStyle name="20% - Aksen2" xfId="28" builtinId="34" customBuiltin="1"/>
    <cellStyle name="20% - Aksen3" xfId="32" builtinId="38" customBuiltin="1"/>
    <cellStyle name="20% - Aksen4" xfId="36" builtinId="42" customBuiltin="1"/>
    <cellStyle name="20% - Aksen5" xfId="40" builtinId="46" customBuiltin="1"/>
    <cellStyle name="20% - Aksen6" xfId="44" builtinId="50" customBuiltin="1"/>
    <cellStyle name="40% - Aksen1" xfId="25" builtinId="31" customBuiltin="1"/>
    <cellStyle name="40% - Aksen2" xfId="29" builtinId="35" customBuiltin="1"/>
    <cellStyle name="40% - Aksen3" xfId="33" builtinId="39" customBuiltin="1"/>
    <cellStyle name="40% - Aksen4" xfId="37" builtinId="43" customBuiltin="1"/>
    <cellStyle name="40% - Aksen5" xfId="41" builtinId="47" customBuiltin="1"/>
    <cellStyle name="40% - Aksen6" xfId="45" builtinId="51" customBuiltin="1"/>
    <cellStyle name="60% - Aksen1" xfId="26" builtinId="32" customBuiltin="1"/>
    <cellStyle name="60% - Aksen2" xfId="30" builtinId="36" customBuiltin="1"/>
    <cellStyle name="60% - Aksen3" xfId="34" builtinId="40" customBuiltin="1"/>
    <cellStyle name="60% - Aksen4" xfId="38" builtinId="44" customBuiltin="1"/>
    <cellStyle name="60% - Aksen5" xfId="42" builtinId="48" customBuiltin="1"/>
    <cellStyle name="60% - Aksen6" xfId="46" builtinId="52" customBuiltin="1"/>
    <cellStyle name="Aksen1" xfId="23" builtinId="29" customBuiltin="1"/>
    <cellStyle name="Aksen2" xfId="27" builtinId="33" customBuiltin="1"/>
    <cellStyle name="Aksen3" xfId="31" builtinId="37" customBuiltin="1"/>
    <cellStyle name="Aksen4" xfId="35" builtinId="41" customBuiltin="1"/>
    <cellStyle name="Aksen5" xfId="39" builtinId="45" customBuiltin="1"/>
    <cellStyle name="Aksen6" xfId="43" builtinId="49" customBuiltin="1"/>
    <cellStyle name="Baik" xfId="11" builtinId="26" customBuiltin="1"/>
    <cellStyle name="Buruk" xfId="12" builtinId="27" customBuiltin="1"/>
    <cellStyle name="Catatan" xfId="20" builtinId="10" customBuiltin="1"/>
    <cellStyle name="Judul" xfId="7" builtinId="15" customBuiltin="1"/>
    <cellStyle name="Judul 1" xfId="8" builtinId="16" customBuiltin="1"/>
    <cellStyle name="Judul 2" xfId="1" builtinId="17" customBuiltin="1"/>
    <cellStyle name="Judul 3" xfId="9" builtinId="18" customBuiltin="1"/>
    <cellStyle name="Judul 4" xfId="10" builtinId="19" customBuiltin="1"/>
    <cellStyle name="Keluaran" xfId="15" builtinId="21" customBuiltin="1"/>
    <cellStyle name="Koma" xfId="2" builtinId="3" customBuiltin="1"/>
    <cellStyle name="Koma [0]" xfId="3" builtinId="6" customBuiltin="1"/>
    <cellStyle name="Masukan" xfId="14" builtinId="20" customBuiltin="1"/>
    <cellStyle name="Mata Uang" xfId="4" builtinId="4" customBuiltin="1"/>
    <cellStyle name="Mata Uang [0]" xfId="5" builtinId="7" customBuiltin="1"/>
    <cellStyle name="Netral" xfId="13" builtinId="28" customBuiltin="1"/>
    <cellStyle name="Normal" xfId="0" builtinId="0" customBuiltin="1"/>
    <cellStyle name="Perhitungan" xfId="16" builtinId="22" customBuiltin="1"/>
    <cellStyle name="Persen" xfId="6" builtinId="5" customBuiltin="1"/>
    <cellStyle name="Sel Periksa" xfId="18" builtinId="23" customBuiltin="1"/>
    <cellStyle name="Sel Tertaut" xfId="17" builtinId="24" customBuiltin="1"/>
    <cellStyle name="Teks Penjelasan" xfId="21" builtinId="53" customBuiltin="1"/>
    <cellStyle name="Teks Peringatan" xfId="19" builtinId="11" customBuiltin="1"/>
    <cellStyle name="Total" xfId="22" builtinId="25" customBuiltin="1"/>
  </cellStyles>
  <dxfs count="108">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theme="1"/>
        <name val="Calibri"/>
        <family val="2"/>
        <scheme val="minor"/>
      </font>
      <numFmt numFmtId="167" formatCode="d"/>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ctrlProps/ctrlProp1.xml><?xml version="1.0" encoding="utf-8"?>
<formControlPr xmlns="http://schemas.microsoft.com/office/spreadsheetml/2009/9/main" objectType="Spin" dx="16" fmlaLink="$C$1" max="2999" min="1900" page="10" val="2022"/>
</file>

<file path=xl/drawings/_rels/drawing11.xml.rels>&#65279;<?xml version="1.0" encoding="utf-8"?><Relationships xmlns="http://schemas.openxmlformats.org/package/2006/relationships"><Relationship Type="http://schemas.openxmlformats.org/officeDocument/2006/relationships/image" Target="/xl/media/image43.jpg" Id="rId2" /><Relationship Type="http://schemas.openxmlformats.org/officeDocument/2006/relationships/image" Target="/xl/media/image34.jpeg" Id="rId1" /></Relationships>
</file>

<file path=xl/drawings/drawing11.xml><?xml version="1.0" encoding="utf-8"?>
<xdr:wsDr xmlns:xdr="http://schemas.openxmlformats.org/drawingml/2006/spreadsheetDrawing" xmlns:a="http://schemas.openxmlformats.org/drawingml/2006/main">
  <xdr:twoCellAnchor editAs="oneCell">
    <xdr:from>
      <xdr:col>21</xdr:col>
      <xdr:colOff>142875</xdr:colOff>
      <xdr:row>2</xdr:row>
      <xdr:rowOff>114299</xdr:rowOff>
    </xdr:from>
    <xdr:to>
      <xdr:col>22</xdr:col>
      <xdr:colOff>695325</xdr:colOff>
      <xdr:row>47</xdr:row>
      <xdr:rowOff>66674</xdr:rowOff>
    </xdr:to>
    <xdr:pic>
      <xdr:nvPicPr>
        <xdr:cNvPr id="2" name="Dedaunan" descr="Enam helai daun ditempatkan berpasangan dan tunggal di berbagai jarak">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duotone>
            <a:schemeClr val="accent5">
              <a:shade val="45000"/>
              <a:satMod val="135000"/>
            </a:schemeClr>
            <a:prstClr val="white"/>
          </a:duotone>
          <a:extLst>
            <a:ext uri="{28A0092B-C50C-407E-A947-70E740481C1C}">
              <a14:useLocalDpi xmlns:a14="http://schemas.microsoft.com/office/drawing/2010/main" val="0"/>
            </a:ext>
          </a:extLst>
        </a:blip>
        <a:srcRect/>
        <a:stretch/>
      </xdr:blipFill>
      <xdr:spPr>
        <a:xfrm>
          <a:off x="6581775" y="685799"/>
          <a:ext cx="1095375" cy="85248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Pemuta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47625</xdr:colOff>
      <xdr:row>50</xdr:row>
      <xdr:rowOff>152804</xdr:rowOff>
    </xdr:from>
    <xdr:to>
      <xdr:col>20</xdr:col>
      <xdr:colOff>1028700</xdr:colOff>
      <xdr:row>54</xdr:row>
      <xdr:rowOff>180569</xdr:rowOff>
    </xdr:to>
    <xdr:pic>
      <xdr:nvPicPr>
        <xdr:cNvPr id="3" name="Logo" descr="Tempat penampung logo untuk menambahkan logo Perusahaa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57800" y="9868304"/>
          <a:ext cx="981075" cy="789765"/>
        </a:xfrm>
        <a:prstGeom prst="rect">
          <a:avLst/>
        </a:prstGeom>
      </xdr:spPr>
    </xdr:pic>
    <xdr:clientData/>
  </xdr:twoCellAnchor>
</xdr:wsDr>
</file>

<file path=xl/tables/table10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3:Q19" totalsRowShown="0" headerRowDxfId="26" dataDxfId="25">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SEN" dataDxfId="24"/>
    <tableColumn id="2" xr3:uid="{0254C3C1-F1BB-40F1-A18F-21E91977EE53}" name="SEL" dataDxfId="23"/>
    <tableColumn id="3" xr3:uid="{C7755A12-A0CC-4F60-93D4-C919836CA309}" name="RAB" dataDxfId="22"/>
    <tableColumn id="4" xr3:uid="{82522450-2E91-46D3-B3E7-1AAB18C97CE5}" name="KAM" dataDxfId="21"/>
    <tableColumn id="5" xr3:uid="{DFACDB8E-BE59-41D9-9E8B-38AB9BA5A92B}" name="JUM" dataDxfId="20"/>
    <tableColumn id="6" xr3:uid="{64B8503A-65D1-4534-A8A1-DAE95B900A45}" name="SAB" dataDxfId="19"/>
    <tableColumn id="7" xr3:uid="{65CD88A0-3D5F-46A0-8B33-E2CF40A9104A}" name="MIN" dataDxfId="18"/>
  </tableColumns>
  <tableStyleInfo showFirstColumn="0" showLastColumn="0" showRowStripes="0" showColumnStripes="0"/>
  <extLst>
    <ext xmlns:x14="http://schemas.microsoft.com/office/spreadsheetml/2009/9/main" uri="{504A1905-F514-4f6f-8877-14C23A59335A}">
      <x14:table altTextSummary="Kalender April dalam tabel ini diperbarui otomatis dengan nama hari kerja dan tanggal"/>
    </ext>
  </extLst>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i" displayName="Februari" ref="K4:Q10" totalsRowShown="0" headerRowDxfId="17" dataDxfId="16">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SEN" dataDxfId="15"/>
    <tableColumn id="2" xr3:uid="{C6CD5C6F-CF91-4F35-B84B-AD12AA5267FB}" name="SEL" dataDxfId="14"/>
    <tableColumn id="3" xr3:uid="{9BDA20AF-BB53-48D1-A451-57268ED65452}" name="RAB" dataDxfId="13"/>
    <tableColumn id="4" xr3:uid="{3404FDF8-ACC1-45AC-8414-A54CCAEE5983}" name="KAM" dataDxfId="12"/>
    <tableColumn id="5" xr3:uid="{B0CA7D5E-4DA5-48D4-9D32-CCEBB2B7C1D4}" name="JUM" dataDxfId="11"/>
    <tableColumn id="6" xr3:uid="{0C197BE0-3C8D-4A05-9555-54A2049E1930}" name="SAB" dataDxfId="10"/>
    <tableColumn id="7" xr3:uid="{9637FE45-D42A-4BDA-BFC9-5691C984419E}" name="MIN" dataDxfId="9"/>
  </tableColumns>
  <tableStyleInfo showFirstColumn="0" showLastColumn="0" showRowStripes="0" showColumnStripes="0"/>
  <extLst>
    <ext xmlns:x14="http://schemas.microsoft.com/office/spreadsheetml/2009/9/main" uri="{504A1905-F514-4f6f-8877-14C23A59335A}">
      <x14:table altTextSummary="Kalender Februari dalam tabel ini diperbarui otomatis dengan nama hari kerja dan tanggal "/>
    </ext>
  </extLst>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i" displayName="Januari" ref="C4:I10" totalsRowShown="0" headerRowDxfId="8" dataDxfId="7">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SEN" dataDxfId="6"/>
    <tableColumn id="2" xr3:uid="{75530CFD-B4AD-4D7F-B600-AAB405F13F73}" name="SEL" dataDxfId="5"/>
    <tableColumn id="3" xr3:uid="{FBE5DEA2-935E-4CDB-8F4B-6DA495232F54}" name="RAB" dataDxfId="4"/>
    <tableColumn id="4" xr3:uid="{C3545009-9649-4B2D-9DF4-38AA968488C7}" name="KAM" dataDxfId="3"/>
    <tableColumn id="5" xr3:uid="{66242A36-16C2-4785-B8BE-E7522FB57E7F}" name="JUM" dataDxfId="2"/>
    <tableColumn id="6" xr3:uid="{0C7FC9B3-E733-414B-918A-07CAC4D1424B}" name="SAB" dataDxfId="1"/>
    <tableColumn id="7" xr3:uid="{A966067F-058A-45AC-B3F6-BDEA651BC587}" name="MIN" dataDxfId="0"/>
  </tableColumns>
  <tableStyleInfo showFirstColumn="0" showLastColumn="0" showRowStripes="0" showColumnStripes="0"/>
  <extLst>
    <ext xmlns:x14="http://schemas.microsoft.com/office/spreadsheetml/2009/9/main" uri="{504A1905-F514-4f6f-8877-14C23A59335A}">
      <x14:table altTextSummary="Kalender Januari dalam tabel ini diperbarui otomatis dengan nama hari kerja dan tanggal"/>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40:I46" totalsRowShown="0" headerRowDxfId="107" dataDxfId="106">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SEN" dataDxfId="105"/>
    <tableColumn id="2" xr3:uid="{AC077B57-4B5B-44D9-B680-1542FAA47835}" name="SEL" dataDxfId="104"/>
    <tableColumn id="3" xr3:uid="{26C6390A-ED56-4389-921B-E823E3B142FA}" name="RAB" dataDxfId="103"/>
    <tableColumn id="4" xr3:uid="{6297A621-248D-4715-936B-3C7C8FAC9F73}" name="KAM" dataDxfId="102"/>
    <tableColumn id="5" xr3:uid="{65439D0F-0987-4361-AACE-888F0AD02F41}" name="JUM" dataDxfId="101"/>
    <tableColumn id="6" xr3:uid="{001F5D5B-2CE2-4830-B87A-47310907E17B}" name="SAB" dataDxfId="100"/>
    <tableColumn id="7" xr3:uid="{92559195-CB73-43D5-AD89-B537C8DAFB16}" name="MIN" dataDxfId="99"/>
  </tableColumns>
  <tableStyleInfo showFirstColumn="0" showLastColumn="0" showRowStripes="0" showColumnStripes="0"/>
  <extLst>
    <ext xmlns:x14="http://schemas.microsoft.com/office/spreadsheetml/2009/9/main" uri="{504A1905-F514-4f6f-8877-14C23A59335A}">
      <x14:table altTextSummary="Kalender September dalam tabel ini diperbarui otomatis dengan nama hari kerja dan tanggal"/>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ktober" displayName="Oktober" ref="K40:Q46" totalsRowShown="0" headerRowDxfId="98" dataDxfId="97">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SEN" dataDxfId="96"/>
    <tableColumn id="2" xr3:uid="{BC214BD9-B1AA-437E-9F2A-96512D1FC1EF}" name="SEL" dataDxfId="95"/>
    <tableColumn id="3" xr3:uid="{DEF1622E-55E3-4D12-BCF7-2C2AD5CA979E}" name="RAB" dataDxfId="94"/>
    <tableColumn id="4" xr3:uid="{F867F210-9EED-4C0D-8B37-DA1447D6A197}" name="KAM" dataDxfId="93"/>
    <tableColumn id="5" xr3:uid="{CE9078E8-C980-4A0A-A8D3-2FD8424176E3}" name="JUM" dataDxfId="92"/>
    <tableColumn id="6" xr3:uid="{515CFAB1-C4A6-417A-9486-443828202D84}" name="SAB" dataDxfId="91"/>
    <tableColumn id="7" xr3:uid="{4B8E7248-85D1-4C1F-B418-3B6A982A7CFB}" name="MIN" dataDxfId="90"/>
  </tableColumns>
  <tableStyleInfo showFirstColumn="0" showLastColumn="0" showRowStripes="0" showColumnStripes="0"/>
  <extLst>
    <ext xmlns:x14="http://schemas.microsoft.com/office/spreadsheetml/2009/9/main" uri="{504A1905-F514-4f6f-8877-14C23A59335A}">
      <x14:table altTextSummary="Kalender Oktober dalam tabel ini diperbarui otomatis dengan nama hari kerja dan tanggal"/>
    </ext>
  </extLst>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sember" displayName="Desember" ref="K49:Q55" totalsRowShown="0" headerRowDxfId="89" dataDxfId="88">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SEN" dataDxfId="87"/>
    <tableColumn id="2" xr3:uid="{0B2EF454-81AB-4D52-AA3C-B690EE44D185}" name="SEL" dataDxfId="86"/>
    <tableColumn id="3" xr3:uid="{330729B5-C644-4537-822D-A57AA2A6AFCB}" name="RAB" dataDxfId="85"/>
    <tableColumn id="4" xr3:uid="{B075B448-2CB0-4CF8-8793-E5F852FB6BF4}" name="KAM" dataDxfId="84"/>
    <tableColumn id="5" xr3:uid="{3DD95F2E-3155-449D-8E77-13FA75DB345D}" name="JUM" dataDxfId="83"/>
    <tableColumn id="6" xr3:uid="{14159A6B-D249-4320-B25E-77E7CE8A7B70}" name="SAB" dataDxfId="82"/>
    <tableColumn id="7" xr3:uid="{120B0F7F-66B4-43D6-A5A0-273402CB3A21}" name="MIN" dataDxfId="81"/>
  </tableColumns>
  <tableStyleInfo showFirstColumn="0" showLastColumn="0" showRowStripes="0" showColumnStripes="0"/>
  <extLst>
    <ext xmlns:x14="http://schemas.microsoft.com/office/spreadsheetml/2009/9/main" uri="{504A1905-F514-4f6f-8877-14C23A59335A}">
      <x14:table altTextSummary="Kalender Desember dalam tabel ini diperbarui otomatis dengan nama hari kerja dan tanggal"/>
    </ext>
  </extLst>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9:I55" totalsRowShown="0" headerRowDxfId="80" dataDxfId="79">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SEN" dataDxfId="78"/>
    <tableColumn id="2" xr3:uid="{1938D43D-8FD5-4C3A-BBDE-168F7D05611A}" name="SEL" dataDxfId="77"/>
    <tableColumn id="3" xr3:uid="{4842CF04-FF41-4DB4-969F-4FF7FB3902A6}" name="RAB" dataDxfId="76"/>
    <tableColumn id="4" xr3:uid="{E599A265-8BBA-452F-8721-124F4941D44A}" name="KAM" dataDxfId="75"/>
    <tableColumn id="5" xr3:uid="{503B45A2-4B8C-40CA-A557-BE247E21EBE0}" name="JUM" dataDxfId="74"/>
    <tableColumn id="6" xr3:uid="{11596C05-FA11-4530-A6EA-61D3235356BC}" name="SAB" dataDxfId="73"/>
    <tableColumn id="7" xr3:uid="{0AEE3C18-6495-4572-AF73-82B176FF576D}" name="MIN" dataDxfId="72"/>
  </tableColumns>
  <tableStyleInfo showFirstColumn="0" showLastColumn="0" showRowStripes="0" showColumnStripes="0"/>
  <extLst>
    <ext xmlns:x14="http://schemas.microsoft.com/office/spreadsheetml/2009/9/main" uri="{504A1905-F514-4f6f-8877-14C23A59335A}">
      <x14:table altTextSummary="Kalender November dalam tabel ini diperbarui otomatis dengan nama hari kerja dan tanggal"/>
    </ext>
  </extLst>
</table>
</file>

<file path=xl/tables/table5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gustus" displayName="Agustus" ref="K31:Q37" totalsRowShown="0" headerRowDxfId="71" dataDxfId="70">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SEN" dataDxfId="69"/>
    <tableColumn id="2" xr3:uid="{2ADFD18E-73CF-40C6-9E7E-AC4C740BC59D}" name="SEL" dataDxfId="68"/>
    <tableColumn id="3" xr3:uid="{BBC74DA7-83A6-4D91-BF4B-5F328BDDADC6}" name="RAB" dataDxfId="67"/>
    <tableColumn id="4" xr3:uid="{8C330E47-2E4D-412E-815A-0394E6AE9382}" name="KAM" dataDxfId="66"/>
    <tableColumn id="5" xr3:uid="{7DE51A02-5E8E-45A2-8DAD-8BCA97881B5B}" name="JUM" dataDxfId="65"/>
    <tableColumn id="6" xr3:uid="{F1DBB649-6704-4D40-9CEA-DF15F983A06C}" name="SAB" dataDxfId="64"/>
    <tableColumn id="7" xr3:uid="{51A41C29-8B84-44D3-9FBF-8CFD330AE630}" name="MIN" dataDxfId="63"/>
  </tableColumns>
  <tableStyleInfo showFirstColumn="0" showLastColumn="0" showRowStripes="0" showColumnStripes="0"/>
  <extLst>
    <ext xmlns:x14="http://schemas.microsoft.com/office/spreadsheetml/2009/9/main" uri="{504A1905-F514-4f6f-8877-14C23A59335A}">
      <x14:table altTextSummary="Kalender Agustus dalam tabel ini diperbarui otomatis dengan nama hari kerja dan tanggal"/>
    </ext>
  </extLst>
</table>
</file>

<file path=xl/tables/table6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i" displayName="Juli" ref="C31:I37" totalsRowShown="0" headerRowDxfId="62" dataDxfId="61">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SEN" dataDxfId="60"/>
    <tableColumn id="2" xr3:uid="{568E5AFD-291F-45CA-83FA-D2B689223DA6}" name="SEL" dataDxfId="59"/>
    <tableColumn id="3" xr3:uid="{C8C03194-1D08-49BA-A13F-C8057F21DCFD}" name="RAB" dataDxfId="58"/>
    <tableColumn id="4" xr3:uid="{FA9F7A80-5142-4B66-A4DB-DD0C92AD12F8}" name="KAM" dataDxfId="57"/>
    <tableColumn id="5" xr3:uid="{B161F7ED-ED60-4234-A636-5B7151552BEE}" name="JUM" dataDxfId="56"/>
    <tableColumn id="6" xr3:uid="{B35D3CFE-C366-4BB1-8DB2-4AA956526C0F}" name="SAB" dataDxfId="55"/>
    <tableColumn id="7" xr3:uid="{AE059A51-FD33-4417-8D42-3C2CFA91888E}" name="MIN" dataDxfId="54"/>
  </tableColumns>
  <tableStyleInfo showFirstColumn="0" showLastColumn="0" showRowStripes="0" showColumnStripes="0"/>
  <extLst>
    <ext xmlns:x14="http://schemas.microsoft.com/office/spreadsheetml/2009/9/main" uri="{504A1905-F514-4f6f-8877-14C23A59335A}">
      <x14:table altTextSummary="Kalender Juli dalam tabel ini diperbarui otomatis dengan nama hari kerja dan tanggal"/>
    </ext>
  </extLst>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i" displayName="Juni" ref="K22:Q28" totalsRowShown="0" headerRowDxfId="53" dataDxfId="52">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SEN" dataDxfId="51"/>
    <tableColumn id="2" xr3:uid="{C194C86A-B8C3-4374-966A-22BFA0B87048}" name="SEL" dataDxfId="50"/>
    <tableColumn id="3" xr3:uid="{59B5196A-9902-475A-80A7-EFF51EFA062C}" name="RAB" dataDxfId="49"/>
    <tableColumn id="4" xr3:uid="{40178AF9-C419-4535-8950-10F3AF777975}" name="KAM" dataDxfId="48"/>
    <tableColumn id="5" xr3:uid="{BDB3553D-E653-45F5-90BF-B9941CEE517B}" name="JUM" dataDxfId="47"/>
    <tableColumn id="6" xr3:uid="{C391E899-8C56-4F85-BC13-979EA10FF077}" name="SAB" dataDxfId="46"/>
    <tableColumn id="7" xr3:uid="{AF6B7E0C-93D9-4615-ABA0-6086AA3DDB65}" name="MIN" dataDxfId="45"/>
  </tableColumns>
  <tableStyleInfo showFirstColumn="0" showLastColumn="0" showRowStripes="0" showColumnStripes="0"/>
  <extLst>
    <ext xmlns:x14="http://schemas.microsoft.com/office/spreadsheetml/2009/9/main" uri="{504A1905-F514-4f6f-8877-14C23A59335A}">
      <x14:table altTextSummary="Kalender Juni dalam tabel ini diperbarui otomatis dengan nama hari kerja dan tanggal"/>
    </ext>
  </extLst>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ei" displayName="Mei" ref="C22:I28" totalsRowShown="0" headerRowDxfId="44" dataDxfId="43">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SEN" dataDxfId="42"/>
    <tableColumn id="2" xr3:uid="{0D18FAF9-1362-4AF0-B56F-782045BC6DB7}" name="SEL" dataDxfId="41"/>
    <tableColumn id="3" xr3:uid="{8FBCF9B5-6CA8-4EB0-9DF9-D8F0F6F9C6BC}" name="RAB" dataDxfId="40"/>
    <tableColumn id="4" xr3:uid="{4F7F0F7F-47CD-4FF1-9E35-1B24099D080C}" name="KAM" dataDxfId="39"/>
    <tableColumn id="5" xr3:uid="{DF92B16F-6BC5-4BDE-98FB-CDC534ADD668}" name="JUM" dataDxfId="38"/>
    <tableColumn id="6" xr3:uid="{D029CFB9-380E-45BB-8A4B-FA3072C21946}" name="SAB" dataDxfId="37"/>
    <tableColumn id="7" xr3:uid="{478495E3-4C1A-4928-9264-BB651B96552E}" name="MIN" dataDxfId="36"/>
  </tableColumns>
  <tableStyleInfo showFirstColumn="0" showLastColumn="0" showRowStripes="0" showColumnStripes="0"/>
  <extLst>
    <ext xmlns:x14="http://schemas.microsoft.com/office/spreadsheetml/2009/9/main" uri="{504A1905-F514-4f6f-8877-14C23A59335A}">
      <x14:table altTextSummary="Kalender Mei dalam tabel ini diperbarui otomatis dengan nama hari kerja dan tanggal"/>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et" displayName="Maret" ref="C13:I19" totalsRowShown="0" headerRowDxfId="35" dataDxfId="34">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EN" dataDxfId="33"/>
    <tableColumn id="2" xr3:uid="{DD8FDA0B-3E4D-4BE5-ABD0-6A4A10D7346F}" name="SEL" dataDxfId="32"/>
    <tableColumn id="3" xr3:uid="{525A03B4-FE60-4320-8824-28642BB0B1ED}" name="RAB" dataDxfId="31"/>
    <tableColumn id="4" xr3:uid="{AFB9B421-9871-4103-9D22-CD1267615538}" name="KAM" dataDxfId="30"/>
    <tableColumn id="5" xr3:uid="{F3F809D4-B280-4CB6-AD4F-5694D0CD7653}" name="JUM" dataDxfId="29"/>
    <tableColumn id="6" xr3:uid="{43B35C36-7B34-4608-8FC7-292BFAB1A110}" name="SAB" dataDxfId="28"/>
    <tableColumn id="7" xr3:uid="{2A162B00-2D10-4072-99A5-4D8A31ECAC84}" name="MIN" dataDxfId="27"/>
  </tableColumns>
  <tableStyleInfo showFirstColumn="0" showLastColumn="0" showRowStripes="0" showColumnStripes="0"/>
  <extLst>
    <ext xmlns:x14="http://schemas.microsoft.com/office/spreadsheetml/2009/9/main" uri="{504A1905-F514-4f6f-8877-14C23A59335A}">
      <x14:table altTextSummary="Kalender Maret dalam tabel ini diperbarui otomatis dengan nama hari kerja dan tanggal"/>
    </ext>
  </extLst>
</table>
</file>

<file path=xl/theme/_rels/theme11.xml.rels>&#65279;<?xml version="1.0" encoding="utf-8"?><Relationships xmlns="http://schemas.openxmlformats.org/package/2006/relationships"><Relationship Type="http://schemas.openxmlformats.org/officeDocument/2006/relationships/image" Target="/xl/media/image2.jpeg" Id="rId2" /><Relationship Type="http://schemas.openxmlformats.org/officeDocument/2006/relationships/image" Target="/xl/media/image12.jpeg" Id="rId1" /></Relationships>
</file>

<file path=xl/theme/theme1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41.xml" Id="rId8" /><Relationship Type="http://schemas.openxmlformats.org/officeDocument/2006/relationships/table" Target="/xl/tables/table92.xml" Id="rId13" /><Relationship Type="http://schemas.openxmlformats.org/officeDocument/2006/relationships/vmlDrawing" Target="/xl/drawings/vmlDrawing1.vml" Id="rId3" /><Relationship Type="http://schemas.openxmlformats.org/officeDocument/2006/relationships/table" Target="/xl/tables/table33.xml" Id="rId7" /><Relationship Type="http://schemas.openxmlformats.org/officeDocument/2006/relationships/table" Target="/xl/tables/table84.xml" Id="rId12" /><Relationship Type="http://schemas.openxmlformats.org/officeDocument/2006/relationships/drawing" Target="/xl/drawings/drawing11.xml" Id="rId2" /><Relationship Type="http://schemas.openxmlformats.org/officeDocument/2006/relationships/table" Target="/xl/tables/table125.xml" Id="rId16" /><Relationship Type="http://schemas.openxmlformats.org/officeDocument/2006/relationships/printerSettings" Target="/xl/printerSettings/printerSettings21.bin" Id="rId1" /><Relationship Type="http://schemas.openxmlformats.org/officeDocument/2006/relationships/table" Target="/xl/tables/table26.xml" Id="rId6" /><Relationship Type="http://schemas.openxmlformats.org/officeDocument/2006/relationships/table" Target="/xl/tables/table77.xml" Id="rId11" /><Relationship Type="http://schemas.openxmlformats.org/officeDocument/2006/relationships/table" Target="/xl/tables/table18.xml" Id="rId5" /><Relationship Type="http://schemas.openxmlformats.org/officeDocument/2006/relationships/table" Target="/xl/tables/table119.xml" Id="rId15" /><Relationship Type="http://schemas.openxmlformats.org/officeDocument/2006/relationships/table" Target="/xl/tables/table610.xml" Id="rId10" /><Relationship Type="http://schemas.openxmlformats.org/officeDocument/2006/relationships/ctrlProp" Target="/xl/ctrlProps/ctrlProp1.xml" Id="rId4" /><Relationship Type="http://schemas.openxmlformats.org/officeDocument/2006/relationships/table" Target="/xl/tables/table511.xml" Id="rId9" /><Relationship Type="http://schemas.openxmlformats.org/officeDocument/2006/relationships/table" Target="/xl/tables/table1012.xml" Id="rId1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A67F1-E720-4B76-B254-0DA3BCA662D8}">
  <sheetPr>
    <tabColor theme="7" tint="-0.249977111117893"/>
    <pageSetUpPr fitToPage="1"/>
  </sheetPr>
  <dimension ref="B1:B8"/>
  <sheetViews>
    <sheetView showGridLines="0" tabSelected="1" workbookViewId="0"/>
  </sheetViews>
  <sheetFormatPr defaultRowHeight="11.25" x14ac:dyDescent="0.2"/>
  <cols>
    <col min="1" max="1" width="2.83203125" customWidth="1"/>
    <col min="2" max="2" width="92.83203125" style="22" customWidth="1"/>
    <col min="3" max="3" width="2.83203125" customWidth="1"/>
  </cols>
  <sheetData>
    <row r="1" spans="2:2" ht="30" customHeight="1" x14ac:dyDescent="0.2">
      <c r="B1" s="19" t="s">
        <v>0</v>
      </c>
    </row>
    <row r="2" spans="2:2" ht="30" customHeight="1" x14ac:dyDescent="0.2">
      <c r="B2" s="18" t="s">
        <v>1</v>
      </c>
    </row>
    <row r="3" spans="2:2" ht="30" customHeight="1" x14ac:dyDescent="0.2">
      <c r="B3" s="18" t="s">
        <v>2</v>
      </c>
    </row>
    <row r="4" spans="2:2" ht="30" customHeight="1" x14ac:dyDescent="0.2">
      <c r="B4" s="18" t="s">
        <v>3</v>
      </c>
    </row>
    <row r="5" spans="2:2" ht="30" customHeight="1" x14ac:dyDescent="0.25">
      <c r="B5" s="21" t="s">
        <v>4</v>
      </c>
    </row>
    <row r="6" spans="2:2" ht="48" customHeight="1" x14ac:dyDescent="0.2">
      <c r="B6" s="26" t="s">
        <v>5</v>
      </c>
    </row>
    <row r="7" spans="2:2" ht="30" x14ac:dyDescent="0.2">
      <c r="B7" s="20" t="s">
        <v>6</v>
      </c>
    </row>
    <row r="8" spans="2:2" ht="15" x14ac:dyDescent="0.2">
      <c r="B8" s="18"/>
    </row>
  </sheetData>
  <printOptions horizontalCentered="1" verticalCentered="1"/>
  <pageMargins left="0.5" right="0.5" top="0.5" bottom="0.5" header="0.3" footer="0.3"/>
  <pageSetup paperSize="9"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O69"/>
  <sheetViews>
    <sheetView showGridLines="0" zoomScaleNormal="100" workbookViewId="0"/>
  </sheetViews>
  <sheetFormatPr defaultColWidth="9.5" defaultRowHeight="11.25" x14ac:dyDescent="0.2"/>
  <cols>
    <col min="1" max="1" width="2.5" style="25" customWidth="1"/>
    <col min="2" max="2" width="5.1640625" customWidth="1"/>
    <col min="3" max="3" width="6.83203125" customWidth="1"/>
    <col min="4" max="4" width="7.6640625" customWidth="1"/>
    <col min="5" max="5" width="6.5" customWidth="1"/>
    <col min="6" max="6" width="7.33203125" customWidth="1"/>
    <col min="7" max="7" width="6.83203125" customWidth="1"/>
    <col min="8" max="8" width="6" customWidth="1"/>
    <col min="9" max="9" width="6.5" customWidth="1"/>
    <col min="10" max="11" width="5" customWidth="1"/>
    <col min="12" max="12" width="5.33203125" customWidth="1"/>
    <col min="13" max="13" width="5" customWidth="1"/>
    <col min="14" max="14" width="5.33203125" customWidth="1"/>
    <col min="15" max="15" width="5.5" customWidth="1"/>
    <col min="16" max="16" width="5" customWidth="1"/>
    <col min="17" max="17" width="5.5" customWidth="1"/>
    <col min="18" max="18" width="2.1640625" customWidth="1"/>
    <col min="19" max="19" width="1.1640625" customWidth="1"/>
    <col min="20" max="20" width="5.1640625" customWidth="1"/>
    <col min="21" max="21" width="42" customWidth="1"/>
    <col min="22" max="22" width="9.33203125" customWidth="1"/>
    <col min="23" max="23" width="13.5" customWidth="1"/>
    <col min="24" max="24" width="2.83203125" customWidth="1"/>
    <col min="25" max="43" width="9.33203125" customWidth="1"/>
    <col min="44" max="44" width="9.5" customWidth="1"/>
  </cols>
  <sheetData>
    <row r="1" spans="1:41" ht="30" customHeight="1" x14ac:dyDescent="0.2">
      <c r="A1" s="23" t="s">
        <v>7</v>
      </c>
      <c r="B1" s="10"/>
      <c r="C1" s="32">
        <v>2022</v>
      </c>
      <c r="D1" s="32"/>
      <c r="E1" s="32"/>
      <c r="F1" s="32"/>
      <c r="G1" s="11"/>
      <c r="H1" s="12"/>
      <c r="I1" s="12"/>
      <c r="J1" s="12"/>
      <c r="K1" s="12"/>
      <c r="L1" s="12"/>
      <c r="M1" s="12"/>
      <c r="N1" s="12"/>
      <c r="O1" s="12"/>
      <c r="P1" s="12"/>
      <c r="Q1" s="12"/>
      <c r="R1" s="12"/>
      <c r="S1" s="10"/>
      <c r="T1" s="10"/>
      <c r="U1" s="13" t="s">
        <v>45</v>
      </c>
      <c r="V1" s="10"/>
      <c r="W1" s="10"/>
    </row>
    <row r="2" spans="1:41" ht="15" customHeight="1" x14ac:dyDescent="0.2">
      <c r="A2" s="24" t="s">
        <v>8</v>
      </c>
      <c r="B2" s="27" t="s">
        <v>25</v>
      </c>
      <c r="C2" s="27"/>
      <c r="D2" s="27"/>
      <c r="E2" s="27"/>
      <c r="F2" s="27"/>
      <c r="G2" s="27"/>
      <c r="H2" s="27"/>
      <c r="I2" s="27"/>
      <c r="J2" s="27"/>
      <c r="S2" s="3"/>
    </row>
    <row r="3" spans="1:41" ht="15" customHeight="1" x14ac:dyDescent="0.25">
      <c r="A3" s="25" t="s">
        <v>9</v>
      </c>
      <c r="C3" s="33" t="s">
        <v>26</v>
      </c>
      <c r="D3" s="33"/>
      <c r="E3" s="33"/>
      <c r="F3" s="33"/>
      <c r="G3" s="33"/>
      <c r="H3" s="33"/>
      <c r="I3" s="33"/>
      <c r="J3" s="2"/>
      <c r="K3" s="34" t="s">
        <v>39</v>
      </c>
      <c r="L3" s="34"/>
      <c r="M3" s="34"/>
      <c r="N3" s="34"/>
      <c r="O3" s="34"/>
      <c r="P3" s="34"/>
      <c r="Q3" s="34"/>
      <c r="S3" s="3"/>
      <c r="U3" s="16" t="s">
        <v>46</v>
      </c>
      <c r="V3" s="1"/>
      <c r="W3" s="1"/>
    </row>
    <row r="4" spans="1:41" ht="15" customHeight="1" x14ac:dyDescent="0.2">
      <c r="A4" s="24" t="s">
        <v>10</v>
      </c>
      <c r="C4" s="17" t="s">
        <v>27</v>
      </c>
      <c r="D4" s="17" t="s">
        <v>33</v>
      </c>
      <c r="E4" s="17" t="s">
        <v>34</v>
      </c>
      <c r="F4" s="17" t="s">
        <v>35</v>
      </c>
      <c r="G4" s="17" t="s">
        <v>36</v>
      </c>
      <c r="H4" s="17" t="s">
        <v>37</v>
      </c>
      <c r="I4" s="17" t="s">
        <v>38</v>
      </c>
      <c r="J4" s="1"/>
      <c r="K4" s="17" t="s">
        <v>27</v>
      </c>
      <c r="L4" s="17" t="s">
        <v>33</v>
      </c>
      <c r="M4" s="17" t="s">
        <v>34</v>
      </c>
      <c r="N4" s="17" t="s">
        <v>35</v>
      </c>
      <c r="O4" s="17" t="s">
        <v>36</v>
      </c>
      <c r="P4" s="17" t="s">
        <v>37</v>
      </c>
      <c r="Q4" s="17" t="s">
        <v>38</v>
      </c>
      <c r="S4" s="3"/>
      <c r="U4" s="9" t="s">
        <v>47</v>
      </c>
      <c r="V4" s="1"/>
      <c r="W4" s="1"/>
    </row>
    <row r="5" spans="1:41" ht="15" customHeight="1" x14ac:dyDescent="0.2">
      <c r="A5" s="24"/>
      <c r="C5" s="31" t="str">
        <f>IF(DAY(JanSun1)=1,"",IF(AND(YEAR(JanSun1+1)=TahunKalender,MONTH(JanSun1+1)=1),JanSun1+1,""))</f>
        <v/>
      </c>
      <c r="D5" s="31" t="str">
        <f>IF(DAY(JanSun1)=1,"",IF(AND(YEAR(JanSun1+2)=TahunKalender,MONTH(JanSun1+2)=1),JanSun1+2,""))</f>
        <v/>
      </c>
      <c r="E5" s="31" t="str">
        <f>IF(DAY(JanSun1)=1,"",IF(AND(YEAR(JanSun1+3)=TahunKalender,MONTH(JanSun1+3)=1),JanSun1+3,""))</f>
        <v/>
      </c>
      <c r="F5" s="31" t="str">
        <f>IF(DAY(JanSun1)=1,"",IF(AND(YEAR(JanSun1+4)=TahunKalender,MONTH(JanSun1+4)=1),JanSun1+4,""))</f>
        <v/>
      </c>
      <c r="G5" s="31" t="str">
        <f>IF(DAY(JanSun1)=1,"",IF(AND(YEAR(JanSun1+5)=TahunKalender,MONTH(JanSun1+5)=1),JanSun1+5,""))</f>
        <v/>
      </c>
      <c r="H5" s="31">
        <f>IF(DAY(JanSun1)=1,"",IF(AND(YEAR(JanSun1+6)=TahunKalender,MONTH(JanSun1+6)=1),JanSun1+6,""))</f>
        <v>44562</v>
      </c>
      <c r="I5" s="31">
        <f>IF(DAY(JanSun1)=1,IF(AND(YEAR(JanSun1)=TahunKalender,MONTH(JanSun1)=1),JanSun1,""),IF(AND(YEAR(JanSun1+7)=TahunKalender,MONTH(JanSun1+7)=1),JanSun1+7,""))</f>
        <v>44563</v>
      </c>
      <c r="J5" s="28"/>
      <c r="K5" s="31" t="str">
        <f>IF(DAY(FebSun1)=1,"",IF(AND(YEAR(FebSun1+1)=TahunKalender,MONTH(FebSun1+1)=2),FebSun1+1,""))</f>
        <v/>
      </c>
      <c r="L5" s="31">
        <f>IF(DAY(FebSun1)=1,"",IF(AND(YEAR(FebSun1+2)=TahunKalender,MONTH(FebSun1+2)=2),FebSun1+2,""))</f>
        <v>44593</v>
      </c>
      <c r="M5" s="31">
        <f>IF(DAY(FebSun1)=1,"",IF(AND(YEAR(FebSun1+3)=TahunKalender,MONTH(FebSun1+3)=2),FebSun1+3,""))</f>
        <v>44594</v>
      </c>
      <c r="N5" s="31">
        <f>IF(DAY(FebSun1)=1,"",IF(AND(YEAR(FebSun1+4)=TahunKalender,MONTH(FebSun1+4)=2),FebSun1+4,""))</f>
        <v>44595</v>
      </c>
      <c r="O5" s="31">
        <f>IF(DAY(FebSun1)=1,"",IF(AND(YEAR(FebSun1+5)=TahunKalender,MONTH(FebSun1+5)=2),FebSun1+5,""))</f>
        <v>44596</v>
      </c>
      <c r="P5" s="31">
        <f>IF(DAY(FebSun1)=1,"",IF(AND(YEAR(FebSun1+6)=TahunKalender,MONTH(FebSun1+6)=2),FebSun1+6,""))</f>
        <v>44597</v>
      </c>
      <c r="Q5" s="31">
        <f>IF(DAY(FebSun1)=1,IF(AND(YEAR(FebSun1)=TahunKalender,MONTH(FebSun1)=2),FebSun1,""),IF(AND(YEAR(FebSun1+7)=TahunKalender,MONTH(FebSun1+7)=2),FebSun1+7,""))</f>
        <v>44598</v>
      </c>
      <c r="S5" s="3"/>
      <c r="U5" s="6"/>
      <c r="V5" s="1"/>
      <c r="W5" s="1"/>
    </row>
    <row r="6" spans="1:41" ht="15" customHeight="1" x14ac:dyDescent="0.2">
      <c r="A6" s="24"/>
      <c r="C6" s="31">
        <f>IF(DAY(JanSun1)=1,IF(AND(YEAR(JanSun1+1)=TahunKalender,MONTH(JanSun1+1)=1),JanSun1+1,""),IF(AND(YEAR(JanSun1+8)=TahunKalender,MONTH(JanSun1+8)=1),JanSun1+8,""))</f>
        <v>44564</v>
      </c>
      <c r="D6" s="31">
        <f>IF(DAY(JanSun1)=1,IF(AND(YEAR(JanSun1+2)=TahunKalender,MONTH(JanSun1+2)=1),JanSun1+2,""),IF(AND(YEAR(JanSun1+9)=TahunKalender,MONTH(JanSun1+9)=1),JanSun1+9,""))</f>
        <v>44565</v>
      </c>
      <c r="E6" s="31">
        <f>IF(DAY(JanSun1)=1,IF(AND(YEAR(JanSun1+3)=TahunKalender,MONTH(JanSun1+3)=1),JanSun1+3,""),IF(AND(YEAR(JanSun1+10)=TahunKalender,MONTH(JanSun1+10)=1),JanSun1+10,""))</f>
        <v>44566</v>
      </c>
      <c r="F6" s="31">
        <f>IF(DAY(JanSun1)=1,IF(AND(YEAR(JanSun1+4)=TahunKalender,MONTH(JanSun1+4)=1),JanSun1+4,""),IF(AND(YEAR(JanSun1+11)=TahunKalender,MONTH(JanSun1+11)=1),JanSun1+11,""))</f>
        <v>44567</v>
      </c>
      <c r="G6" s="31">
        <f>IF(DAY(JanSun1)=1,IF(AND(YEAR(JanSun1+5)=TahunKalender,MONTH(JanSun1+5)=1),JanSun1+5,""),IF(AND(YEAR(JanSun1+12)=TahunKalender,MONTH(JanSun1+12)=1),JanSun1+12,""))</f>
        <v>44568</v>
      </c>
      <c r="H6" s="31">
        <f>IF(DAY(JanSun1)=1,IF(AND(YEAR(JanSun1+6)=TahunKalender,MONTH(JanSun1+6)=1),JanSun1+6,""),IF(AND(YEAR(JanSun1+13)=TahunKalender,MONTH(JanSun1+13)=1),JanSun1+13,""))</f>
        <v>44569</v>
      </c>
      <c r="I6" s="31">
        <f>IF(DAY(JanSun1)=1,IF(AND(YEAR(JanSun1+7)=TahunKalender,MONTH(JanSun1+7)=1),JanSun1+7,""),IF(AND(YEAR(JanSun1+14)=TahunKalender,MONTH(JanSun1+14)=1),JanSun1+14,""))</f>
        <v>44570</v>
      </c>
      <c r="J6" s="28"/>
      <c r="K6" s="31">
        <f>IF(DAY(FebSun1)=1,IF(AND(YEAR(FebSun1+1)=TahunKalender,MONTH(FebSun1+1)=2),FebSun1+1,""),IF(AND(YEAR(FebSun1+8)=TahunKalender,MONTH(FebSun1+8)=2),FebSun1+8,""))</f>
        <v>44599</v>
      </c>
      <c r="L6" s="31">
        <f>IF(DAY(FebSun1)=1,IF(AND(YEAR(FebSun1+2)=TahunKalender,MONTH(FebSun1+2)=2),FebSun1+2,""),IF(AND(YEAR(FebSun1+9)=TahunKalender,MONTH(FebSun1+9)=2),FebSun1+9,""))</f>
        <v>44600</v>
      </c>
      <c r="M6" s="31">
        <f>IF(DAY(FebSun1)=1,IF(AND(YEAR(FebSun1+3)=TahunKalender,MONTH(FebSun1+3)=2),FebSun1+3,""),IF(AND(YEAR(FebSun1+10)=TahunKalender,MONTH(FebSun1+10)=2),FebSun1+10,""))</f>
        <v>44601</v>
      </c>
      <c r="N6" s="31">
        <f>IF(DAY(FebSun1)=1,IF(AND(YEAR(FebSun1+4)=TahunKalender,MONTH(FebSun1+4)=2),FebSun1+4,""),IF(AND(YEAR(FebSun1+11)=TahunKalender,MONTH(FebSun1+11)=2),FebSun1+11,""))</f>
        <v>44602</v>
      </c>
      <c r="O6" s="31">
        <f>IF(DAY(FebSun1)=1,IF(AND(YEAR(FebSun1+5)=TahunKalender,MONTH(FebSun1+5)=2),FebSun1+5,""),IF(AND(YEAR(FebSun1+12)=TahunKalender,MONTH(FebSun1+12)=2),FebSun1+12,""))</f>
        <v>44603</v>
      </c>
      <c r="P6" s="31">
        <f>IF(DAY(FebSun1)=1,IF(AND(YEAR(FebSun1+6)=TahunKalender,MONTH(FebSun1+6)=2),FebSun1+6,""),IF(AND(YEAR(FebSun1+13)=TahunKalender,MONTH(FebSun1+13)=2),FebSun1+13,""))</f>
        <v>44604</v>
      </c>
      <c r="Q6" s="31">
        <f>IF(DAY(FebSun1)=1,IF(AND(YEAR(FebSun1+7)=TahunKalender,MONTH(FebSun1+7)=2),FebSun1+7,""),IF(AND(YEAR(FebSun1+14)=TahunKalender,MONTH(FebSun1+14)=2),FebSun1+14,""))</f>
        <v>44605</v>
      </c>
      <c r="S6" s="3"/>
      <c r="U6" s="16" t="s">
        <v>48</v>
      </c>
      <c r="V6" s="1"/>
      <c r="W6" s="1"/>
    </row>
    <row r="7" spans="1:41" ht="15" customHeight="1" x14ac:dyDescent="0.2">
      <c r="C7" s="31">
        <f>IF(DAY(JanSun1)=1,IF(AND(YEAR(JanSun1+8)=TahunKalender,MONTH(JanSun1+8)=1),JanSun1+8,""),IF(AND(YEAR(JanSun1+15)=TahunKalender,MONTH(JanSun1+15)=1),JanSun1+15,""))</f>
        <v>44571</v>
      </c>
      <c r="D7" s="31">
        <f>IF(DAY(JanSun1)=1,IF(AND(YEAR(JanSun1+9)=TahunKalender,MONTH(JanSun1+9)=1),JanSun1+9,""),IF(AND(YEAR(JanSun1+16)=TahunKalender,MONTH(JanSun1+16)=1),JanSun1+16,""))</f>
        <v>44572</v>
      </c>
      <c r="E7" s="31">
        <f>IF(DAY(JanSun1)=1,IF(AND(YEAR(JanSun1+10)=TahunKalender,MONTH(JanSun1+10)=1),JanSun1+10,""),IF(AND(YEAR(JanSun1+17)=TahunKalender,MONTH(JanSun1+17)=1),JanSun1+17,""))</f>
        <v>44573</v>
      </c>
      <c r="F7" s="31">
        <f>IF(DAY(JanSun1)=1,IF(AND(YEAR(JanSun1+11)=TahunKalender,MONTH(JanSun1+11)=1),JanSun1+11,""),IF(AND(YEAR(JanSun1+18)=TahunKalender,MONTH(JanSun1+18)=1),JanSun1+18,""))</f>
        <v>44574</v>
      </c>
      <c r="G7" s="31">
        <f>IF(DAY(JanSun1)=1,IF(AND(YEAR(JanSun1+12)=TahunKalender,MONTH(JanSun1+12)=1),JanSun1+12,""),IF(AND(YEAR(JanSun1+19)=TahunKalender,MONTH(JanSun1+19)=1),JanSun1+19,""))</f>
        <v>44575</v>
      </c>
      <c r="H7" s="31">
        <f>IF(DAY(JanSun1)=1,IF(AND(YEAR(JanSun1+13)=TahunKalender,MONTH(JanSun1+13)=1),JanSun1+13,""),IF(AND(YEAR(JanSun1+20)=TahunKalender,MONTH(JanSun1+20)=1),JanSun1+20,""))</f>
        <v>44576</v>
      </c>
      <c r="I7" s="31">
        <f>IF(DAY(JanSun1)=1,IF(AND(YEAR(JanSun1+14)=TahunKalender,MONTH(JanSun1+14)=1),JanSun1+14,""),IF(AND(YEAR(JanSun1+21)=TahunKalender,MONTH(JanSun1+21)=1),JanSun1+21,""))</f>
        <v>44577</v>
      </c>
      <c r="J7" s="28"/>
      <c r="K7" s="31">
        <f>IF(DAY(FebSun1)=1,IF(AND(YEAR(FebSun1+8)=TahunKalender,MONTH(FebSun1+8)=2),FebSun1+8,""),IF(AND(YEAR(FebSun1+15)=TahunKalender,MONTH(FebSun1+15)=2),FebSun1+15,""))</f>
        <v>44606</v>
      </c>
      <c r="L7" s="31">
        <f>IF(DAY(FebSun1)=1,IF(AND(YEAR(FebSun1+9)=TahunKalender,MONTH(FebSun1+9)=2),FebSun1+9,""),IF(AND(YEAR(FebSun1+16)=TahunKalender,MONTH(FebSun1+16)=2),FebSun1+16,""))</f>
        <v>44607</v>
      </c>
      <c r="M7" s="31">
        <f>IF(DAY(FebSun1)=1,IF(AND(YEAR(FebSun1+10)=TahunKalender,MONTH(FebSun1+10)=2),FebSun1+10,""),IF(AND(YEAR(FebSun1+17)=TahunKalender,MONTH(FebSun1+17)=2),FebSun1+17,""))</f>
        <v>44608</v>
      </c>
      <c r="N7" s="31">
        <f>IF(DAY(FebSun1)=1,IF(AND(YEAR(FebSun1+11)=TahunKalender,MONTH(FebSun1+11)=2),FebSun1+11,""),IF(AND(YEAR(FebSun1+18)=TahunKalender,MONTH(FebSun1+18)=2),FebSun1+18,""))</f>
        <v>44609</v>
      </c>
      <c r="O7" s="31">
        <f>IF(DAY(FebSun1)=1,IF(AND(YEAR(FebSun1+12)=TahunKalender,MONTH(FebSun1+12)=2),FebSun1+12,""),IF(AND(YEAR(FebSun1+19)=TahunKalender,MONTH(FebSun1+19)=2),FebSun1+19,""))</f>
        <v>44610</v>
      </c>
      <c r="P7" s="31">
        <f>IF(DAY(FebSun1)=1,IF(AND(YEAR(FebSun1+13)=TahunKalender,MONTH(FebSun1+13)=2),FebSun1+13,""),IF(AND(YEAR(FebSun1+20)=TahunKalender,MONTH(FebSun1+20)=2),FebSun1+20,""))</f>
        <v>44611</v>
      </c>
      <c r="Q7" s="31">
        <f>IF(DAY(FebSun1)=1,IF(AND(YEAR(FebSun1+14)=TahunKalender,MONTH(FebSun1+14)=2),FebSun1+14,""),IF(AND(YEAR(FebSun1+21)=TahunKalender,MONTH(FebSun1+21)=2),FebSun1+21,""))</f>
        <v>44612</v>
      </c>
      <c r="S7" s="3"/>
      <c r="U7" s="9" t="s">
        <v>49</v>
      </c>
      <c r="V7" s="1"/>
      <c r="W7" s="1"/>
    </row>
    <row r="8" spans="1:41" ht="15" customHeight="1" x14ac:dyDescent="0.2">
      <c r="C8" s="31">
        <f>IF(DAY(JanSun1)=1,IF(AND(YEAR(JanSun1+15)=TahunKalender,MONTH(JanSun1+15)=1),JanSun1+15,""),IF(AND(YEAR(JanSun1+22)=TahunKalender,MONTH(JanSun1+22)=1),JanSun1+22,""))</f>
        <v>44578</v>
      </c>
      <c r="D8" s="31">
        <f>IF(DAY(JanSun1)=1,IF(AND(YEAR(JanSun1+16)=TahunKalender,MONTH(JanSun1+16)=1),JanSun1+16,""),IF(AND(YEAR(JanSun1+23)=TahunKalender,MONTH(JanSun1+23)=1),JanSun1+23,""))</f>
        <v>44579</v>
      </c>
      <c r="E8" s="31">
        <f>IF(DAY(JanSun1)=1,IF(AND(YEAR(JanSun1+17)=TahunKalender,MONTH(JanSun1+17)=1),JanSun1+17,""),IF(AND(YEAR(JanSun1+24)=TahunKalender,MONTH(JanSun1+24)=1),JanSun1+24,""))</f>
        <v>44580</v>
      </c>
      <c r="F8" s="31">
        <f>IF(DAY(JanSun1)=1,IF(AND(YEAR(JanSun1+18)=TahunKalender,MONTH(JanSun1+18)=1),JanSun1+18,""),IF(AND(YEAR(JanSun1+25)=TahunKalender,MONTH(JanSun1+25)=1),JanSun1+25,""))</f>
        <v>44581</v>
      </c>
      <c r="G8" s="31">
        <f>IF(DAY(JanSun1)=1,IF(AND(YEAR(JanSun1+19)=TahunKalender,MONTH(JanSun1+19)=1),JanSun1+19,""),IF(AND(YEAR(JanSun1+26)=TahunKalender,MONTH(JanSun1+26)=1),JanSun1+26,""))</f>
        <v>44582</v>
      </c>
      <c r="H8" s="31">
        <f>IF(DAY(JanSun1)=1,IF(AND(YEAR(JanSun1+20)=TahunKalender,MONTH(JanSun1+20)=1),JanSun1+20,""),IF(AND(YEAR(JanSun1+27)=TahunKalender,MONTH(JanSun1+27)=1),JanSun1+27,""))</f>
        <v>44583</v>
      </c>
      <c r="I8" s="31">
        <f>IF(DAY(JanSun1)=1,IF(AND(YEAR(JanSun1+21)=TahunKalender,MONTH(JanSun1+21)=1),JanSun1+21,""),IF(AND(YEAR(JanSun1+28)=TahunKalender,MONTH(JanSun1+28)=1),JanSun1+28,""))</f>
        <v>44584</v>
      </c>
      <c r="J8" s="28"/>
      <c r="K8" s="31">
        <f>IF(DAY(FebSun1)=1,IF(AND(YEAR(FebSun1+15)=TahunKalender,MONTH(FebSun1+15)=2),FebSun1+15,""),IF(AND(YEAR(FebSun1+22)=TahunKalender,MONTH(FebSun1+22)=2),FebSun1+22,""))</f>
        <v>44613</v>
      </c>
      <c r="L8" s="31">
        <f>IF(DAY(FebSun1)=1,IF(AND(YEAR(FebSun1+16)=TahunKalender,MONTH(FebSun1+16)=2),FebSun1+16,""),IF(AND(YEAR(FebSun1+23)=TahunKalender,MONTH(FebSun1+23)=2),FebSun1+23,""))</f>
        <v>44614</v>
      </c>
      <c r="M8" s="31">
        <f>IF(DAY(FebSun1)=1,IF(AND(YEAR(FebSun1+17)=TahunKalender,MONTH(FebSun1+17)=2),FebSun1+17,""),IF(AND(YEAR(FebSun1+24)=TahunKalender,MONTH(FebSun1+24)=2),FebSun1+24,""))</f>
        <v>44615</v>
      </c>
      <c r="N8" s="31">
        <f>IF(DAY(FebSun1)=1,IF(AND(YEAR(FebSun1+18)=TahunKalender,MONTH(FebSun1+18)=2),FebSun1+18,""),IF(AND(YEAR(FebSun1+25)=TahunKalender,MONTH(FebSun1+25)=2),FebSun1+25,""))</f>
        <v>44616</v>
      </c>
      <c r="O8" s="31">
        <f>IF(DAY(FebSun1)=1,IF(AND(YEAR(FebSun1+19)=TahunKalender,MONTH(FebSun1+19)=2),FebSun1+19,""),IF(AND(YEAR(FebSun1+26)=TahunKalender,MONTH(FebSun1+26)=2),FebSun1+26,""))</f>
        <v>44617</v>
      </c>
      <c r="P8" s="31">
        <f>IF(DAY(FebSun1)=1,IF(AND(YEAR(FebSun1+20)=TahunKalender,MONTH(FebSun1+20)=2),FebSun1+20,""),IF(AND(YEAR(FebSun1+27)=TahunKalender,MONTH(FebSun1+27)=2),FebSun1+27,""))</f>
        <v>44618</v>
      </c>
      <c r="Q8" s="31">
        <f>IF(DAY(FebSun1)=1,IF(AND(YEAR(FebSun1+21)=TahunKalender,MONTH(FebSun1+21)=2),FebSun1+21,""),IF(AND(YEAR(FebSun1+28)=TahunKalender,MONTH(FebSun1+28)=2),FebSun1+28,""))</f>
        <v>44619</v>
      </c>
      <c r="S8" s="3"/>
      <c r="U8" s="6"/>
      <c r="V8" s="1"/>
      <c r="W8" s="1"/>
    </row>
    <row r="9" spans="1:41" ht="15" customHeight="1" x14ac:dyDescent="0.2">
      <c r="C9" s="31">
        <f>IF(DAY(JanSun1)=1,IF(AND(YEAR(JanSun1+22)=TahunKalender,MONTH(JanSun1+22)=1),JanSun1+22,""),IF(AND(YEAR(JanSun1+29)=TahunKalender,MONTH(JanSun1+29)=1),JanSun1+29,""))</f>
        <v>44585</v>
      </c>
      <c r="D9" s="31">
        <f>IF(DAY(JanSun1)=1,IF(AND(YEAR(JanSun1+23)=TahunKalender,MONTH(JanSun1+23)=1),JanSun1+23,""),IF(AND(YEAR(JanSun1+30)=TahunKalender,MONTH(JanSun1+30)=1),JanSun1+30,""))</f>
        <v>44586</v>
      </c>
      <c r="E9" s="31">
        <f>IF(DAY(JanSun1)=1,IF(AND(YEAR(JanSun1+24)=TahunKalender,MONTH(JanSun1+24)=1),JanSun1+24,""),IF(AND(YEAR(JanSun1+31)=TahunKalender,MONTH(JanSun1+31)=1),JanSun1+31,""))</f>
        <v>44587</v>
      </c>
      <c r="F9" s="31">
        <f>IF(DAY(JanSun1)=1,IF(AND(YEAR(JanSun1+25)=TahunKalender,MONTH(JanSun1+25)=1),JanSun1+25,""),IF(AND(YEAR(JanSun1+32)=TahunKalender,MONTH(JanSun1+32)=1),JanSun1+32,""))</f>
        <v>44588</v>
      </c>
      <c r="G9" s="31">
        <f>IF(DAY(JanSun1)=1,IF(AND(YEAR(JanSun1+26)=TahunKalender,MONTH(JanSun1+26)=1),JanSun1+26,""),IF(AND(YEAR(JanSun1+33)=TahunKalender,MONTH(JanSun1+33)=1),JanSun1+33,""))</f>
        <v>44589</v>
      </c>
      <c r="H9" s="31">
        <f>IF(DAY(JanSun1)=1,IF(AND(YEAR(JanSun1+27)=TahunKalender,MONTH(JanSun1+27)=1),JanSun1+27,""),IF(AND(YEAR(JanSun1+34)=TahunKalender,MONTH(JanSun1+34)=1),JanSun1+34,""))</f>
        <v>44590</v>
      </c>
      <c r="I9" s="31">
        <f>IF(DAY(JanSun1)=1,IF(AND(YEAR(JanSun1+28)=TahunKalender,MONTH(JanSun1+28)=1),JanSun1+28,""),IF(AND(YEAR(JanSun1+35)=TahunKalender,MONTH(JanSun1+35)=1),JanSun1+35,""))</f>
        <v>44591</v>
      </c>
      <c r="J9" s="28"/>
      <c r="K9" s="31">
        <f>IF(DAY(FebSun1)=1,IF(AND(YEAR(FebSun1+22)=TahunKalender,MONTH(FebSun1+22)=2),FebSun1+22,""),IF(AND(YEAR(FebSun1+29)=TahunKalender,MONTH(FebSun1+29)=2),FebSun1+29,""))</f>
        <v>44620</v>
      </c>
      <c r="L9" s="31" t="str">
        <f>IF(DAY(FebSun1)=1,IF(AND(YEAR(FebSun1+23)=TahunKalender,MONTH(FebSun1+23)=2),FebSun1+23,""),IF(AND(YEAR(FebSun1+30)=TahunKalender,MONTH(FebSun1+30)=2),FebSun1+30,""))</f>
        <v/>
      </c>
      <c r="M9" s="31" t="str">
        <f>IF(DAY(FebSun1)=1,IF(AND(YEAR(FebSun1+24)=TahunKalender,MONTH(FebSun1+24)=2),FebSun1+24,""),IF(AND(YEAR(FebSun1+31)=TahunKalender,MONTH(FebSun1+31)=2),FebSun1+31,""))</f>
        <v/>
      </c>
      <c r="N9" s="31" t="str">
        <f>IF(DAY(FebSun1)=1,IF(AND(YEAR(FebSun1+25)=TahunKalender,MONTH(FebSun1+25)=2),FebSun1+25,""),IF(AND(YEAR(FebSun1+32)=TahunKalender,MONTH(FebSun1+32)=2),FebSun1+32,""))</f>
        <v/>
      </c>
      <c r="O9" s="31" t="str">
        <f>IF(DAY(FebSun1)=1,IF(AND(YEAR(FebSun1+26)=TahunKalender,MONTH(FebSun1+26)=2),FebSun1+26,""),IF(AND(YEAR(FebSun1+33)=TahunKalender,MONTH(FebSun1+33)=2),FebSun1+33,""))</f>
        <v/>
      </c>
      <c r="P9" s="31" t="str">
        <f>IF(DAY(FebSun1)=1,IF(AND(YEAR(FebSun1+27)=TahunKalender,MONTH(FebSun1+27)=2),FebSun1+27,""),IF(AND(YEAR(FebSun1+34)=TahunKalender,MONTH(FebSun1+34)=2),FebSun1+34,""))</f>
        <v/>
      </c>
      <c r="Q9" s="31" t="str">
        <f>IF(DAY(FebSun1)=1,IF(AND(YEAR(FebSun1+28)=TahunKalender,MONTH(FebSun1+28)=2),FebSun1+28,""),IF(AND(YEAR(FebSun1+35)=TahunKalender,MONTH(FebSun1+35)=2),FebSun1+35,""))</f>
        <v/>
      </c>
      <c r="S9" s="3"/>
      <c r="U9" s="16" t="s">
        <v>50</v>
      </c>
      <c r="V9" s="1"/>
      <c r="W9" s="1"/>
    </row>
    <row r="10" spans="1:41" ht="15" customHeight="1" x14ac:dyDescent="0.2">
      <c r="C10" s="31">
        <f>IF(DAY(JanSun1)=1,IF(AND(YEAR(JanSun1+29)=TahunKalender,MONTH(JanSun1+29)=1),JanSun1+29,""),IF(AND(YEAR(JanSun1+36)=TahunKalender,MONTH(JanSun1+36)=1),JanSun1+36,""))</f>
        <v>44592</v>
      </c>
      <c r="D10" s="31" t="str">
        <f>IF(DAY(JanSun1)=1,IF(AND(YEAR(JanSun1+30)=TahunKalender,MONTH(JanSun1+30)=1),JanSun1+30,""),IF(AND(YEAR(JanSun1+37)=TahunKalender,MONTH(JanSun1+37)=1),JanSun1+37,""))</f>
        <v/>
      </c>
      <c r="E10" s="31" t="str">
        <f>IF(DAY(JanSun1)=1,IF(AND(YEAR(JanSun1+31)=TahunKalender,MONTH(JanSun1+31)=1),JanSun1+31,""),IF(AND(YEAR(JanSun1+38)=TahunKalender,MONTH(JanSun1+38)=1),JanSun1+38,""))</f>
        <v/>
      </c>
      <c r="F10" s="31" t="str">
        <f>IF(DAY(JanSun1)=1,IF(AND(YEAR(JanSun1+32)=TahunKalender,MONTH(JanSun1+32)=1),JanSun1+32,""),IF(AND(YEAR(JanSun1+39)=TahunKalender,MONTH(JanSun1+39)=1),JanSun1+39,""))</f>
        <v/>
      </c>
      <c r="G10" s="31" t="str">
        <f>IF(DAY(JanSun1)=1,IF(AND(YEAR(JanSun1+33)=TahunKalender,MONTH(JanSun1+33)=1),JanSun1+33,""),IF(AND(YEAR(JanSun1+40)=TahunKalender,MONTH(JanSun1+40)=1),JanSun1+40,""))</f>
        <v/>
      </c>
      <c r="H10" s="31" t="str">
        <f>IF(DAY(JanSun1)=1,IF(AND(YEAR(JanSun1+34)=TahunKalender,MONTH(JanSun1+34)=1),JanSun1+34,""),IF(AND(YEAR(JanSun1+41)=TahunKalender,MONTH(JanSun1+41)=1),JanSun1+41,""))</f>
        <v/>
      </c>
      <c r="I10" s="31" t="str">
        <f>IF(DAY(JanSun1)=1,IF(AND(YEAR(JanSun1+35)=TahunKalender,MONTH(JanSun1+35)=1),JanSun1+35,""),IF(AND(YEAR(JanSun1+42)=TahunKalender,MONTH(JanSun1+42)=1),JanSun1+42,""))</f>
        <v/>
      </c>
      <c r="J10" s="28"/>
      <c r="K10" s="31" t="str">
        <f>IF(DAY(FebSun1)=1,IF(AND(YEAR(FebSun1+29)=TahunKalender,MONTH(FebSun1+29)=2),FebSun1+29,""),IF(AND(YEAR(FebSun1+36)=TahunKalender,MONTH(FebSun1+36)=2),FebSun1+36,""))</f>
        <v/>
      </c>
      <c r="L10" s="31" t="str">
        <f>IF(DAY(FebSun1)=1,IF(AND(YEAR(FebSun1+30)=TahunKalender,MONTH(FebSun1+30)=2),FebSun1+30,""),IF(AND(YEAR(FebSun1+37)=TahunKalender,MONTH(FebSun1+37)=2),FebSun1+37,""))</f>
        <v/>
      </c>
      <c r="M10" s="31" t="str">
        <f>IF(DAY(FebSun1)=1,IF(AND(YEAR(FebSun1+31)=TahunKalender,MONTH(FebSun1+31)=2),FebSun1+31,""),IF(AND(YEAR(FebSun1+38)=TahunKalender,MONTH(FebSun1+38)=2),FebSun1+38,""))</f>
        <v/>
      </c>
      <c r="N10" s="31" t="str">
        <f>IF(DAY(FebSun1)=1,IF(AND(YEAR(FebSun1+32)=TahunKalender,MONTH(FebSun1+32)=2),FebSun1+32,""),IF(AND(YEAR(FebSun1+39)=TahunKalender,MONTH(FebSun1+39)=2),FebSun1+39,""))</f>
        <v/>
      </c>
      <c r="O10" s="31" t="str">
        <f>IF(DAY(FebSun1)=1,IF(AND(YEAR(FebSun1+33)=TahunKalender,MONTH(FebSun1+33)=2),FebSun1+33,""),IF(AND(YEAR(FebSun1+40)=TahunKalender,MONTH(FebSun1+40)=2),FebSun1+40,""))</f>
        <v/>
      </c>
      <c r="P10" s="31" t="str">
        <f>IF(DAY(FebSun1)=1,IF(AND(YEAR(FebSun1+34)=TahunKalender,MONTH(FebSun1+34)=2),FebSun1+34,""),IF(AND(YEAR(FebSun1+41)=TahunKalender,MONTH(FebSun1+41)=2),FebSun1+41,""))</f>
        <v/>
      </c>
      <c r="Q10" s="31" t="str">
        <f>IF(DAY(FebSun1)=1,IF(AND(YEAR(FebSun1+35)=TahunKalender,MONTH(FebSun1+35)=2),FebSun1+35,""),IF(AND(YEAR(FebSun1+42)=TahunKalender,MONTH(FebSun1+42)=2),FebSun1+42,""))</f>
        <v/>
      </c>
      <c r="S10" s="3"/>
      <c r="U10" s="9" t="s">
        <v>51</v>
      </c>
      <c r="V10" s="1"/>
      <c r="W10" s="1"/>
    </row>
    <row r="11" spans="1:41" ht="15" customHeight="1" x14ac:dyDescent="0.2">
      <c r="C11" s="28"/>
      <c r="D11" s="28"/>
      <c r="E11" s="28"/>
      <c r="F11" s="28"/>
      <c r="G11" s="28"/>
      <c r="H11" s="28"/>
      <c r="I11" s="28"/>
      <c r="J11" s="28"/>
      <c r="K11" s="28"/>
      <c r="L11" s="28"/>
      <c r="M11" s="28"/>
      <c r="N11" s="28"/>
      <c r="O11" s="28"/>
      <c r="P11" s="28"/>
      <c r="Q11" s="28"/>
      <c r="S11" s="3"/>
      <c r="U11" s="6"/>
      <c r="V11" s="1"/>
      <c r="W11" s="1"/>
    </row>
    <row r="12" spans="1:41" ht="15" customHeight="1" x14ac:dyDescent="0.2">
      <c r="A12" s="24" t="s">
        <v>11</v>
      </c>
      <c r="C12" s="33" t="s">
        <v>28</v>
      </c>
      <c r="D12" s="33"/>
      <c r="E12" s="33"/>
      <c r="F12" s="33"/>
      <c r="G12" s="33"/>
      <c r="H12" s="33"/>
      <c r="I12" s="33"/>
      <c r="J12" s="29"/>
      <c r="K12" s="33" t="s">
        <v>40</v>
      </c>
      <c r="L12" s="33"/>
      <c r="M12" s="33"/>
      <c r="N12" s="33"/>
      <c r="O12" s="33"/>
      <c r="P12" s="33"/>
      <c r="Q12" s="33"/>
      <c r="S12" s="30"/>
      <c r="U12" s="7"/>
      <c r="V12" s="1"/>
      <c r="W12" s="1"/>
      <c r="X12" s="29"/>
      <c r="Y12" s="29"/>
      <c r="AA12" s="29"/>
      <c r="AB12" s="29"/>
      <c r="AC12" s="29"/>
      <c r="AD12" s="29"/>
      <c r="AE12" s="29"/>
      <c r="AF12" s="29"/>
      <c r="AG12" s="29"/>
      <c r="AI12" s="29"/>
      <c r="AJ12" s="29"/>
      <c r="AK12" s="29"/>
      <c r="AL12" s="29"/>
      <c r="AM12" s="29"/>
      <c r="AN12" s="29"/>
      <c r="AO12" s="29"/>
    </row>
    <row r="13" spans="1:41" ht="15" customHeight="1" x14ac:dyDescent="0.25">
      <c r="A13" s="24" t="s">
        <v>12</v>
      </c>
      <c r="C13" s="17" t="s">
        <v>27</v>
      </c>
      <c r="D13" s="17" t="s">
        <v>33</v>
      </c>
      <c r="E13" s="17" t="s">
        <v>34</v>
      </c>
      <c r="F13" s="17" t="s">
        <v>35</v>
      </c>
      <c r="G13" s="17" t="s">
        <v>36</v>
      </c>
      <c r="H13" s="17" t="s">
        <v>37</v>
      </c>
      <c r="I13" s="17" t="s">
        <v>38</v>
      </c>
      <c r="J13" s="2"/>
      <c r="K13" s="17" t="s">
        <v>27</v>
      </c>
      <c r="L13" s="17" t="s">
        <v>33</v>
      </c>
      <c r="M13" s="17" t="s">
        <v>34</v>
      </c>
      <c r="N13" s="17" t="s">
        <v>35</v>
      </c>
      <c r="O13" s="17" t="s">
        <v>36</v>
      </c>
      <c r="P13" s="17" t="s">
        <v>37</v>
      </c>
      <c r="Q13" s="17" t="s">
        <v>38</v>
      </c>
      <c r="S13" s="3"/>
      <c r="U13" s="9"/>
      <c r="V13" s="1"/>
      <c r="W13" s="1"/>
    </row>
    <row r="14" spans="1:41" ht="15" customHeight="1" x14ac:dyDescent="0.2">
      <c r="C14" s="31" t="str">
        <f>IF(DAY(MinMar1)=1,"",IF(AND(YEAR(MinMar1+1)=TahunKalender,MONTH(MinMar1+1)=3),MinMar1+1,""))</f>
        <v/>
      </c>
      <c r="D14" s="31">
        <f>IF(DAY(MinMar1)=1,"",IF(AND(YEAR(MinMar1+2)=TahunKalender,MONTH(MinMar1+2)=3),MinMar1+2,""))</f>
        <v>44621</v>
      </c>
      <c r="E14" s="31">
        <f>IF(DAY(MinMar1)=1,"",IF(AND(YEAR(MinMar1+3)=TahunKalender,MONTH(MinMar1+3)=3),MinMar1+3,""))</f>
        <v>44622</v>
      </c>
      <c r="F14" s="31">
        <f>IF(DAY(MinMar1)=1,"",IF(AND(YEAR(MinMar1+4)=TahunKalender,MONTH(MinMar1+4)=3),MinMar1+4,""))</f>
        <v>44623</v>
      </c>
      <c r="G14" s="31">
        <f>IF(DAY(MinMar1)=1,"",IF(AND(YEAR(MinMar1+5)=TahunKalender,MONTH(MinMar1+5)=3),MinMar1+5,""))</f>
        <v>44624</v>
      </c>
      <c r="H14" s="31">
        <f>IF(DAY(MinMar1)=1,"",IF(AND(YEAR(MinMar1+6)=TahunKalender,MONTH(MinMar1+6)=3),MinMar1+6,""))</f>
        <v>44625</v>
      </c>
      <c r="I14" s="31">
        <f>IF(DAY(MinMar1)=1,IF(AND(YEAR(MinMar1)=TahunKalender,MONTH(MinMar1)=3),MinMar1,""),IF(AND(YEAR(MinMar1+7)=TahunKalender,MONTH(MinMar1+7)=3),MinMar1+7,""))</f>
        <v>44626</v>
      </c>
      <c r="J14" s="1"/>
      <c r="K14" s="31" t="str">
        <f>IF(DAY(AprMin1)=1,"",IF(AND(YEAR(AprMin1+1)=TahunKalender,MONTH(AprMin1+1)=4),AprMin1+1,""))</f>
        <v/>
      </c>
      <c r="L14" s="31" t="str">
        <f>IF(DAY(AprMin1)=1,"",IF(AND(YEAR(AprMin1+2)=TahunKalender,MONTH(AprMin1+2)=4),AprMin1+2,""))</f>
        <v/>
      </c>
      <c r="M14" s="31" t="str">
        <f>IF(DAY(AprMin1)=1,"",IF(AND(YEAR(AprMin1+3)=TahunKalender,MONTH(AprMin1+3)=4),AprMin1+3,""))</f>
        <v/>
      </c>
      <c r="N14" s="31" t="str">
        <f>IF(DAY(AprMin1)=1,"",IF(AND(YEAR(AprMin1+4)=TahunKalender,MONTH(AprMin1+4)=4),AprMin1+4,""))</f>
        <v/>
      </c>
      <c r="O14" s="31">
        <f>IF(DAY(AprMin1)=1,"",IF(AND(YEAR(AprMin1+5)=TahunKalender,MONTH(AprMin1+5)=4),AprMin1+5,""))</f>
        <v>44652</v>
      </c>
      <c r="P14" s="31">
        <f>IF(DAY(AprMin1)=1,"",IF(AND(YEAR(AprMin1+6)=TahunKalender,MONTH(AprMin1+6)=4),AprMin1+6,""))</f>
        <v>44653</v>
      </c>
      <c r="Q14" s="31">
        <f>IF(DAY(AprMin1)=1,IF(AND(YEAR(AprMin1)=TahunKalender,MONTH(AprMin1)=4),AprMin1,""),IF(AND(YEAR(AprMin1+7)=TahunKalender,MONTH(AprMin1+7)=4),AprMin1+7,""))</f>
        <v>44654</v>
      </c>
      <c r="S14" s="3"/>
      <c r="U14" s="6"/>
      <c r="V14" s="1"/>
      <c r="W14" s="1"/>
    </row>
    <row r="15" spans="1:41" ht="15" customHeight="1" x14ac:dyDescent="0.2">
      <c r="A15" s="24"/>
      <c r="C15" s="31">
        <f>IF(DAY(MinMar1)=1,IF(AND(YEAR(MinMar1+1)=TahunKalender,MONTH(MinMar1+1)=3),MinMar1+1,""),IF(AND(YEAR(MinMar1+8)=TahunKalender,MONTH(MinMar1+8)=3),MinMar1+8,""))</f>
        <v>44627</v>
      </c>
      <c r="D15" s="31">
        <f>IF(DAY(MinMar1)=1,IF(AND(YEAR(MinMar1+2)=TahunKalender,MONTH(MinMar1+2)=3),MinMar1+2,""),IF(AND(YEAR(MinMar1+9)=TahunKalender,MONTH(MinMar1+9)=3),MinMar1+9,""))</f>
        <v>44628</v>
      </c>
      <c r="E15" s="31">
        <f>IF(DAY(MinMar1)=1,IF(AND(YEAR(MinMar1+3)=TahunKalender,MONTH(MinMar1+3)=3),MinMar1+3,""),IF(AND(YEAR(MinMar1+10)=TahunKalender,MONTH(MinMar1+10)=3),MinMar1+10,""))</f>
        <v>44629</v>
      </c>
      <c r="F15" s="31">
        <f>IF(DAY(MinMar1)=1,IF(AND(YEAR(MinMar1+4)=TahunKalender,MONTH(MinMar1+4)=3),MinMar1+4,""),IF(AND(YEAR(MinMar1+11)=TahunKalender,MONTH(MinMar1+11)=3),MinMar1+11,""))</f>
        <v>44630</v>
      </c>
      <c r="G15" s="31">
        <f>IF(DAY(MinMar1)=1,IF(AND(YEAR(MinMar1+5)=TahunKalender,MONTH(MinMar1+5)=3),MinMar1+5,""),IF(AND(YEAR(MinMar1+12)=TahunKalender,MONTH(MinMar1+12)=3),MinMar1+12,""))</f>
        <v>44631</v>
      </c>
      <c r="H15" s="31">
        <f>IF(DAY(MinMar1)=1,IF(AND(YEAR(MinMar1+6)=TahunKalender,MONTH(MinMar1+6)=3),MinMar1+6,""),IF(AND(YEAR(MinMar1+13)=TahunKalender,MONTH(MinMar1+13)=3),MinMar1+13,""))</f>
        <v>44632</v>
      </c>
      <c r="I15" s="31">
        <f>IF(DAY(MinMar1)=1,IF(AND(YEAR(MinMar1+7)=TahunKalender,MONTH(MinMar1+7)=3),MinMar1+7,""),IF(AND(YEAR(MinMar1+14)=TahunKalender,MONTH(MinMar1+14)=3),MinMar1+14,""))</f>
        <v>44633</v>
      </c>
      <c r="J15" s="28"/>
      <c r="K15" s="31">
        <f>IF(DAY(AprMin1)=1,IF(AND(YEAR(AprMin1+1)=TahunKalender,MONTH(AprMin1+1)=4),AprMin1+1,""),IF(AND(YEAR(AprMin1+8)=TahunKalender,MONTH(AprMin1+8)=4),AprMin1+8,""))</f>
        <v>44655</v>
      </c>
      <c r="L15" s="31">
        <f>IF(DAY(AprMin1)=1,IF(AND(YEAR(AprMin1+2)=TahunKalender,MONTH(AprMin1+2)=4),AprMin1+2,""),IF(AND(YEAR(AprMin1+9)=TahunKalender,MONTH(AprMin1+9)=4),AprMin1+9,""))</f>
        <v>44656</v>
      </c>
      <c r="M15" s="31">
        <f>IF(DAY(AprMin1)=1,IF(AND(YEAR(AprMin1+3)=TahunKalender,MONTH(AprMin1+3)=4),AprMin1+3,""),IF(AND(YEAR(AprMin1+10)=TahunKalender,MONTH(AprMin1+10)=4),AprMin1+10,""))</f>
        <v>44657</v>
      </c>
      <c r="N15" s="31">
        <f>IF(DAY(AprMin1)=1,IF(AND(YEAR(AprMin1+4)=TahunKalender,MONTH(AprMin1+4)=4),AprMin1+4,""),IF(AND(YEAR(AprMin1+11)=TahunKalender,MONTH(AprMin1+11)=4),AprMin1+11,""))</f>
        <v>44658</v>
      </c>
      <c r="O15" s="31">
        <f>IF(DAY(AprMin1)=1,IF(AND(YEAR(AprMin1+5)=TahunKalender,MONTH(AprMin1+5)=4),AprMin1+5,""),IF(AND(YEAR(AprMin1+12)=TahunKalender,MONTH(AprMin1+12)=4),AprMin1+12,""))</f>
        <v>44659</v>
      </c>
      <c r="P15" s="31">
        <f>IF(DAY(AprMin1)=1,IF(AND(YEAR(AprMin1+6)=TahunKalender,MONTH(AprMin1+6)=4),AprMin1+6,""),IF(AND(YEAR(AprMin1+13)=TahunKalender,MONTH(AprMin1+13)=4),AprMin1+13,""))</f>
        <v>44660</v>
      </c>
      <c r="Q15" s="31">
        <f>IF(DAY(AprMin1)=1,IF(AND(YEAR(AprMin1+7)=TahunKalender,MONTH(AprMin1+7)=4),AprMin1+7,""),IF(AND(YEAR(AprMin1+14)=TahunKalender,MONTH(AprMin1+14)=4),AprMin1+14,""))</f>
        <v>44661</v>
      </c>
      <c r="S15" s="3"/>
      <c r="U15" s="7"/>
      <c r="V15" s="1"/>
      <c r="W15" s="1"/>
    </row>
    <row r="16" spans="1:41" ht="15" customHeight="1" x14ac:dyDescent="0.2">
      <c r="C16" s="31">
        <f>IF(DAY(MinMar1)=1,IF(AND(YEAR(MinMar1+8)=TahunKalender,MONTH(MinMar1+8)=3),MinMar1+8,""),IF(AND(YEAR(MinMar1+15)=TahunKalender,MONTH(MinMar1+15)=3),MinMar1+15,""))</f>
        <v>44634</v>
      </c>
      <c r="D16" s="31">
        <f>IF(DAY(MinMar1)=1,IF(AND(YEAR(MinMar1+9)=TahunKalender,MONTH(MinMar1+9)=3),MinMar1+9,""),IF(AND(YEAR(MinMar1+16)=TahunKalender,MONTH(MinMar1+16)=3),MinMar1+16,""))</f>
        <v>44635</v>
      </c>
      <c r="E16" s="31">
        <f>IF(DAY(MinMar1)=1,IF(AND(YEAR(MinMar1+10)=TahunKalender,MONTH(MinMar1+10)=3),MinMar1+10,""),IF(AND(YEAR(MinMar1+17)=TahunKalender,MONTH(MinMar1+17)=3),MinMar1+17,""))</f>
        <v>44636</v>
      </c>
      <c r="F16" s="31">
        <f>IF(DAY(MinMar1)=1,IF(AND(YEAR(MinMar1+11)=TahunKalender,MONTH(MinMar1+11)=3),MinMar1+11,""),IF(AND(YEAR(MinMar1+18)=TahunKalender,MONTH(MinMar1+18)=3),MinMar1+18,""))</f>
        <v>44637</v>
      </c>
      <c r="G16" s="31">
        <f>IF(DAY(MinMar1)=1,IF(AND(YEAR(MinMar1+12)=TahunKalender,MONTH(MinMar1+12)=3),MinMar1+12,""),IF(AND(YEAR(MinMar1+19)=TahunKalender,MONTH(MinMar1+19)=3),MinMar1+19,""))</f>
        <v>44638</v>
      </c>
      <c r="H16" s="31">
        <f>IF(DAY(MinMar1)=1,IF(AND(YEAR(MinMar1+13)=TahunKalender,MONTH(MinMar1+13)=3),MinMar1+13,""),IF(AND(YEAR(MinMar1+20)=TahunKalender,MONTH(MinMar1+20)=3),MinMar1+20,""))</f>
        <v>44639</v>
      </c>
      <c r="I16" s="31">
        <f>IF(DAY(MinMar1)=1,IF(AND(YEAR(MinMar1+14)=TahunKalender,MONTH(MinMar1+14)=3),MinMar1+14,""),IF(AND(YEAR(MinMar1+21)=TahunKalender,MONTH(MinMar1+21)=3),MinMar1+21,""))</f>
        <v>44640</v>
      </c>
      <c r="J16" s="28"/>
      <c r="K16" s="31">
        <f>IF(DAY(AprMin1)=1,IF(AND(YEAR(AprMin1+8)=TahunKalender,MONTH(AprMin1+8)=4),AprMin1+8,""),IF(AND(YEAR(AprMin1+15)=TahunKalender,MONTH(AprMin1+15)=4),AprMin1+15,""))</f>
        <v>44662</v>
      </c>
      <c r="L16" s="31">
        <f>IF(DAY(AprMin1)=1,IF(AND(YEAR(AprMin1+9)=TahunKalender,MONTH(AprMin1+9)=4),AprMin1+9,""),IF(AND(YEAR(AprMin1+16)=TahunKalender,MONTH(AprMin1+16)=4),AprMin1+16,""))</f>
        <v>44663</v>
      </c>
      <c r="M16" s="31">
        <f>IF(DAY(AprMin1)=1,IF(AND(YEAR(AprMin1+10)=TahunKalender,MONTH(AprMin1+10)=4),AprMin1+10,""),IF(AND(YEAR(AprMin1+17)=TahunKalender,MONTH(AprMin1+17)=4),AprMin1+17,""))</f>
        <v>44664</v>
      </c>
      <c r="N16" s="31">
        <f>IF(DAY(AprMin1)=1,IF(AND(YEAR(AprMin1+11)=TahunKalender,MONTH(AprMin1+11)=4),AprMin1+11,""),IF(AND(YEAR(AprMin1+18)=TahunKalender,MONTH(AprMin1+18)=4),AprMin1+18,""))</f>
        <v>44665</v>
      </c>
      <c r="O16" s="31">
        <f>IF(DAY(AprMin1)=1,IF(AND(YEAR(AprMin1+12)=TahunKalender,MONTH(AprMin1+12)=4),AprMin1+12,""),IF(AND(YEAR(AprMin1+19)=TahunKalender,MONTH(AprMin1+19)=4),AprMin1+19,""))</f>
        <v>44666</v>
      </c>
      <c r="P16" s="31">
        <f>IF(DAY(AprMin1)=1,IF(AND(YEAR(AprMin1+13)=TahunKalender,MONTH(AprMin1+13)=4),AprMin1+13,""),IF(AND(YEAR(AprMin1+20)=TahunKalender,MONTH(AprMin1+20)=4),AprMin1+20,""))</f>
        <v>44667</v>
      </c>
      <c r="Q16" s="31">
        <f>IF(DAY(AprMin1)=1,IF(AND(YEAR(AprMin1+14)=TahunKalender,MONTH(AprMin1+14)=4),AprMin1+14,""),IF(AND(YEAR(AprMin1+21)=TahunKalender,MONTH(AprMin1+21)=4),AprMin1+21,""))</f>
        <v>44668</v>
      </c>
      <c r="S16" s="3"/>
      <c r="U16" s="9"/>
      <c r="V16" s="1"/>
      <c r="W16" s="1"/>
    </row>
    <row r="17" spans="1:41" ht="15" customHeight="1" x14ac:dyDescent="0.2">
      <c r="C17" s="31">
        <f>IF(DAY(MinMar1)=1,IF(AND(YEAR(MinMar1+15)=TahunKalender,MONTH(MinMar1+15)=3),MinMar1+15,""),IF(AND(YEAR(MinMar1+22)=TahunKalender,MONTH(MinMar1+22)=3),MinMar1+22,""))</f>
        <v>44641</v>
      </c>
      <c r="D17" s="31">
        <f>IF(DAY(MinMar1)=1,IF(AND(YEAR(MinMar1+16)=TahunKalender,MONTH(MinMar1+16)=3),MinMar1+16,""),IF(AND(YEAR(MinMar1+23)=TahunKalender,MONTH(MinMar1+23)=3),MinMar1+23,""))</f>
        <v>44642</v>
      </c>
      <c r="E17" s="31">
        <f>IF(DAY(MinMar1)=1,IF(AND(YEAR(MinMar1+17)=TahunKalender,MONTH(MinMar1+17)=3),MinMar1+17,""),IF(AND(YEAR(MinMar1+24)=TahunKalender,MONTH(MinMar1+24)=3),MinMar1+24,""))</f>
        <v>44643</v>
      </c>
      <c r="F17" s="31">
        <f>IF(DAY(MinMar1)=1,IF(AND(YEAR(MinMar1+18)=TahunKalender,MONTH(MinMar1+18)=3),MinMar1+18,""),IF(AND(YEAR(MinMar1+25)=TahunKalender,MONTH(MinMar1+25)=3),MinMar1+25,""))</f>
        <v>44644</v>
      </c>
      <c r="G17" s="31">
        <f>IF(DAY(MinMar1)=1,IF(AND(YEAR(MinMar1+19)=TahunKalender,MONTH(MinMar1+19)=3),MinMar1+19,""),IF(AND(YEAR(MinMar1+26)=TahunKalender,MONTH(MinMar1+26)=3),MinMar1+26,""))</f>
        <v>44645</v>
      </c>
      <c r="H17" s="31">
        <f>IF(DAY(MinMar1)=1,IF(AND(YEAR(MinMar1+20)=TahunKalender,MONTH(MinMar1+20)=3),MinMar1+20,""),IF(AND(YEAR(MinMar1+27)=TahunKalender,MONTH(MinMar1+27)=3),MinMar1+27,""))</f>
        <v>44646</v>
      </c>
      <c r="I17" s="31">
        <f>IF(DAY(MinMar1)=1,IF(AND(YEAR(MinMar1+21)=TahunKalender,MONTH(MinMar1+21)=3),MinMar1+21,""),IF(AND(YEAR(MinMar1+28)=TahunKalender,MONTH(MinMar1+28)=3),MinMar1+28,""))</f>
        <v>44647</v>
      </c>
      <c r="J17" s="28"/>
      <c r="K17" s="31">
        <f>IF(DAY(AprMin1)=1,IF(AND(YEAR(AprMin1+15)=TahunKalender,MONTH(AprMin1+15)=4),AprMin1+15,""),IF(AND(YEAR(AprMin1+22)=TahunKalender,MONTH(AprMin1+22)=4),AprMin1+22,""))</f>
        <v>44669</v>
      </c>
      <c r="L17" s="31">
        <f>IF(DAY(AprMin1)=1,IF(AND(YEAR(AprMin1+16)=TahunKalender,MONTH(AprMin1+16)=4),AprMin1+16,""),IF(AND(YEAR(AprMin1+23)=TahunKalender,MONTH(AprMin1+23)=4),AprMin1+23,""))</f>
        <v>44670</v>
      </c>
      <c r="M17" s="31">
        <f>IF(DAY(AprMin1)=1,IF(AND(YEAR(AprMin1+17)=TahunKalender,MONTH(AprMin1+17)=4),AprMin1+17,""),IF(AND(YEAR(AprMin1+24)=TahunKalender,MONTH(AprMin1+24)=4),AprMin1+24,""))</f>
        <v>44671</v>
      </c>
      <c r="N17" s="31">
        <f>IF(DAY(AprMin1)=1,IF(AND(YEAR(AprMin1+18)=TahunKalender,MONTH(AprMin1+18)=4),AprMin1+18,""),IF(AND(YEAR(AprMin1+25)=TahunKalender,MONTH(AprMin1+25)=4),AprMin1+25,""))</f>
        <v>44672</v>
      </c>
      <c r="O17" s="31">
        <f>IF(DAY(AprMin1)=1,IF(AND(YEAR(AprMin1+19)=TahunKalender,MONTH(AprMin1+19)=4),AprMin1+19,""),IF(AND(YEAR(AprMin1+26)=TahunKalender,MONTH(AprMin1+26)=4),AprMin1+26,""))</f>
        <v>44673</v>
      </c>
      <c r="P17" s="31">
        <f>IF(DAY(AprMin1)=1,IF(AND(YEAR(AprMin1+20)=TahunKalender,MONTH(AprMin1+20)=4),AprMin1+20,""),IF(AND(YEAR(AprMin1+27)=TahunKalender,MONTH(AprMin1+27)=4),AprMin1+27,""))</f>
        <v>44674</v>
      </c>
      <c r="Q17" s="31">
        <f>IF(DAY(AprMin1)=1,IF(AND(YEAR(AprMin1+21)=TahunKalender,MONTH(AprMin1+21)=4),AprMin1+21,""),IF(AND(YEAR(AprMin1+28)=TahunKalender,MONTH(AprMin1+28)=4),AprMin1+28,""))</f>
        <v>44675</v>
      </c>
      <c r="S17" s="3"/>
      <c r="U17" s="6"/>
      <c r="V17" s="1"/>
      <c r="W17" s="1"/>
    </row>
    <row r="18" spans="1:41" ht="15" customHeight="1" x14ac:dyDescent="0.2">
      <c r="C18" s="31">
        <f>IF(DAY(MinMar1)=1,IF(AND(YEAR(MinMar1+22)=TahunKalender,MONTH(MinMar1+22)=3),MinMar1+22,""),IF(AND(YEAR(MinMar1+29)=TahunKalender,MONTH(MinMar1+29)=3),MinMar1+29,""))</f>
        <v>44648</v>
      </c>
      <c r="D18" s="31">
        <f>IF(DAY(MinMar1)=1,IF(AND(YEAR(MinMar1+23)=TahunKalender,MONTH(MinMar1+23)=3),MinMar1+23,""),IF(AND(YEAR(MinMar1+30)=TahunKalender,MONTH(MinMar1+30)=3),MinMar1+30,""))</f>
        <v>44649</v>
      </c>
      <c r="E18" s="31">
        <f>IF(DAY(MinMar1)=1,IF(AND(YEAR(MinMar1+24)=TahunKalender,MONTH(MinMar1+24)=3),MinMar1+24,""),IF(AND(YEAR(MinMar1+31)=TahunKalender,MONTH(MinMar1+31)=3),MinMar1+31,""))</f>
        <v>44650</v>
      </c>
      <c r="F18" s="31">
        <f>IF(DAY(MinMar1)=1,IF(AND(YEAR(MinMar1+25)=TahunKalender,MONTH(MinMar1+25)=3),MinMar1+25,""),IF(AND(YEAR(MinMar1+32)=TahunKalender,MONTH(MinMar1+32)=3),MinMar1+32,""))</f>
        <v>44651</v>
      </c>
      <c r="G18" s="31" t="str">
        <f>IF(DAY(MinMar1)=1,IF(AND(YEAR(MinMar1+26)=TahunKalender,MONTH(MinMar1+26)=3),MinMar1+26,""),IF(AND(YEAR(MinMar1+33)=TahunKalender,MONTH(MinMar1+33)=3),MinMar1+33,""))</f>
        <v/>
      </c>
      <c r="H18" s="31" t="str">
        <f>IF(DAY(MinMar1)=1,IF(AND(YEAR(MinMar1+27)=TahunKalender,MONTH(MinMar1+27)=3),MinMar1+27,""),IF(AND(YEAR(MinMar1+34)=TahunKalender,MONTH(MinMar1+34)=3),MinMar1+34,""))</f>
        <v/>
      </c>
      <c r="I18" s="31" t="str">
        <f>IF(DAY(MinMar1)=1,IF(AND(YEAR(MinMar1+28)=TahunKalender,MONTH(MinMar1+28)=3),MinMar1+28,""),IF(AND(YEAR(MinMar1+35)=TahunKalender,MONTH(MinMar1+35)=3),MinMar1+35,""))</f>
        <v/>
      </c>
      <c r="J18" s="28"/>
      <c r="K18" s="31">
        <f>IF(DAY(AprMin1)=1,IF(AND(YEAR(AprMin1+22)=TahunKalender,MONTH(AprMin1+22)=4),AprMin1+22,""),IF(AND(YEAR(AprMin1+29)=TahunKalender,MONTH(AprMin1+29)=4),AprMin1+29,""))</f>
        <v>44676</v>
      </c>
      <c r="L18" s="31">
        <f>IF(DAY(AprMin1)=1,IF(AND(YEAR(AprMin1+23)=TahunKalender,MONTH(AprMin1+23)=4),AprMin1+23,""),IF(AND(YEAR(AprMin1+30)=TahunKalender,MONTH(AprMin1+30)=4),AprMin1+30,""))</f>
        <v>44677</v>
      </c>
      <c r="M18" s="31">
        <f>IF(DAY(AprMin1)=1,IF(AND(YEAR(AprMin1+24)=TahunKalender,MONTH(AprMin1+24)=4),AprMin1+24,""),IF(AND(YEAR(AprMin1+31)=TahunKalender,MONTH(AprMin1+31)=4),AprMin1+31,""))</f>
        <v>44678</v>
      </c>
      <c r="N18" s="31">
        <f>IF(DAY(AprMin1)=1,IF(AND(YEAR(AprMin1+25)=TahunKalender,MONTH(AprMin1+25)=4),AprMin1+25,""),IF(AND(YEAR(AprMin1+32)=TahunKalender,MONTH(AprMin1+32)=4),AprMin1+32,""))</f>
        <v>44679</v>
      </c>
      <c r="O18" s="31">
        <f>IF(DAY(AprMin1)=1,IF(AND(YEAR(AprMin1+26)=TahunKalender,MONTH(AprMin1+26)=4),AprMin1+26,""),IF(AND(YEAR(AprMin1+33)=TahunKalender,MONTH(AprMin1+33)=4),AprMin1+33,""))</f>
        <v>44680</v>
      </c>
      <c r="P18" s="31">
        <f>IF(DAY(AprMin1)=1,IF(AND(YEAR(AprMin1+27)=TahunKalender,MONTH(AprMin1+27)=4),AprMin1+27,""),IF(AND(YEAR(AprMin1+34)=TahunKalender,MONTH(AprMin1+34)=4),AprMin1+34,""))</f>
        <v>44681</v>
      </c>
      <c r="Q18" s="31" t="str">
        <f>IF(DAY(AprMin1)=1,IF(AND(YEAR(AprMin1+28)=TahunKalender,MONTH(AprMin1+28)=4),AprMin1+28,""),IF(AND(YEAR(AprMin1+35)=TahunKalender,MONTH(AprMin1+35)=4),AprMin1+35,""))</f>
        <v/>
      </c>
      <c r="S18" s="3"/>
      <c r="U18" s="7"/>
      <c r="V18" s="1"/>
      <c r="W18" s="1"/>
    </row>
    <row r="19" spans="1:41" ht="15" customHeight="1" x14ac:dyDescent="0.2">
      <c r="C19" s="31" t="str">
        <f>IF(DAY(MinMar1)=1,IF(AND(YEAR(MinMar1+29)=TahunKalender,MONTH(MinMar1+29)=3),MinMar1+29,""),IF(AND(YEAR(MinMar1+36)=TahunKalender,MONTH(MinMar1+36)=3),MinMar1+36,""))</f>
        <v/>
      </c>
      <c r="D19" s="31" t="str">
        <f>IF(DAY(MinMar1)=1,IF(AND(YEAR(MinMar1+30)=TahunKalender,MONTH(MinMar1+30)=3),MinMar1+30,""),IF(AND(YEAR(MinMar1+37)=TahunKalender,MONTH(MinMar1+37)=3),MinMar1+37,""))</f>
        <v/>
      </c>
      <c r="E19" s="31" t="str">
        <f>IF(DAY(MinMar1)=1,IF(AND(YEAR(MinMar1+31)=TahunKalender,MONTH(MinMar1+31)=3),MinMar1+31,""),IF(AND(YEAR(MinMar1+38)=TahunKalender,MONTH(MinMar1+38)=3),MinMar1+38,""))</f>
        <v/>
      </c>
      <c r="F19" s="31" t="str">
        <f>IF(DAY(MinMar1)=1,IF(AND(YEAR(MinMar1+32)=TahunKalender,MONTH(MinMar1+32)=3),MinMar1+32,""),IF(AND(YEAR(MinMar1+39)=TahunKalender,MONTH(MinMar1+39)=3),MinMar1+39,""))</f>
        <v/>
      </c>
      <c r="G19" s="31" t="str">
        <f>IF(DAY(MinMar1)=1,IF(AND(YEAR(MinMar1+33)=TahunKalender,MONTH(MinMar1+33)=3),MinMar1+33,""),IF(AND(YEAR(MinMar1+40)=TahunKalender,MONTH(MinMar1+40)=3),MinMar1+40,""))</f>
        <v/>
      </c>
      <c r="H19" s="31" t="str">
        <f>IF(DAY(MinMar1)=1,IF(AND(YEAR(MinMar1+34)=TahunKalender,MONTH(MinMar1+34)=3),MinMar1+34,""),IF(AND(YEAR(MinMar1+41)=TahunKalender,MONTH(MinMar1+41)=3),MinMar1+41,""))</f>
        <v/>
      </c>
      <c r="I19" s="31" t="str">
        <f>IF(DAY(MinMar1)=1,IF(AND(YEAR(MinMar1+35)=TahunKalender,MONTH(MinMar1+35)=3),MinMar1+35,""),IF(AND(YEAR(MinMar1+42)=TahunKalender,MONTH(MinMar1+42)=3),MinMar1+42,""))</f>
        <v/>
      </c>
      <c r="J19" s="28"/>
      <c r="K19" s="31" t="str">
        <f>IF(DAY(AprMin1)=1,IF(AND(YEAR(AprMin1+29)=TahunKalender,MONTH(AprMin1+29)=4),AprMin1+29,""),IF(AND(YEAR(AprMin1+36)=TahunKalender,MONTH(AprMin1+36)=4),AprMin1+36,""))</f>
        <v/>
      </c>
      <c r="L19" s="31" t="str">
        <f>IF(DAY(AprMin1)=1,IF(AND(YEAR(AprMin1+30)=TahunKalender,MONTH(AprMin1+30)=4),AprMin1+30,""),IF(AND(YEAR(AprMin1+37)=TahunKalender,MONTH(AprMin1+37)=4),AprMin1+37,""))</f>
        <v/>
      </c>
      <c r="M19" s="31" t="str">
        <f>IF(DAY(AprMin1)=1,IF(AND(YEAR(AprMin1+31)=TahunKalender,MONTH(AprMin1+31)=4),AprMin1+31,""),IF(AND(YEAR(AprMin1+38)=TahunKalender,MONTH(AprMin1+38)=4),AprMin1+38,""))</f>
        <v/>
      </c>
      <c r="N19" s="31" t="str">
        <f>IF(DAY(AprMin1)=1,IF(AND(YEAR(AprMin1+32)=TahunKalender,MONTH(AprMin1+32)=4),AprMin1+32,""),IF(AND(YEAR(AprMin1+39)=TahunKalender,MONTH(AprMin1+39)=4),AprMin1+39,""))</f>
        <v/>
      </c>
      <c r="O19" s="31" t="str">
        <f>IF(DAY(AprMin1)=1,IF(AND(YEAR(AprMin1+33)=TahunKalender,MONTH(AprMin1+33)=4),AprMin1+33,""),IF(AND(YEAR(AprMin1+40)=TahunKalender,MONTH(AprMin1+40)=4),AprMin1+40,""))</f>
        <v/>
      </c>
      <c r="P19" s="31" t="str">
        <f>IF(DAY(AprMin1)=1,IF(AND(YEAR(AprMin1+34)=TahunKalender,MONTH(AprMin1+34)=4),AprMin1+34,""),IF(AND(YEAR(AprMin1+41)=TahunKalender,MONTH(AprMin1+41)=4),AprMin1+41,""))</f>
        <v/>
      </c>
      <c r="Q19" s="31" t="str">
        <f>IF(DAY(AprMin1)=1,IF(AND(YEAR(AprMin1+35)=TahunKalender,MONTH(AprMin1+35)=4),AprMin1+35,""),IF(AND(YEAR(AprMin1+42)=TahunKalender,MONTH(AprMin1+42)=4),AprMin1+42,""))</f>
        <v/>
      </c>
      <c r="S19" s="3"/>
      <c r="U19" s="9"/>
      <c r="V19" s="1"/>
      <c r="W19" s="1"/>
    </row>
    <row r="20" spans="1:41" ht="15" customHeight="1" x14ac:dyDescent="0.2">
      <c r="J20" s="28"/>
      <c r="S20" s="3"/>
      <c r="U20" s="6"/>
      <c r="V20" s="1"/>
      <c r="W20" s="1"/>
    </row>
    <row r="21" spans="1:41" ht="15" customHeight="1" x14ac:dyDescent="0.2">
      <c r="A21" s="24" t="s">
        <v>13</v>
      </c>
      <c r="C21" s="33" t="s">
        <v>29</v>
      </c>
      <c r="D21" s="33"/>
      <c r="E21" s="33"/>
      <c r="F21" s="33"/>
      <c r="G21" s="33"/>
      <c r="H21" s="33"/>
      <c r="I21" s="33"/>
      <c r="J21" s="28"/>
      <c r="K21" s="33" t="s">
        <v>41</v>
      </c>
      <c r="L21" s="33"/>
      <c r="M21" s="33"/>
      <c r="N21" s="33"/>
      <c r="O21" s="33"/>
      <c r="P21" s="33"/>
      <c r="Q21" s="33"/>
      <c r="S21" s="30"/>
      <c r="U21" s="7"/>
      <c r="V21" s="1"/>
      <c r="W21" s="1"/>
      <c r="X21" s="29"/>
      <c r="Y21" s="29"/>
      <c r="AA21" s="29"/>
      <c r="AB21" s="29"/>
      <c r="AC21" s="29"/>
      <c r="AD21" s="29"/>
      <c r="AE21" s="29"/>
      <c r="AF21" s="29"/>
      <c r="AG21" s="29"/>
      <c r="AI21" s="29"/>
      <c r="AJ21" s="29"/>
      <c r="AK21" s="29"/>
      <c r="AL21" s="29"/>
      <c r="AM21" s="29"/>
      <c r="AN21" s="29"/>
      <c r="AO21" s="29"/>
    </row>
    <row r="22" spans="1:41" ht="15" customHeight="1" x14ac:dyDescent="0.2">
      <c r="A22" s="24" t="s">
        <v>14</v>
      </c>
      <c r="C22" s="17" t="s">
        <v>27</v>
      </c>
      <c r="D22" s="17" t="s">
        <v>33</v>
      </c>
      <c r="E22" s="17" t="s">
        <v>34</v>
      </c>
      <c r="F22" s="17" t="s">
        <v>35</v>
      </c>
      <c r="G22" s="17" t="s">
        <v>36</v>
      </c>
      <c r="H22" s="17" t="s">
        <v>37</v>
      </c>
      <c r="I22" s="17" t="s">
        <v>38</v>
      </c>
      <c r="J22" s="29"/>
      <c r="K22" s="17" t="s">
        <v>27</v>
      </c>
      <c r="L22" s="17" t="s">
        <v>33</v>
      </c>
      <c r="M22" s="17" t="s">
        <v>34</v>
      </c>
      <c r="N22" s="17" t="s">
        <v>35</v>
      </c>
      <c r="O22" s="17" t="s">
        <v>36</v>
      </c>
      <c r="P22" s="17" t="s">
        <v>37</v>
      </c>
      <c r="Q22" s="17" t="s">
        <v>38</v>
      </c>
      <c r="S22" s="3"/>
      <c r="U22" s="9"/>
      <c r="V22" s="1"/>
      <c r="W22" s="1"/>
    </row>
    <row r="23" spans="1:41" ht="15" customHeight="1" x14ac:dyDescent="0.25">
      <c r="A23" s="24"/>
      <c r="C23" s="31" t="str">
        <f>IF(DAY(MinMei1)=1,"",IF(AND(YEAR(MinMei1+1)=TahunKalender,MONTH(MinMei1+1)=5),MinMei1+1,""))</f>
        <v/>
      </c>
      <c r="D23" s="31" t="str">
        <f>IF(DAY(MinMei1)=1,"",IF(AND(YEAR(MinMei1+2)=TahunKalender,MONTH(MinMei1+2)=5),MinMei1+2,""))</f>
        <v/>
      </c>
      <c r="E23" s="31" t="str">
        <f>IF(DAY(MinMei1)=1,"",IF(AND(YEAR(MinMei1+3)=TahunKalender,MONTH(MinMei1+3)=5),MinMei1+3,""))</f>
        <v/>
      </c>
      <c r="F23" s="31" t="str">
        <f>IF(DAY(MinMei1)=1,"",IF(AND(YEAR(MinMei1+4)=TahunKalender,MONTH(MinMei1+4)=5),MinMei1+4,""))</f>
        <v/>
      </c>
      <c r="G23" s="31" t="str">
        <f>IF(DAY(MinMei1)=1,"",IF(AND(YEAR(MinMei1+5)=TahunKalender,MONTH(MinMei1+5)=5),MinMei1+5,""))</f>
        <v/>
      </c>
      <c r="H23" s="31" t="str">
        <f>IF(DAY(MinMei1)=1,"",IF(AND(YEAR(MinMei1+6)=TahunKalender,MONTH(MinMei1+6)=5),MinMei1+6,""))</f>
        <v/>
      </c>
      <c r="I23" s="31">
        <f>IF(DAY(MinMei1)=1,IF(AND(YEAR(MinMei1)=TahunKalender,MONTH(MinMei1)=5),MinMei1,""),IF(AND(YEAR(MinMei1+7)=TahunKalender,MONTH(MinMei1+7)=5),MinMei1+7,""))</f>
        <v>44682</v>
      </c>
      <c r="J23" s="2"/>
      <c r="K23" s="31" t="str">
        <f>IF(DAY(MinJun1)=1,"",IF(AND(YEAR(MinJun1+1)=TahunKalender,MONTH(MinJun1+1)=6),MinJun1+1,""))</f>
        <v/>
      </c>
      <c r="L23" s="31" t="str">
        <f>IF(DAY(MinJun1)=1,"",IF(AND(YEAR(MinJun1+2)=TahunKalender,MONTH(MinJun1+2)=6),MinJun1+2,""))</f>
        <v/>
      </c>
      <c r="M23" s="31">
        <f>IF(DAY(MinJun1)=1,"",IF(AND(YEAR(MinJun1+3)=TahunKalender,MONTH(MinJun1+3)=6),MinJun1+3,""))</f>
        <v>44713</v>
      </c>
      <c r="N23" s="31">
        <f>IF(DAY(MinJun1)=1,"",IF(AND(YEAR(MinJun1+4)=TahunKalender,MONTH(MinJun1+4)=6),MinJun1+4,""))</f>
        <v>44714</v>
      </c>
      <c r="O23" s="31">
        <f>IF(DAY(MinJun1)=1,"",IF(AND(YEAR(MinJun1+5)=TahunKalender,MONTH(MinJun1+5)=6),MinJun1+5,""))</f>
        <v>44715</v>
      </c>
      <c r="P23" s="31">
        <f>IF(DAY(MinJun1)=1,"",IF(AND(YEAR(MinJun1+6)=TahunKalender,MONTH(MinJun1+6)=6),MinJun1+6,""))</f>
        <v>44716</v>
      </c>
      <c r="Q23" s="31">
        <f>IF(DAY(MinJun1)=1,IF(AND(YEAR(MinJun1)=TahunKalender,MONTH(MinJun1)=6),MinJun1,""),IF(AND(YEAR(MinJun1+7)=TahunKalender,MONTH(MinJun1+7)=6),MinJun1+7,""))</f>
        <v>44717</v>
      </c>
      <c r="S23" s="3"/>
      <c r="U23" s="6"/>
      <c r="V23" s="1"/>
      <c r="W23" s="1"/>
    </row>
    <row r="24" spans="1:41" ht="15" customHeight="1" x14ac:dyDescent="0.2">
      <c r="C24" s="31">
        <f>IF(DAY(MinMei1)=1,IF(AND(YEAR(MinMei1+1)=TahunKalender,MONTH(MinMei1+1)=5),MinMei1+1,""),IF(AND(YEAR(MinMei1+8)=TahunKalender,MONTH(MinMei1+8)=5),MinMei1+8,""))</f>
        <v>44683</v>
      </c>
      <c r="D24" s="31">
        <f>IF(DAY(MinMei1)=1,IF(AND(YEAR(MinMei1+2)=TahunKalender,MONTH(MinMei1+2)=5),MinMei1+2,""),IF(AND(YEAR(MinMei1+9)=TahunKalender,MONTH(MinMei1+9)=5),MinMei1+9,""))</f>
        <v>44684</v>
      </c>
      <c r="E24" s="31">
        <f>IF(DAY(MinMei1)=1,IF(AND(YEAR(MinMei1+3)=TahunKalender,MONTH(MinMei1+3)=5),MinMei1+3,""),IF(AND(YEAR(MinMei1+10)=TahunKalender,MONTH(MinMei1+10)=5),MinMei1+10,""))</f>
        <v>44685</v>
      </c>
      <c r="F24" s="31">
        <f>IF(DAY(MinMei1)=1,IF(AND(YEAR(MinMei1+4)=TahunKalender,MONTH(MinMei1+4)=5),MinMei1+4,""),IF(AND(YEAR(MinMei1+11)=TahunKalender,MONTH(MinMei1+11)=5),MinMei1+11,""))</f>
        <v>44686</v>
      </c>
      <c r="G24" s="31">
        <f>IF(DAY(MinMei1)=1,IF(AND(YEAR(MinMei1+5)=TahunKalender,MONTH(MinMei1+5)=5),MinMei1+5,""),IF(AND(YEAR(MinMei1+12)=TahunKalender,MONTH(MinMei1+12)=5),MinMei1+12,""))</f>
        <v>44687</v>
      </c>
      <c r="H24" s="31">
        <f>IF(DAY(MinMei1)=1,IF(AND(YEAR(MinMei1+6)=TahunKalender,MONTH(MinMei1+6)=5),MinMei1+6,""),IF(AND(YEAR(MinMei1+13)=TahunKalender,MONTH(MinMei1+13)=5),MinMei1+13,""))</f>
        <v>44688</v>
      </c>
      <c r="I24" s="31">
        <f>IF(DAY(MinMei1)=1,IF(AND(YEAR(MinMei1+7)=TahunKalender,MONTH(MinMei1+7)=5),MinMei1+7,""),IF(AND(YEAR(MinMei1+14)=TahunKalender,MONTH(MinMei1+14)=5),MinMei1+14,""))</f>
        <v>44689</v>
      </c>
      <c r="J24" s="1"/>
      <c r="K24" s="31">
        <f>IF(DAY(MinJun1)=1,IF(AND(YEAR(MinJun1+1)=TahunKalender,MONTH(MinJun1+1)=6),MinJun1+1,""),IF(AND(YEAR(MinJun1+8)=TahunKalender,MONTH(MinJun1+8)=6),MinJun1+8,""))</f>
        <v>44718</v>
      </c>
      <c r="L24" s="31">
        <f>IF(DAY(MinJun1)=1,IF(AND(YEAR(MinJun1+2)=TahunKalender,MONTH(MinJun1+2)=6),MinJun1+2,""),IF(AND(YEAR(MinJun1+9)=TahunKalender,MONTH(MinJun1+9)=6),MinJun1+9,""))</f>
        <v>44719</v>
      </c>
      <c r="M24" s="31">
        <f>IF(DAY(MinJun1)=1,IF(AND(YEAR(MinJun1+3)=TahunKalender,MONTH(MinJun1+3)=6),MinJun1+3,""),IF(AND(YEAR(MinJun1+10)=TahunKalender,MONTH(MinJun1+10)=6),MinJun1+10,""))</f>
        <v>44720</v>
      </c>
      <c r="N24" s="31">
        <f>IF(DAY(MinJun1)=1,IF(AND(YEAR(MinJun1+4)=TahunKalender,MONTH(MinJun1+4)=6),MinJun1+4,""),IF(AND(YEAR(MinJun1+11)=TahunKalender,MONTH(MinJun1+11)=6),MinJun1+11,""))</f>
        <v>44721</v>
      </c>
      <c r="O24" s="31">
        <f>IF(DAY(MinJun1)=1,IF(AND(YEAR(MinJun1+5)=TahunKalender,MONTH(MinJun1+5)=6),MinJun1+5,""),IF(AND(YEAR(MinJun1+12)=TahunKalender,MONTH(MinJun1+12)=6),MinJun1+12,""))</f>
        <v>44722</v>
      </c>
      <c r="P24" s="31">
        <f>IF(DAY(MinJun1)=1,IF(AND(YEAR(MinJun1+6)=TahunKalender,MONTH(MinJun1+6)=6),MinJun1+6,""),IF(AND(YEAR(MinJun1+13)=TahunKalender,MONTH(MinJun1+13)=6),MinJun1+13,""))</f>
        <v>44723</v>
      </c>
      <c r="Q24" s="31">
        <f>IF(DAY(MinJun1)=1,IF(AND(YEAR(MinJun1+7)=TahunKalender,MONTH(MinJun1+7)=6),MinJun1+7,""),IF(AND(YEAR(MinJun1+14)=TahunKalender,MONTH(MinJun1+14)=6),MinJun1+14,""))</f>
        <v>44724</v>
      </c>
      <c r="S24" s="3"/>
      <c r="U24" s="7"/>
      <c r="V24" s="1"/>
      <c r="W24" s="1"/>
    </row>
    <row r="25" spans="1:41" ht="15" customHeight="1" x14ac:dyDescent="0.2">
      <c r="C25" s="31">
        <f>IF(DAY(MinMei1)=1,IF(AND(YEAR(MinMei1+8)=TahunKalender,MONTH(MinMei1+8)=5),MinMei1+8,""),IF(AND(YEAR(MinMei1+15)=TahunKalender,MONTH(MinMei1+15)=5),MinMei1+15,""))</f>
        <v>44690</v>
      </c>
      <c r="D25" s="31">
        <f>IF(DAY(MinMei1)=1,IF(AND(YEAR(MinMei1+9)=TahunKalender,MONTH(MinMei1+9)=5),MinMei1+9,""),IF(AND(YEAR(MinMei1+16)=TahunKalender,MONTH(MinMei1+16)=5),MinMei1+16,""))</f>
        <v>44691</v>
      </c>
      <c r="E25" s="31">
        <f>IF(DAY(MinMei1)=1,IF(AND(YEAR(MinMei1+10)=TahunKalender,MONTH(MinMei1+10)=5),MinMei1+10,""),IF(AND(YEAR(MinMei1+17)=TahunKalender,MONTH(MinMei1+17)=5),MinMei1+17,""))</f>
        <v>44692</v>
      </c>
      <c r="F25" s="31">
        <f>IF(DAY(MinMei1)=1,IF(AND(YEAR(MinMei1+11)=TahunKalender,MONTH(MinMei1+11)=5),MinMei1+11,""),IF(AND(YEAR(MinMei1+18)=TahunKalender,MONTH(MinMei1+18)=5),MinMei1+18,""))</f>
        <v>44693</v>
      </c>
      <c r="G25" s="31">
        <f>IF(DAY(MinMei1)=1,IF(AND(YEAR(MinMei1+12)=TahunKalender,MONTH(MinMei1+12)=5),MinMei1+12,""),IF(AND(YEAR(MinMei1+19)=TahunKalender,MONTH(MinMei1+19)=5),MinMei1+19,""))</f>
        <v>44694</v>
      </c>
      <c r="H25" s="31">
        <f>IF(DAY(MinMei1)=1,IF(AND(YEAR(MinMei1+13)=TahunKalender,MONTH(MinMei1+13)=5),MinMei1+13,""),IF(AND(YEAR(MinMei1+20)=TahunKalender,MONTH(MinMei1+20)=5),MinMei1+20,""))</f>
        <v>44695</v>
      </c>
      <c r="I25" s="31">
        <f>IF(DAY(MinMei1)=1,IF(AND(YEAR(MinMei1+14)=TahunKalender,MONTH(MinMei1+14)=5),MinMei1+14,""),IF(AND(YEAR(MinMei1+21)=TahunKalender,MONTH(MinMei1+21)=5),MinMei1+21,""))</f>
        <v>44696</v>
      </c>
      <c r="J25" s="28"/>
      <c r="K25" s="31">
        <f>IF(DAY(MinJun1)=1,IF(AND(YEAR(MinJun1+8)=TahunKalender,MONTH(MinJun1+8)=6),MinJun1+8,""),IF(AND(YEAR(MinJun1+15)=TahunKalender,MONTH(MinJun1+15)=6),MinJun1+15,""))</f>
        <v>44725</v>
      </c>
      <c r="L25" s="31">
        <f>IF(DAY(MinJun1)=1,IF(AND(YEAR(MinJun1+9)=TahunKalender,MONTH(MinJun1+9)=6),MinJun1+9,""),IF(AND(YEAR(MinJun1+16)=TahunKalender,MONTH(MinJun1+16)=6),MinJun1+16,""))</f>
        <v>44726</v>
      </c>
      <c r="M25" s="31">
        <f>IF(DAY(MinJun1)=1,IF(AND(YEAR(MinJun1+10)=TahunKalender,MONTH(MinJun1+10)=6),MinJun1+10,""),IF(AND(YEAR(MinJun1+17)=TahunKalender,MONTH(MinJun1+17)=6),MinJun1+17,""))</f>
        <v>44727</v>
      </c>
      <c r="N25" s="31">
        <f>IF(DAY(MinJun1)=1,IF(AND(YEAR(MinJun1+11)=TahunKalender,MONTH(MinJun1+11)=6),MinJun1+11,""),IF(AND(YEAR(MinJun1+18)=TahunKalender,MONTH(MinJun1+18)=6),MinJun1+18,""))</f>
        <v>44728</v>
      </c>
      <c r="O25" s="31">
        <f>IF(DAY(MinJun1)=1,IF(AND(YEAR(MinJun1+12)=TahunKalender,MONTH(MinJun1+12)=6),MinJun1+12,""),IF(AND(YEAR(MinJun1+19)=TahunKalender,MONTH(MinJun1+19)=6),MinJun1+19,""))</f>
        <v>44729</v>
      </c>
      <c r="P25" s="31">
        <f>IF(DAY(MinJun1)=1,IF(AND(YEAR(MinJun1+13)=TahunKalender,MONTH(MinJun1+13)=6),MinJun1+13,""),IF(AND(YEAR(MinJun1+20)=TahunKalender,MONTH(MinJun1+20)=6),MinJun1+20,""))</f>
        <v>44730</v>
      </c>
      <c r="Q25" s="31">
        <f>IF(DAY(MinJun1)=1,IF(AND(YEAR(MinJun1+14)=TahunKalender,MONTH(MinJun1+14)=6),MinJun1+14,""),IF(AND(YEAR(MinJun1+21)=TahunKalender,MONTH(MinJun1+21)=6),MinJun1+21,""))</f>
        <v>44731</v>
      </c>
      <c r="S25" s="3"/>
      <c r="U25" s="9"/>
      <c r="V25" s="1"/>
      <c r="W25" s="1"/>
    </row>
    <row r="26" spans="1:41" ht="15" customHeight="1" x14ac:dyDescent="0.2">
      <c r="C26" s="31">
        <f>IF(DAY(MinMei1)=1,IF(AND(YEAR(MinMei1+15)=TahunKalender,MONTH(MinMei1+15)=5),MinMei1+15,""),IF(AND(YEAR(MinMei1+22)=TahunKalender,MONTH(MinMei1+22)=5),MinMei1+22,""))</f>
        <v>44697</v>
      </c>
      <c r="D26" s="31">
        <f>IF(DAY(MinMei1)=1,IF(AND(YEAR(MinMei1+16)=TahunKalender,MONTH(MinMei1+16)=5),MinMei1+16,""),IF(AND(YEAR(MinMei1+23)=TahunKalender,MONTH(MinMei1+23)=5),MinMei1+23,""))</f>
        <v>44698</v>
      </c>
      <c r="E26" s="31">
        <f>IF(DAY(MinMei1)=1,IF(AND(YEAR(MinMei1+17)=TahunKalender,MONTH(MinMei1+17)=5),MinMei1+17,""),IF(AND(YEAR(MinMei1+24)=TahunKalender,MONTH(MinMei1+24)=5),MinMei1+24,""))</f>
        <v>44699</v>
      </c>
      <c r="F26" s="31">
        <f>IF(DAY(MinMei1)=1,IF(AND(YEAR(MinMei1+18)=TahunKalender,MONTH(MinMei1+18)=5),MinMei1+18,""),IF(AND(YEAR(MinMei1+25)=TahunKalender,MONTH(MinMei1+25)=5),MinMei1+25,""))</f>
        <v>44700</v>
      </c>
      <c r="G26" s="31">
        <f>IF(DAY(MinMei1)=1,IF(AND(YEAR(MinMei1+19)=TahunKalender,MONTH(MinMei1+19)=5),MinMei1+19,""),IF(AND(YEAR(MinMei1+26)=TahunKalender,MONTH(MinMei1+26)=5),MinMei1+26,""))</f>
        <v>44701</v>
      </c>
      <c r="H26" s="31">
        <f>IF(DAY(MinMei1)=1,IF(AND(YEAR(MinMei1+20)=TahunKalender,MONTH(MinMei1+20)=5),MinMei1+20,""),IF(AND(YEAR(MinMei1+27)=TahunKalender,MONTH(MinMei1+27)=5),MinMei1+27,""))</f>
        <v>44702</v>
      </c>
      <c r="I26" s="31">
        <f>IF(DAY(MinMei1)=1,IF(AND(YEAR(MinMei1+21)=TahunKalender,MONTH(MinMei1+21)=5),MinMei1+21,""),IF(AND(YEAR(MinMei1+28)=TahunKalender,MONTH(MinMei1+28)=5),MinMei1+28,""))</f>
        <v>44703</v>
      </c>
      <c r="J26" s="28"/>
      <c r="K26" s="31">
        <f>IF(DAY(MinJun1)=1,IF(AND(YEAR(MinJun1+15)=TahunKalender,MONTH(MinJun1+15)=6),MinJun1+15,""),IF(AND(YEAR(MinJun1+22)=TahunKalender,MONTH(MinJun1+22)=6),MinJun1+22,""))</f>
        <v>44732</v>
      </c>
      <c r="L26" s="31">
        <f>IF(DAY(MinJun1)=1,IF(AND(YEAR(MinJun1+16)=TahunKalender,MONTH(MinJun1+16)=6),MinJun1+16,""),IF(AND(YEAR(MinJun1+23)=TahunKalender,MONTH(MinJun1+23)=6),MinJun1+23,""))</f>
        <v>44733</v>
      </c>
      <c r="M26" s="31">
        <f>IF(DAY(MinJun1)=1,IF(AND(YEAR(MinJun1+17)=TahunKalender,MONTH(MinJun1+17)=6),MinJun1+17,""),IF(AND(YEAR(MinJun1+24)=TahunKalender,MONTH(MinJun1+24)=6),MinJun1+24,""))</f>
        <v>44734</v>
      </c>
      <c r="N26" s="31">
        <f>IF(DAY(MinJun1)=1,IF(AND(YEAR(MinJun1+18)=TahunKalender,MONTH(MinJun1+18)=6),MinJun1+18,""),IF(AND(YEAR(MinJun1+25)=TahunKalender,MONTH(MinJun1+25)=6),MinJun1+25,""))</f>
        <v>44735</v>
      </c>
      <c r="O26" s="31">
        <f>IF(DAY(MinJun1)=1,IF(AND(YEAR(MinJun1+19)=TahunKalender,MONTH(MinJun1+19)=6),MinJun1+19,""),IF(AND(YEAR(MinJun1+26)=TahunKalender,MONTH(MinJun1+26)=6),MinJun1+26,""))</f>
        <v>44736</v>
      </c>
      <c r="P26" s="31">
        <f>IF(DAY(MinJun1)=1,IF(AND(YEAR(MinJun1+20)=TahunKalender,MONTH(MinJun1+20)=6),MinJun1+20,""),IF(AND(YEAR(MinJun1+27)=TahunKalender,MONTH(MinJun1+27)=6),MinJun1+27,""))</f>
        <v>44737</v>
      </c>
      <c r="Q26" s="31">
        <f>IF(DAY(MinJun1)=1,IF(AND(YEAR(MinJun1+21)=TahunKalender,MONTH(MinJun1+21)=6),MinJun1+21,""),IF(AND(YEAR(MinJun1+28)=TahunKalender,MONTH(MinJun1+28)=6),MinJun1+28,""))</f>
        <v>44738</v>
      </c>
      <c r="S26" s="3"/>
      <c r="U26" s="6"/>
      <c r="V26" s="1"/>
      <c r="W26" s="1"/>
    </row>
    <row r="27" spans="1:41" ht="15" customHeight="1" x14ac:dyDescent="0.2">
      <c r="C27" s="31">
        <f>IF(DAY(MinMei1)=1,IF(AND(YEAR(MinMei1+22)=TahunKalender,MONTH(MinMei1+22)=5),MinMei1+22,""),IF(AND(YEAR(MinMei1+29)=TahunKalender,MONTH(MinMei1+29)=5),MinMei1+29,""))</f>
        <v>44704</v>
      </c>
      <c r="D27" s="31">
        <f>IF(DAY(MinMei1)=1,IF(AND(YEAR(MinMei1+23)=TahunKalender,MONTH(MinMei1+23)=5),MinMei1+23,""),IF(AND(YEAR(MinMei1+30)=TahunKalender,MONTH(MinMei1+30)=5),MinMei1+30,""))</f>
        <v>44705</v>
      </c>
      <c r="E27" s="31">
        <f>IF(DAY(MinMei1)=1,IF(AND(YEAR(MinMei1+24)=TahunKalender,MONTH(MinMei1+24)=5),MinMei1+24,""),IF(AND(YEAR(MinMei1+31)=TahunKalender,MONTH(MinMei1+31)=5),MinMei1+31,""))</f>
        <v>44706</v>
      </c>
      <c r="F27" s="31">
        <f>IF(DAY(MinMei1)=1,IF(AND(YEAR(MinMei1+25)=TahunKalender,MONTH(MinMei1+25)=5),MinMei1+25,""),IF(AND(YEAR(MinMei1+32)=TahunKalender,MONTH(MinMei1+32)=5),MinMei1+32,""))</f>
        <v>44707</v>
      </c>
      <c r="G27" s="31">
        <f>IF(DAY(MinMei1)=1,IF(AND(YEAR(MinMei1+26)=TahunKalender,MONTH(MinMei1+26)=5),MinMei1+26,""),IF(AND(YEAR(MinMei1+33)=TahunKalender,MONTH(MinMei1+33)=5),MinMei1+33,""))</f>
        <v>44708</v>
      </c>
      <c r="H27" s="31">
        <f>IF(DAY(MinMei1)=1,IF(AND(YEAR(MinMei1+27)=TahunKalender,MONTH(MinMei1+27)=5),MinMei1+27,""),IF(AND(YEAR(MinMei1+34)=TahunKalender,MONTH(MinMei1+34)=5),MinMei1+34,""))</f>
        <v>44709</v>
      </c>
      <c r="I27" s="31">
        <f>IF(DAY(MinMei1)=1,IF(AND(YEAR(MinMei1+28)=TahunKalender,MONTH(MinMei1+28)=5),MinMei1+28,""),IF(AND(YEAR(MinMei1+35)=TahunKalender,MONTH(MinMei1+35)=5),MinMei1+35,""))</f>
        <v>44710</v>
      </c>
      <c r="J27" s="28"/>
      <c r="K27" s="31">
        <f>IF(DAY(MinJun1)=1,IF(AND(YEAR(MinJun1+22)=TahunKalender,MONTH(MinJun1+22)=6),MinJun1+22,""),IF(AND(YEAR(MinJun1+29)=TahunKalender,MONTH(MinJun1+29)=6),MinJun1+29,""))</f>
        <v>44739</v>
      </c>
      <c r="L27" s="31">
        <f>IF(DAY(MinJun1)=1,IF(AND(YEAR(MinJun1+23)=TahunKalender,MONTH(MinJun1+23)=6),MinJun1+23,""),IF(AND(YEAR(MinJun1+30)=TahunKalender,MONTH(MinJun1+30)=6),MinJun1+30,""))</f>
        <v>44740</v>
      </c>
      <c r="M27" s="31">
        <f>IF(DAY(MinJun1)=1,IF(AND(YEAR(MinJun1+24)=TahunKalender,MONTH(MinJun1+24)=6),MinJun1+24,""),IF(AND(YEAR(MinJun1+31)=TahunKalender,MONTH(MinJun1+31)=6),MinJun1+31,""))</f>
        <v>44741</v>
      </c>
      <c r="N27" s="31">
        <f>IF(DAY(MinJun1)=1,IF(AND(YEAR(MinJun1+25)=TahunKalender,MONTH(MinJun1+25)=6),MinJun1+25,""),IF(AND(YEAR(MinJun1+32)=TahunKalender,MONTH(MinJun1+32)=6),MinJun1+32,""))</f>
        <v>44742</v>
      </c>
      <c r="O27" s="31" t="str">
        <f>IF(DAY(MinJun1)=1,IF(AND(YEAR(MinJun1+26)=TahunKalender,MONTH(MinJun1+26)=6),MinJun1+26,""),IF(AND(YEAR(MinJun1+33)=TahunKalender,MONTH(MinJun1+33)=6),MinJun1+33,""))</f>
        <v/>
      </c>
      <c r="P27" s="31" t="str">
        <f>IF(DAY(MinJun1)=1,IF(AND(YEAR(MinJun1+27)=TahunKalender,MONTH(MinJun1+27)=6),MinJun1+27,""),IF(AND(YEAR(MinJun1+34)=TahunKalender,MONTH(MinJun1+34)=6),MinJun1+34,""))</f>
        <v/>
      </c>
      <c r="Q27" s="31" t="str">
        <f>IF(DAY(MinJun1)=1,IF(AND(YEAR(MinJun1+28)=TahunKalender,MONTH(MinJun1+28)=6),MinJun1+28,""),IF(AND(YEAR(MinJun1+35)=TahunKalender,MONTH(MinJun1+35)=6),MinJun1+35,""))</f>
        <v/>
      </c>
      <c r="S27" s="3"/>
      <c r="U27" s="7"/>
      <c r="V27" s="1"/>
      <c r="W27" s="1"/>
    </row>
    <row r="28" spans="1:41" ht="15" customHeight="1" x14ac:dyDescent="0.2">
      <c r="C28" s="31">
        <f>IF(DAY(MinMei1)=1,IF(AND(YEAR(MinMei1+29)=TahunKalender,MONTH(MinMei1+29)=5),MinMei1+29,""),IF(AND(YEAR(MinMei1+36)=TahunKalender,MONTH(MinMei1+36)=5),MinMei1+36,""))</f>
        <v>44711</v>
      </c>
      <c r="D28" s="31">
        <f>IF(DAY(MinMei1)=1,IF(AND(YEAR(MinMei1+30)=TahunKalender,MONTH(MinMei1+30)=5),MinMei1+30,""),IF(AND(YEAR(MinMei1+37)=TahunKalender,MONTH(MinMei1+37)=5),MinMei1+37,""))</f>
        <v>44712</v>
      </c>
      <c r="E28" s="31" t="str">
        <f>IF(DAY(MinMei1)=1,IF(AND(YEAR(MinMei1+31)=TahunKalender,MONTH(MinMei1+31)=5),MinMei1+31,""),IF(AND(YEAR(MinMei1+38)=TahunKalender,MONTH(MinMei1+38)=5),MinMei1+38,""))</f>
        <v/>
      </c>
      <c r="F28" s="31" t="str">
        <f>IF(DAY(MinMei1)=1,IF(AND(YEAR(MinMei1+32)=TahunKalender,MONTH(MinMei1+32)=5),MinMei1+32,""),IF(AND(YEAR(MinMei1+39)=TahunKalender,MONTH(MinMei1+39)=5),MinMei1+39,""))</f>
        <v/>
      </c>
      <c r="G28" s="31" t="str">
        <f>IF(DAY(MinMei1)=1,IF(AND(YEAR(MinMei1+33)=TahunKalender,MONTH(MinMei1+33)=5),MinMei1+33,""),IF(AND(YEAR(MinMei1+40)=TahunKalender,MONTH(MinMei1+40)=5),MinMei1+40,""))</f>
        <v/>
      </c>
      <c r="H28" s="31" t="str">
        <f>IF(DAY(MinMei1)=1,IF(AND(YEAR(MinMei1+34)=TahunKalender,MONTH(MinMei1+34)=5),MinMei1+34,""),IF(AND(YEAR(MinMei1+41)=TahunKalender,MONTH(MinMei1+41)=5),MinMei1+41,""))</f>
        <v/>
      </c>
      <c r="I28" s="31" t="str">
        <f>IF(DAY(MinMei1)=1,IF(AND(YEAR(MinMei1+35)=TahunKalender,MONTH(MinMei1+35)=5),MinMei1+35,""),IF(AND(YEAR(MinMei1+42)=TahunKalender,MONTH(MinMei1+42)=5),MinMei1+42,""))</f>
        <v/>
      </c>
      <c r="J28" s="28"/>
      <c r="K28" s="31" t="str">
        <f>IF(DAY(MinJun1)=1,IF(AND(YEAR(MinJun1+29)=TahunKalender,MONTH(MinJun1+29)=6),MinJun1+29,""),IF(AND(YEAR(MinJun1+36)=TahunKalender,MONTH(MinJun1+36)=6),MinJun1+36,""))</f>
        <v/>
      </c>
      <c r="L28" s="31" t="str">
        <f>IF(DAY(MinJun1)=1,IF(AND(YEAR(MinJun1+30)=TahunKalender,MONTH(MinJun1+30)=6),MinJun1+30,""),IF(AND(YEAR(MinJun1+37)=TahunKalender,MONTH(MinJun1+37)=6),MinJun1+37,""))</f>
        <v/>
      </c>
      <c r="M28" s="31" t="str">
        <f>IF(DAY(MinJun1)=1,IF(AND(YEAR(MinJun1+31)=TahunKalender,MONTH(MinJun1+31)=6),MinJun1+31,""),IF(AND(YEAR(MinJun1+38)=TahunKalender,MONTH(MinJun1+38)=6),MinJun1+38,""))</f>
        <v/>
      </c>
      <c r="N28" s="31" t="str">
        <f>IF(DAY(MinJun1)=1,IF(AND(YEAR(MinJun1+32)=TahunKalender,MONTH(MinJun1+32)=6),MinJun1+32,""),IF(AND(YEAR(MinJun1+39)=TahunKalender,MONTH(MinJun1+39)=6),MinJun1+39,""))</f>
        <v/>
      </c>
      <c r="O28" s="31" t="str">
        <f>IF(DAY(MinJun1)=1,IF(AND(YEAR(MinJun1+33)=TahunKalender,MONTH(MinJun1+33)=6),MinJun1+33,""),IF(AND(YEAR(MinJun1+40)=TahunKalender,MONTH(MinJun1+40)=6),MinJun1+40,""))</f>
        <v/>
      </c>
      <c r="P28" s="31" t="str">
        <f>IF(DAY(MinJun1)=1,IF(AND(YEAR(MinJun1+34)=TahunKalender,MONTH(MinJun1+34)=6),MinJun1+34,""),IF(AND(YEAR(MinJun1+41)=TahunKalender,MONTH(MinJun1+41)=6),MinJun1+41,""))</f>
        <v/>
      </c>
      <c r="Q28" s="31" t="str">
        <f>IF(DAY(MinJun1)=1,IF(AND(YEAR(MinJun1+35)=TahunKalender,MONTH(MinJun1+35)=6),MinJun1+35,""),IF(AND(YEAR(MinJun1+42)=TahunKalender,MONTH(MinJun1+42)=6),MinJun1+42,""))</f>
        <v/>
      </c>
      <c r="S28" s="3"/>
      <c r="U28" s="9"/>
      <c r="V28" s="1"/>
      <c r="W28" s="1"/>
    </row>
    <row r="29" spans="1:41" ht="15" customHeight="1" x14ac:dyDescent="0.2">
      <c r="J29" s="28"/>
      <c r="S29" s="3"/>
      <c r="U29" s="6"/>
      <c r="V29" s="1"/>
      <c r="W29" s="1"/>
    </row>
    <row r="30" spans="1:41" ht="15" customHeight="1" x14ac:dyDescent="0.2">
      <c r="A30" s="24" t="s">
        <v>15</v>
      </c>
      <c r="C30" s="33" t="s">
        <v>30</v>
      </c>
      <c r="D30" s="33"/>
      <c r="E30" s="33"/>
      <c r="F30" s="33"/>
      <c r="G30" s="33"/>
      <c r="H30" s="33"/>
      <c r="I30" s="33"/>
      <c r="J30" s="28"/>
      <c r="K30" s="33" t="s">
        <v>42</v>
      </c>
      <c r="L30" s="33"/>
      <c r="M30" s="33"/>
      <c r="N30" s="33"/>
      <c r="O30" s="33"/>
      <c r="P30" s="33"/>
      <c r="Q30" s="33"/>
      <c r="S30" s="3"/>
      <c r="U30" s="7"/>
      <c r="V30" s="1"/>
      <c r="W30" s="1"/>
    </row>
    <row r="31" spans="1:41" ht="15" customHeight="1" x14ac:dyDescent="0.2">
      <c r="A31" s="24" t="s">
        <v>16</v>
      </c>
      <c r="C31" s="17" t="s">
        <v>27</v>
      </c>
      <c r="D31" s="17" t="s">
        <v>33</v>
      </c>
      <c r="E31" s="17" t="s">
        <v>34</v>
      </c>
      <c r="F31" s="17" t="s">
        <v>35</v>
      </c>
      <c r="G31" s="17" t="s">
        <v>36</v>
      </c>
      <c r="H31" s="17" t="s">
        <v>37</v>
      </c>
      <c r="I31" s="17" t="s">
        <v>38</v>
      </c>
      <c r="J31" s="28"/>
      <c r="K31" s="17" t="s">
        <v>27</v>
      </c>
      <c r="L31" s="17" t="s">
        <v>33</v>
      </c>
      <c r="M31" s="17" t="s">
        <v>34</v>
      </c>
      <c r="N31" s="17" t="s">
        <v>35</v>
      </c>
      <c r="O31" s="17" t="s">
        <v>36</v>
      </c>
      <c r="P31" s="17" t="s">
        <v>37</v>
      </c>
      <c r="Q31" s="17" t="s">
        <v>38</v>
      </c>
      <c r="S31" s="3"/>
      <c r="U31" s="9"/>
      <c r="V31" s="1"/>
      <c r="W31" s="1"/>
    </row>
    <row r="32" spans="1:41" ht="15" customHeight="1" x14ac:dyDescent="0.2">
      <c r="A32" s="24"/>
      <c r="C32" s="31" t="str">
        <f>IF(DAY(MinJul1)=1,"",IF(AND(YEAR(MinJul1+1)=TahunKalender,MONTH(MinJul1+1)=7),MinJul1+1,""))</f>
        <v/>
      </c>
      <c r="D32" s="31" t="str">
        <f>IF(DAY(MinJul1)=1,"",IF(AND(YEAR(MinJul1+2)=TahunKalender,MONTH(MinJul1+2)=7),MinJul1+2,""))</f>
        <v/>
      </c>
      <c r="E32" s="31" t="str">
        <f>IF(DAY(MinJul1)=1,"",IF(AND(YEAR(MinJul1+3)=TahunKalender,MONTH(MinJul1+3)=7),MinJul1+3,""))</f>
        <v/>
      </c>
      <c r="F32" s="31" t="str">
        <f>IF(DAY(MinJul1)=1,"",IF(AND(YEAR(MinJul1+4)=TahunKalender,MONTH(MinJul1+4)=7),MinJul1+4,""))</f>
        <v/>
      </c>
      <c r="G32" s="31">
        <f>IF(DAY(MinJul1)=1,"",IF(AND(YEAR(MinJul1+5)=TahunKalender,MONTH(MinJul1+5)=7),MinJul1+5,""))</f>
        <v>44743</v>
      </c>
      <c r="H32" s="31">
        <f>IF(DAY(MinJul1)=1,"",IF(AND(YEAR(MinJul1+6)=TahunKalender,MONTH(MinJul1+6)=7),MinJul1+6,""))</f>
        <v>44744</v>
      </c>
      <c r="I32" s="31">
        <f>IF(DAY(MinJul1)=1,IF(AND(YEAR(MinJul1)=TahunKalender,MONTH(MinJul1)=7),MinJul1,""),IF(AND(YEAR(MinJul1+7)=TahunKalender,MONTH(MinJul1+7)=7),MinJul1+7,""))</f>
        <v>44745</v>
      </c>
      <c r="K32" s="31">
        <f>IF(DAY(AguMin1)=1,"",IF(AND(YEAR(AguMin1+1)=TahunKalender,MONTH(AguMin1+1)=8),AguMin1+1,""))</f>
        <v>44774</v>
      </c>
      <c r="L32" s="31">
        <f>IF(DAY(AguMin1)=1,"",IF(AND(YEAR(AguMin1+2)=TahunKalender,MONTH(AguMin1+2)=8),AguMin1+2,""))</f>
        <v>44775</v>
      </c>
      <c r="M32" s="31">
        <f>IF(DAY(AguMin1)=1,"",IF(AND(YEAR(AguMin1+3)=TahunKalender,MONTH(AguMin1+3)=8),AguMin1+3,""))</f>
        <v>44776</v>
      </c>
      <c r="N32" s="31">
        <f>IF(DAY(AguMin1)=1,"",IF(AND(YEAR(AguMin1+4)=TahunKalender,MONTH(AguMin1+4)=8),AguMin1+4,""))</f>
        <v>44777</v>
      </c>
      <c r="O32" s="31">
        <f>IF(DAY(AguMin1)=1,"",IF(AND(YEAR(AguMin1+5)=TahunKalender,MONTH(AguMin1+5)=8),AguMin1+5,""))</f>
        <v>44778</v>
      </c>
      <c r="P32" s="31">
        <f>IF(DAY(AguMin1)=1,"",IF(AND(YEAR(AguMin1+6)=TahunKalender,MONTH(AguMin1+6)=8),AguMin1+6,""))</f>
        <v>44779</v>
      </c>
      <c r="Q32" s="31">
        <f>IF(DAY(AguMin1)=1,IF(AND(YEAR(AguMin1)=TahunKalender,MONTH(AguMin1)=8),AguMin1,""),IF(AND(YEAR(AguMin1+7)=TahunKalender,MONTH(AguMin1+7)=8),AguMin1+7,""))</f>
        <v>44780</v>
      </c>
      <c r="S32" s="3"/>
      <c r="U32" s="6"/>
      <c r="V32" s="1"/>
      <c r="W32" s="1"/>
    </row>
    <row r="33" spans="1:23" ht="15" customHeight="1" x14ac:dyDescent="0.2">
      <c r="A33" s="24"/>
      <c r="C33" s="31">
        <f>IF(DAY(MinJul1)=1,IF(AND(YEAR(MinJul1+1)=TahunKalender,MONTH(MinJul1+1)=7),MinJul1+1,""),IF(AND(YEAR(MinJul1+8)=TahunKalender,MONTH(MinJul1+8)=7),MinJul1+8,""))</f>
        <v>44746</v>
      </c>
      <c r="D33" s="31">
        <f>IF(DAY(MinJul1)=1,IF(AND(YEAR(MinJul1+2)=TahunKalender,MONTH(MinJul1+2)=7),MinJul1+2,""),IF(AND(YEAR(MinJul1+9)=TahunKalender,MONTH(MinJul1+9)=7),MinJul1+9,""))</f>
        <v>44747</v>
      </c>
      <c r="E33" s="31">
        <f>IF(DAY(MinJul1)=1,IF(AND(YEAR(MinJul1+3)=TahunKalender,MONTH(MinJul1+3)=7),MinJul1+3,""),IF(AND(YEAR(MinJul1+10)=TahunKalender,MONTH(MinJul1+10)=7),MinJul1+10,""))</f>
        <v>44748</v>
      </c>
      <c r="F33" s="31">
        <f>IF(DAY(MinJul1)=1,IF(AND(YEAR(MinJul1+4)=TahunKalender,MONTH(MinJul1+4)=7),MinJul1+4,""),IF(AND(YEAR(MinJul1+11)=TahunKalender,MONTH(MinJul1+11)=7),MinJul1+11,""))</f>
        <v>44749</v>
      </c>
      <c r="G33" s="31">
        <f>IF(DAY(MinJul1)=1,IF(AND(YEAR(MinJul1+5)=TahunKalender,MONTH(MinJul1+5)=7),MinJul1+5,""),IF(AND(YEAR(MinJul1+12)=TahunKalender,MONTH(MinJul1+12)=7),MinJul1+12,""))</f>
        <v>44750</v>
      </c>
      <c r="H33" s="31">
        <f>IF(DAY(MinJul1)=1,IF(AND(YEAR(MinJul1+6)=TahunKalender,MONTH(MinJul1+6)=7),MinJul1+6,""),IF(AND(YEAR(MinJul1+13)=TahunKalender,MONTH(MinJul1+13)=7),MinJul1+13,""))</f>
        <v>44751</v>
      </c>
      <c r="I33" s="31">
        <f>IF(DAY(MinJul1)=1,IF(AND(YEAR(MinJul1+7)=TahunKalender,MONTH(MinJul1+7)=7),MinJul1+7,""),IF(AND(YEAR(MinJul1+14)=TahunKalender,MONTH(MinJul1+14)=7),MinJul1+14,""))</f>
        <v>44752</v>
      </c>
      <c r="K33" s="31">
        <f>IF(DAY(AguMin1)=1,IF(AND(YEAR(AguMin1+1)=TahunKalender,MONTH(AguMin1+1)=8),AguMin1+1,""),IF(AND(YEAR(AguMin1+8)=TahunKalender,MONTH(AguMin1+8)=8),AguMin1+8,""))</f>
        <v>44781</v>
      </c>
      <c r="L33" s="31">
        <f>IF(DAY(AguMin1)=1,IF(AND(YEAR(AguMin1+2)=TahunKalender,MONTH(AguMin1+2)=8),AguMin1+2,""),IF(AND(YEAR(AguMin1+9)=TahunKalender,MONTH(AguMin1+9)=8),AguMin1+9,""))</f>
        <v>44782</v>
      </c>
      <c r="M33" s="31">
        <f>IF(DAY(AguMin1)=1,IF(AND(YEAR(AguMin1+3)=TahunKalender,MONTH(AguMin1+3)=8),AguMin1+3,""),IF(AND(YEAR(AguMin1+10)=TahunKalender,MONTH(AguMin1+10)=8),AguMin1+10,""))</f>
        <v>44783</v>
      </c>
      <c r="N33" s="31">
        <f>IF(DAY(AguMin1)=1,IF(AND(YEAR(AguMin1+4)=TahunKalender,MONTH(AguMin1+4)=8),AguMin1+4,""),IF(AND(YEAR(AguMin1+11)=TahunKalender,MONTH(AguMin1+11)=8),AguMin1+11,""))</f>
        <v>44784</v>
      </c>
      <c r="O33" s="31">
        <f>IF(DAY(AguMin1)=1,IF(AND(YEAR(AguMin1+5)=TahunKalender,MONTH(AguMin1+5)=8),AguMin1+5,""),IF(AND(YEAR(AguMin1+12)=TahunKalender,MONTH(AguMin1+12)=8),AguMin1+12,""))</f>
        <v>44785</v>
      </c>
      <c r="P33" s="31">
        <f>IF(DAY(AguMin1)=1,IF(AND(YEAR(AguMin1+6)=TahunKalender,MONTH(AguMin1+6)=8),AguMin1+6,""),IF(AND(YEAR(AguMin1+13)=TahunKalender,MONTH(AguMin1+13)=8),AguMin1+13,""))</f>
        <v>44786</v>
      </c>
      <c r="Q33" s="31">
        <f>IF(DAY(AguMin1)=1,IF(AND(YEAR(AguMin1+7)=TahunKalender,MONTH(AguMin1+7)=8),AguMin1+7,""),IF(AND(YEAR(AguMin1+14)=TahunKalender,MONTH(AguMin1+14)=8),AguMin1+14,""))</f>
        <v>44787</v>
      </c>
      <c r="S33" s="3"/>
      <c r="U33" s="7"/>
      <c r="V33" s="1"/>
      <c r="W33" s="1"/>
    </row>
    <row r="34" spans="1:23" ht="15" customHeight="1" x14ac:dyDescent="0.2">
      <c r="C34" s="31">
        <f>IF(DAY(MinJul1)=1,IF(AND(YEAR(MinJul1+8)=TahunKalender,MONTH(MinJul1+8)=7),MinJul1+8,""),IF(AND(YEAR(MinJul1+15)=TahunKalender,MONTH(MinJul1+15)=7),MinJul1+15,""))</f>
        <v>44753</v>
      </c>
      <c r="D34" s="31">
        <f>IF(DAY(MinJul1)=1,IF(AND(YEAR(MinJul1+9)=TahunKalender,MONTH(MinJul1+9)=7),MinJul1+9,""),IF(AND(YEAR(MinJul1+16)=TahunKalender,MONTH(MinJul1+16)=7),MinJul1+16,""))</f>
        <v>44754</v>
      </c>
      <c r="E34" s="31">
        <f>IF(DAY(MinJul1)=1,IF(AND(YEAR(MinJul1+10)=TahunKalender,MONTH(MinJul1+10)=7),MinJul1+10,""),IF(AND(YEAR(MinJul1+17)=TahunKalender,MONTH(MinJul1+17)=7),MinJul1+17,""))</f>
        <v>44755</v>
      </c>
      <c r="F34" s="31">
        <f>IF(DAY(MinJul1)=1,IF(AND(YEAR(MinJul1+11)=TahunKalender,MONTH(MinJul1+11)=7),MinJul1+11,""),IF(AND(YEAR(MinJul1+18)=TahunKalender,MONTH(MinJul1+18)=7),MinJul1+18,""))</f>
        <v>44756</v>
      </c>
      <c r="G34" s="31">
        <f>IF(DAY(MinJul1)=1,IF(AND(YEAR(MinJul1+12)=TahunKalender,MONTH(MinJul1+12)=7),MinJul1+12,""),IF(AND(YEAR(MinJul1+19)=TahunKalender,MONTH(MinJul1+19)=7),MinJul1+19,""))</f>
        <v>44757</v>
      </c>
      <c r="H34" s="31">
        <f>IF(DAY(MinJul1)=1,IF(AND(YEAR(MinJul1+13)=TahunKalender,MONTH(MinJul1+13)=7),MinJul1+13,""),IF(AND(YEAR(MinJul1+20)=TahunKalender,MONTH(MinJul1+20)=7),MinJul1+20,""))</f>
        <v>44758</v>
      </c>
      <c r="I34" s="31">
        <f>IF(DAY(MinJul1)=1,IF(AND(YEAR(MinJul1+14)=TahunKalender,MONTH(MinJul1+14)=7),MinJul1+14,""),IF(AND(YEAR(MinJul1+21)=TahunKalender,MONTH(MinJul1+21)=7),MinJul1+21,""))</f>
        <v>44759</v>
      </c>
      <c r="K34" s="31">
        <f>IF(DAY(AguMin1)=1,IF(AND(YEAR(AguMin1+8)=TahunKalender,MONTH(AguMin1+8)=8),AguMin1+8,""),IF(AND(YEAR(AguMin1+15)=TahunKalender,MONTH(AguMin1+15)=8),AguMin1+15,""))</f>
        <v>44788</v>
      </c>
      <c r="L34" s="31">
        <f>IF(DAY(AguMin1)=1,IF(AND(YEAR(AguMin1+9)=TahunKalender,MONTH(AguMin1+9)=8),AguMin1+9,""),IF(AND(YEAR(AguMin1+16)=TahunKalender,MONTH(AguMin1+16)=8),AguMin1+16,""))</f>
        <v>44789</v>
      </c>
      <c r="M34" s="31">
        <f>IF(DAY(AguMin1)=1,IF(AND(YEAR(AguMin1+10)=TahunKalender,MONTH(AguMin1+10)=8),AguMin1+10,""),IF(AND(YEAR(AguMin1+17)=TahunKalender,MONTH(AguMin1+17)=8),AguMin1+17,""))</f>
        <v>44790</v>
      </c>
      <c r="N34" s="31">
        <f>IF(DAY(AguMin1)=1,IF(AND(YEAR(AguMin1+11)=TahunKalender,MONTH(AguMin1+11)=8),AguMin1+11,""),IF(AND(YEAR(AguMin1+18)=TahunKalender,MONTH(AguMin1+18)=8),AguMin1+18,""))</f>
        <v>44791</v>
      </c>
      <c r="O34" s="31">
        <f>IF(DAY(AguMin1)=1,IF(AND(YEAR(AguMin1+12)=TahunKalender,MONTH(AguMin1+12)=8),AguMin1+12,""),IF(AND(YEAR(AguMin1+19)=TahunKalender,MONTH(AguMin1+19)=8),AguMin1+19,""))</f>
        <v>44792</v>
      </c>
      <c r="P34" s="31">
        <f>IF(DAY(AguMin1)=1,IF(AND(YEAR(AguMin1+13)=TahunKalender,MONTH(AguMin1+13)=8),AguMin1+13,""),IF(AND(YEAR(AguMin1+20)=TahunKalender,MONTH(AguMin1+20)=8),AguMin1+20,""))</f>
        <v>44793</v>
      </c>
      <c r="Q34" s="31">
        <f>IF(DAY(AguMin1)=1,IF(AND(YEAR(AguMin1+14)=TahunKalender,MONTH(AguMin1+14)=8),AguMin1+14,""),IF(AND(YEAR(AguMin1+21)=TahunKalender,MONTH(AguMin1+21)=8),AguMin1+21,""))</f>
        <v>44794</v>
      </c>
      <c r="S34" s="3"/>
      <c r="U34" s="9"/>
      <c r="V34" s="1"/>
      <c r="W34" s="1"/>
    </row>
    <row r="35" spans="1:23" ht="15" customHeight="1" x14ac:dyDescent="0.2">
      <c r="C35" s="31">
        <f>IF(DAY(MinJul1)=1,IF(AND(YEAR(MinJul1+15)=TahunKalender,MONTH(MinJul1+15)=7),MinJul1+15,""),IF(AND(YEAR(MinJul1+22)=TahunKalender,MONTH(MinJul1+22)=7),MinJul1+22,""))</f>
        <v>44760</v>
      </c>
      <c r="D35" s="31">
        <f>IF(DAY(MinJul1)=1,IF(AND(YEAR(MinJul1+16)=TahunKalender,MONTH(MinJul1+16)=7),MinJul1+16,""),IF(AND(YEAR(MinJul1+23)=TahunKalender,MONTH(MinJul1+23)=7),MinJul1+23,""))</f>
        <v>44761</v>
      </c>
      <c r="E35" s="31">
        <f>IF(DAY(MinJul1)=1,IF(AND(YEAR(MinJul1+17)=TahunKalender,MONTH(MinJul1+17)=7),MinJul1+17,""),IF(AND(YEAR(MinJul1+24)=TahunKalender,MONTH(MinJul1+24)=7),MinJul1+24,""))</f>
        <v>44762</v>
      </c>
      <c r="F35" s="31">
        <f>IF(DAY(MinJul1)=1,IF(AND(YEAR(MinJul1+18)=TahunKalender,MONTH(MinJul1+18)=7),MinJul1+18,""),IF(AND(YEAR(MinJul1+25)=TahunKalender,MONTH(MinJul1+25)=7),MinJul1+25,""))</f>
        <v>44763</v>
      </c>
      <c r="G35" s="31">
        <f>IF(DAY(MinJul1)=1,IF(AND(YEAR(MinJul1+19)=TahunKalender,MONTH(MinJul1+19)=7),MinJul1+19,""),IF(AND(YEAR(MinJul1+26)=TahunKalender,MONTH(MinJul1+26)=7),MinJul1+26,""))</f>
        <v>44764</v>
      </c>
      <c r="H35" s="31">
        <f>IF(DAY(MinJul1)=1,IF(AND(YEAR(MinJul1+20)=TahunKalender,MONTH(MinJul1+20)=7),MinJul1+20,""),IF(AND(YEAR(MinJul1+27)=TahunKalender,MONTH(MinJul1+27)=7),MinJul1+27,""))</f>
        <v>44765</v>
      </c>
      <c r="I35" s="31">
        <f>IF(DAY(MinJul1)=1,IF(AND(YEAR(MinJul1+21)=TahunKalender,MONTH(MinJul1+21)=7),MinJul1+21,""),IF(AND(YEAR(MinJul1+28)=TahunKalender,MONTH(MinJul1+28)=7),MinJul1+28,""))</f>
        <v>44766</v>
      </c>
      <c r="K35" s="31">
        <f>IF(DAY(AguMin1)=1,IF(AND(YEAR(AguMin1+15)=TahunKalender,MONTH(AguMin1+15)=8),AguMin1+15,""),IF(AND(YEAR(AguMin1+22)=TahunKalender,MONTH(AguMin1+22)=8),AguMin1+22,""))</f>
        <v>44795</v>
      </c>
      <c r="L35" s="31">
        <f>IF(DAY(AguMin1)=1,IF(AND(YEAR(AguMin1+16)=TahunKalender,MONTH(AguMin1+16)=8),AguMin1+16,""),IF(AND(YEAR(AguMin1+23)=TahunKalender,MONTH(AguMin1+23)=8),AguMin1+23,""))</f>
        <v>44796</v>
      </c>
      <c r="M35" s="31">
        <f>IF(DAY(AguMin1)=1,IF(AND(YEAR(AguMin1+17)=TahunKalender,MONTH(AguMin1+17)=8),AguMin1+17,""),IF(AND(YEAR(AguMin1+24)=TahunKalender,MONTH(AguMin1+24)=8),AguMin1+24,""))</f>
        <v>44797</v>
      </c>
      <c r="N35" s="31">
        <f>IF(DAY(AguMin1)=1,IF(AND(YEAR(AguMin1+18)=TahunKalender,MONTH(AguMin1+18)=8),AguMin1+18,""),IF(AND(YEAR(AguMin1+25)=TahunKalender,MONTH(AguMin1+25)=8),AguMin1+25,""))</f>
        <v>44798</v>
      </c>
      <c r="O35" s="31">
        <f>IF(DAY(AguMin1)=1,IF(AND(YEAR(AguMin1+19)=TahunKalender,MONTH(AguMin1+19)=8),AguMin1+19,""),IF(AND(YEAR(AguMin1+26)=TahunKalender,MONTH(AguMin1+26)=8),AguMin1+26,""))</f>
        <v>44799</v>
      </c>
      <c r="P35" s="31">
        <f>IF(DAY(AguMin1)=1,IF(AND(YEAR(AguMin1+20)=TahunKalender,MONTH(AguMin1+20)=8),AguMin1+20,""),IF(AND(YEAR(AguMin1+27)=TahunKalender,MONTH(AguMin1+27)=8),AguMin1+27,""))</f>
        <v>44800</v>
      </c>
      <c r="Q35" s="31">
        <f>IF(DAY(AguMin1)=1,IF(AND(YEAR(AguMin1+21)=TahunKalender,MONTH(AguMin1+21)=8),AguMin1+21,""),IF(AND(YEAR(AguMin1+28)=TahunKalender,MONTH(AguMin1+28)=8),AguMin1+28,""))</f>
        <v>44801</v>
      </c>
      <c r="S35" s="3"/>
      <c r="U35" s="6"/>
      <c r="V35" s="1"/>
      <c r="W35" s="1"/>
    </row>
    <row r="36" spans="1:23" ht="15" customHeight="1" x14ac:dyDescent="0.2">
      <c r="C36" s="31">
        <f>IF(DAY(MinJul1)=1,IF(AND(YEAR(MinJul1+22)=TahunKalender,MONTH(MinJul1+22)=7),MinJul1+22,""),IF(AND(YEAR(MinJul1+29)=TahunKalender,MONTH(MinJul1+29)=7),MinJul1+29,""))</f>
        <v>44767</v>
      </c>
      <c r="D36" s="31">
        <f>IF(DAY(MinJul1)=1,IF(AND(YEAR(MinJul1+23)=TahunKalender,MONTH(MinJul1+23)=7),MinJul1+23,""),IF(AND(YEAR(MinJul1+30)=TahunKalender,MONTH(MinJul1+30)=7),MinJul1+30,""))</f>
        <v>44768</v>
      </c>
      <c r="E36" s="31">
        <f>IF(DAY(MinJul1)=1,IF(AND(YEAR(MinJul1+24)=TahunKalender,MONTH(MinJul1+24)=7),MinJul1+24,""),IF(AND(YEAR(MinJul1+31)=TahunKalender,MONTH(MinJul1+31)=7),MinJul1+31,""))</f>
        <v>44769</v>
      </c>
      <c r="F36" s="31">
        <f>IF(DAY(MinJul1)=1,IF(AND(YEAR(MinJul1+25)=TahunKalender,MONTH(MinJul1+25)=7),MinJul1+25,""),IF(AND(YEAR(MinJul1+32)=TahunKalender,MONTH(MinJul1+32)=7),MinJul1+32,""))</f>
        <v>44770</v>
      </c>
      <c r="G36" s="31">
        <f>IF(DAY(MinJul1)=1,IF(AND(YEAR(MinJul1+26)=TahunKalender,MONTH(MinJul1+26)=7),MinJul1+26,""),IF(AND(YEAR(MinJul1+33)=TahunKalender,MONTH(MinJul1+33)=7),MinJul1+33,""))</f>
        <v>44771</v>
      </c>
      <c r="H36" s="31">
        <f>IF(DAY(MinJul1)=1,IF(AND(YEAR(MinJul1+27)=TahunKalender,MONTH(MinJul1+27)=7),MinJul1+27,""),IF(AND(YEAR(MinJul1+34)=TahunKalender,MONTH(MinJul1+34)=7),MinJul1+34,""))</f>
        <v>44772</v>
      </c>
      <c r="I36" s="31">
        <f>IF(DAY(MinJul1)=1,IF(AND(YEAR(MinJul1+28)=TahunKalender,MONTH(MinJul1+28)=7),MinJul1+28,""),IF(AND(YEAR(MinJul1+35)=TahunKalender,MONTH(MinJul1+35)=7),MinJul1+35,""))</f>
        <v>44773</v>
      </c>
      <c r="K36" s="31">
        <f>IF(DAY(AguMin1)=1,IF(AND(YEAR(AguMin1+22)=TahunKalender,MONTH(AguMin1+22)=8),AguMin1+22,""),IF(AND(YEAR(AguMin1+29)=TahunKalender,MONTH(AguMin1+29)=8),AguMin1+29,""))</f>
        <v>44802</v>
      </c>
      <c r="L36" s="31">
        <f>IF(DAY(AguMin1)=1,IF(AND(YEAR(AguMin1+23)=TahunKalender,MONTH(AguMin1+23)=8),AguMin1+23,""),IF(AND(YEAR(AguMin1+30)=TahunKalender,MONTH(AguMin1+30)=8),AguMin1+30,""))</f>
        <v>44803</v>
      </c>
      <c r="M36" s="31">
        <f>IF(DAY(AguMin1)=1,IF(AND(YEAR(AguMin1+24)=TahunKalender,MONTH(AguMin1+24)=8),AguMin1+24,""),IF(AND(YEAR(AguMin1+31)=TahunKalender,MONTH(AguMin1+31)=8),AguMin1+31,""))</f>
        <v>44804</v>
      </c>
      <c r="N36" s="31" t="str">
        <f>IF(DAY(AguMin1)=1,IF(AND(YEAR(AguMin1+25)=TahunKalender,MONTH(AguMin1+25)=8),AguMin1+25,""),IF(AND(YEAR(AguMin1+32)=TahunKalender,MONTH(AguMin1+32)=8),AguMin1+32,""))</f>
        <v/>
      </c>
      <c r="O36" s="31" t="str">
        <f>IF(DAY(AguMin1)=1,IF(AND(YEAR(AguMin1+26)=TahunKalender,MONTH(AguMin1+26)=8),AguMin1+26,""),IF(AND(YEAR(AguMin1+33)=TahunKalender,MONTH(AguMin1+33)=8),AguMin1+33,""))</f>
        <v/>
      </c>
      <c r="P36" s="31" t="str">
        <f>IF(DAY(AguMin1)=1,IF(AND(YEAR(AguMin1+27)=TahunKalender,MONTH(AguMin1+27)=8),AguMin1+27,""),IF(AND(YEAR(AguMin1+34)=TahunKalender,MONTH(AguMin1+34)=8),AguMin1+34,""))</f>
        <v/>
      </c>
      <c r="Q36" s="31" t="str">
        <f>IF(DAY(AguMin1)=1,IF(AND(YEAR(AguMin1+28)=TahunKalender,MONTH(AguMin1+28)=8),AguMin1+28,""),IF(AND(YEAR(AguMin1+35)=TahunKalender,MONTH(AguMin1+35)=8),AguMin1+35,""))</f>
        <v/>
      </c>
      <c r="S36" s="3"/>
      <c r="U36" s="7"/>
      <c r="V36" s="1"/>
      <c r="W36" s="1"/>
    </row>
    <row r="37" spans="1:23" ht="15" customHeight="1" x14ac:dyDescent="0.2">
      <c r="C37" s="31" t="str">
        <f>IF(DAY(MinJul1)=1,IF(AND(YEAR(MinJul1+29)=TahunKalender,MONTH(MinJul1+29)=7),MinJul1+29,""),IF(AND(YEAR(MinJul1+36)=TahunKalender,MONTH(MinJul1+36)=7),MinJul1+36,""))</f>
        <v/>
      </c>
      <c r="D37" s="31" t="str">
        <f>IF(DAY(MinJul1)=1,IF(AND(YEAR(MinJul1+30)=TahunKalender,MONTH(MinJul1+30)=7),MinJul1+30,""),IF(AND(YEAR(MinJul1+37)=TahunKalender,MONTH(MinJul1+37)=7),MinJul1+37,""))</f>
        <v/>
      </c>
      <c r="E37" s="31" t="str">
        <f>IF(DAY(MinJul1)=1,IF(AND(YEAR(MinJul1+31)=TahunKalender,MONTH(MinJul1+31)=7),MinJul1+31,""),IF(AND(YEAR(MinJul1+38)=TahunKalender,MONTH(MinJul1+38)=7),MinJul1+38,""))</f>
        <v/>
      </c>
      <c r="F37" s="31" t="str">
        <f>IF(DAY(MinJul1)=1,IF(AND(YEAR(MinJul1+32)=TahunKalender,MONTH(MinJul1+32)=7),MinJul1+32,""),IF(AND(YEAR(MinJul1+39)=TahunKalender,MONTH(MinJul1+39)=7),MinJul1+39,""))</f>
        <v/>
      </c>
      <c r="G37" s="31" t="str">
        <f>IF(DAY(MinJul1)=1,IF(AND(YEAR(MinJul1+33)=TahunKalender,MONTH(MinJul1+33)=7),MinJul1+33,""),IF(AND(YEAR(MinJul1+40)=TahunKalender,MONTH(MinJul1+40)=7),MinJul1+40,""))</f>
        <v/>
      </c>
      <c r="H37" s="31" t="str">
        <f>IF(DAY(MinJul1)=1,IF(AND(YEAR(MinJul1+34)=TahunKalender,MONTH(MinJul1+34)=7),MinJul1+34,""),IF(AND(YEAR(MinJul1+41)=TahunKalender,MONTH(MinJul1+41)=7),MinJul1+41,""))</f>
        <v/>
      </c>
      <c r="I37" s="31" t="str">
        <f>IF(DAY(MinJul1)=1,IF(AND(YEAR(MinJul1+35)=TahunKalender,MONTH(MinJul1+35)=7),MinJul1+35,""),IF(AND(YEAR(MinJul1+42)=TahunKalender,MONTH(MinJul1+42)=7),MinJul1+42,""))</f>
        <v/>
      </c>
      <c r="K37" s="31" t="str">
        <f>IF(DAY(AguMin1)=1,IF(AND(YEAR(AguMin1+29)=TahunKalender,MONTH(AguMin1+29)=8),AguMin1+29,""),IF(AND(YEAR(AguMin1+36)=TahunKalender,MONTH(AguMin1+36)=8),AguMin1+36,""))</f>
        <v/>
      </c>
      <c r="L37" s="31" t="str">
        <f>IF(DAY(AguMin1)=1,IF(AND(YEAR(AguMin1+30)=TahunKalender,MONTH(AguMin1+30)=8),AguMin1+30,""),IF(AND(YEAR(AguMin1+37)=TahunKalender,MONTH(AguMin1+37)=8),AguMin1+37,""))</f>
        <v/>
      </c>
      <c r="M37" s="31" t="str">
        <f>IF(DAY(AguMin1)=1,IF(AND(YEAR(AguMin1+31)=TahunKalender,MONTH(AguMin1+31)=8),AguMin1+31,""),IF(AND(YEAR(AguMin1+38)=TahunKalender,MONTH(AguMin1+38)=8),AguMin1+38,""))</f>
        <v/>
      </c>
      <c r="N37" s="31" t="str">
        <f>IF(DAY(AguMin1)=1,IF(AND(YEAR(AguMin1+32)=TahunKalender,MONTH(AguMin1+32)=8),AguMin1+32,""),IF(AND(YEAR(AguMin1+39)=TahunKalender,MONTH(AguMin1+39)=8),AguMin1+39,""))</f>
        <v/>
      </c>
      <c r="O37" s="31" t="str">
        <f>IF(DAY(AguMin1)=1,IF(AND(YEAR(AguMin1+33)=TahunKalender,MONTH(AguMin1+33)=8),AguMin1+33,""),IF(AND(YEAR(AguMin1+40)=TahunKalender,MONTH(AguMin1+40)=8),AguMin1+40,""))</f>
        <v/>
      </c>
      <c r="P37" s="31" t="str">
        <f>IF(DAY(AguMin1)=1,IF(AND(YEAR(AguMin1+34)=TahunKalender,MONTH(AguMin1+34)=8),AguMin1+34,""),IF(AND(YEAR(AguMin1+41)=TahunKalender,MONTH(AguMin1+41)=8),AguMin1+41,""))</f>
        <v/>
      </c>
      <c r="Q37" s="31" t="str">
        <f>IF(DAY(AguMin1)=1,IF(AND(YEAR(AguMin1+35)=TahunKalender,MONTH(AguMin1+35)=8),AguMin1+35,""),IF(AND(YEAR(AguMin1+42)=TahunKalender,MONTH(AguMin1+42)=8),AguMin1+42,""))</f>
        <v/>
      </c>
      <c r="S37" s="3"/>
      <c r="U37" s="9"/>
      <c r="V37" s="1"/>
      <c r="W37" s="1"/>
    </row>
    <row r="38" spans="1:23" ht="15" customHeight="1" x14ac:dyDescent="0.2">
      <c r="C38" s="28"/>
      <c r="D38" s="28"/>
      <c r="E38" s="28"/>
      <c r="F38" s="28"/>
      <c r="G38" s="28"/>
      <c r="H38" s="28"/>
      <c r="I38" s="28"/>
      <c r="K38" s="28"/>
      <c r="L38" s="28"/>
      <c r="M38" s="28"/>
      <c r="N38" s="28"/>
      <c r="O38" s="28"/>
      <c r="P38" s="28"/>
      <c r="Q38" s="28"/>
      <c r="S38" s="3"/>
      <c r="U38" s="6"/>
      <c r="V38" s="1"/>
      <c r="W38" s="1"/>
    </row>
    <row r="39" spans="1:23" ht="15" customHeight="1" x14ac:dyDescent="0.2">
      <c r="A39" s="24" t="s">
        <v>17</v>
      </c>
      <c r="C39" s="33" t="s">
        <v>31</v>
      </c>
      <c r="D39" s="33"/>
      <c r="E39" s="33"/>
      <c r="F39" s="33"/>
      <c r="G39" s="33"/>
      <c r="H39" s="33"/>
      <c r="I39" s="33"/>
      <c r="K39" s="33" t="s">
        <v>43</v>
      </c>
      <c r="L39" s="33"/>
      <c r="M39" s="33"/>
      <c r="N39" s="33"/>
      <c r="O39" s="33"/>
      <c r="P39" s="33"/>
      <c r="Q39" s="33"/>
      <c r="S39" s="3"/>
      <c r="U39" s="7"/>
      <c r="V39" s="1"/>
      <c r="W39" s="1"/>
    </row>
    <row r="40" spans="1:23" ht="15" customHeight="1" x14ac:dyDescent="0.2">
      <c r="A40" s="24" t="s">
        <v>18</v>
      </c>
      <c r="C40" s="17" t="s">
        <v>27</v>
      </c>
      <c r="D40" s="17" t="s">
        <v>33</v>
      </c>
      <c r="E40" s="17" t="s">
        <v>34</v>
      </c>
      <c r="F40" s="17" t="s">
        <v>35</v>
      </c>
      <c r="G40" s="17" t="s">
        <v>36</v>
      </c>
      <c r="H40" s="17" t="s">
        <v>37</v>
      </c>
      <c r="I40" s="17" t="s">
        <v>38</v>
      </c>
      <c r="K40" s="17" t="s">
        <v>27</v>
      </c>
      <c r="L40" s="17" t="s">
        <v>33</v>
      </c>
      <c r="M40" s="17" t="s">
        <v>34</v>
      </c>
      <c r="N40" s="17" t="s">
        <v>35</v>
      </c>
      <c r="O40" s="17" t="s">
        <v>36</v>
      </c>
      <c r="P40" s="17" t="s">
        <v>37</v>
      </c>
      <c r="Q40" s="17" t="s">
        <v>38</v>
      </c>
      <c r="S40" s="3"/>
      <c r="U40" s="9"/>
      <c r="V40" s="1"/>
      <c r="W40" s="1"/>
    </row>
    <row r="41" spans="1:23" ht="15" customHeight="1" x14ac:dyDescent="0.2">
      <c r="C41" s="31" t="str">
        <f>IF(DAY(MinSep1)=1,"",IF(AND(YEAR(MinSep1+1)=TahunKalender,MONTH(MinSep1+1)=9),MinSep1+1,""))</f>
        <v/>
      </c>
      <c r="D41" s="31" t="str">
        <f>IF(DAY(MinSep1)=1,"",IF(AND(YEAR(MinSep1+2)=TahunKalender,MONTH(MinSep1+2)=9),MinSep1+2,""))</f>
        <v/>
      </c>
      <c r="E41" s="31" t="str">
        <f>IF(DAY(MinSep1)=1,"",IF(AND(YEAR(MinSep1+3)=TahunKalender,MONTH(MinSep1+3)=9),MinSep1+3,""))</f>
        <v/>
      </c>
      <c r="F41" s="31">
        <f>IF(DAY(MinSep1)=1,"",IF(AND(YEAR(MinSep1+4)=TahunKalender,MONTH(MinSep1+4)=9),MinSep1+4,""))</f>
        <v>44805</v>
      </c>
      <c r="G41" s="31">
        <f>IF(DAY(MinSep1)=1,"",IF(AND(YEAR(MinSep1+5)=TahunKalender,MONTH(MinSep1+5)=9),MinSep1+5,""))</f>
        <v>44806</v>
      </c>
      <c r="H41" s="31">
        <f>IF(DAY(MinSep1)=1,"",IF(AND(YEAR(MinSep1+6)=TahunKalender,MONTH(MinSep1+6)=9),MinSep1+6,""))</f>
        <v>44807</v>
      </c>
      <c r="I41" s="31">
        <f>IF(DAY(MinSep1)=1,IF(AND(YEAR(MinSep1)=TahunKalender,MONTH(MinSep1)=9),MinSep1,""),IF(AND(YEAR(MinSep1+7)=TahunKalender,MONTH(MinSep1+7)=9),MinSep1+7,""))</f>
        <v>44808</v>
      </c>
      <c r="K41" s="31" t="str">
        <f>IF(DAY(MinOkt1)=1,"",IF(AND(YEAR(MinOkt1+1)=TahunKalender,MONTH(MinOkt1+1)=10),MinOkt1+1,""))</f>
        <v/>
      </c>
      <c r="L41" s="31" t="str">
        <f>IF(DAY(MinOkt1)=1,"",IF(AND(YEAR(MinOkt1+2)=TahunKalender,MONTH(MinOkt1+2)=10),MinOkt1+2,""))</f>
        <v/>
      </c>
      <c r="M41" s="31" t="str">
        <f>IF(DAY(MinOkt1)=1,"",IF(AND(YEAR(MinOkt1+3)=TahunKalender,MONTH(MinOkt1+3)=10),MinOkt1+3,""))</f>
        <v/>
      </c>
      <c r="N41" s="31" t="str">
        <f>IF(DAY(MinOkt1)=1,"",IF(AND(YEAR(MinOkt1+4)=TahunKalender,MONTH(MinOkt1+4)=10),MinOkt1+4,""))</f>
        <v/>
      </c>
      <c r="O41" s="31" t="str">
        <f>IF(DAY(MinOkt1)=1,"",IF(AND(YEAR(MinOkt1+5)=TahunKalender,MONTH(MinOkt1+5)=10),MinOkt1+5,""))</f>
        <v/>
      </c>
      <c r="P41" s="31">
        <f>IF(DAY(MinOkt1)=1,"",IF(AND(YEAR(MinOkt1+6)=TahunKalender,MONTH(MinOkt1+6)=10),MinOkt1+6,""))</f>
        <v>44835</v>
      </c>
      <c r="Q41" s="31">
        <f>IF(DAY(MinOkt1)=1,IF(AND(YEAR(MinOkt1)=TahunKalender,MONTH(MinOkt1)=10),MinOkt1,""),IF(AND(YEAR(MinOkt1+7)=TahunKalender,MONTH(MinOkt1+7)=10),MinOkt1+7,""))</f>
        <v>44836</v>
      </c>
      <c r="S41" s="3"/>
      <c r="U41" s="6"/>
      <c r="V41" s="1"/>
      <c r="W41" s="1"/>
    </row>
    <row r="42" spans="1:23" ht="15" customHeight="1" x14ac:dyDescent="0.2">
      <c r="C42" s="31">
        <f>IF(DAY(MinSep1)=1,IF(AND(YEAR(MinSep1+1)=TahunKalender,MONTH(MinSep1+1)=9),MinSep1+1,""),IF(AND(YEAR(MinSep1+8)=TahunKalender,MONTH(MinSep1+8)=9),MinSep1+8,""))</f>
        <v>44809</v>
      </c>
      <c r="D42" s="31">
        <f>IF(DAY(MinSep1)=1,IF(AND(YEAR(MinSep1+2)=TahunKalender,MONTH(MinSep1+2)=9),MinSep1+2,""),IF(AND(YEAR(MinSep1+9)=TahunKalender,MONTH(MinSep1+9)=9),MinSep1+9,""))</f>
        <v>44810</v>
      </c>
      <c r="E42" s="31">
        <f>IF(DAY(MinSep1)=1,IF(AND(YEAR(MinSep1+3)=TahunKalender,MONTH(MinSep1+3)=9),MinSep1+3,""),IF(AND(YEAR(MinSep1+10)=TahunKalender,MONTH(MinSep1+10)=9),MinSep1+10,""))</f>
        <v>44811</v>
      </c>
      <c r="F42" s="31">
        <f>IF(DAY(MinSep1)=1,IF(AND(YEAR(MinSep1+4)=TahunKalender,MONTH(MinSep1+4)=9),MinSep1+4,""),IF(AND(YEAR(MinSep1+11)=TahunKalender,MONTH(MinSep1+11)=9),MinSep1+11,""))</f>
        <v>44812</v>
      </c>
      <c r="G42" s="31">
        <f>IF(DAY(MinSep1)=1,IF(AND(YEAR(MinSep1+5)=TahunKalender,MONTH(MinSep1+5)=9),MinSep1+5,""),IF(AND(YEAR(MinSep1+12)=TahunKalender,MONTH(MinSep1+12)=9),MinSep1+12,""))</f>
        <v>44813</v>
      </c>
      <c r="H42" s="31">
        <f>IF(DAY(MinSep1)=1,IF(AND(YEAR(MinSep1+6)=TahunKalender,MONTH(MinSep1+6)=9),MinSep1+6,""),IF(AND(YEAR(MinSep1+13)=TahunKalender,MONTH(MinSep1+13)=9),MinSep1+13,""))</f>
        <v>44814</v>
      </c>
      <c r="I42" s="31">
        <f>IF(DAY(MinSep1)=1,IF(AND(YEAR(MinSep1+7)=TahunKalender,MONTH(MinSep1+7)=9),MinSep1+7,""),IF(AND(YEAR(MinSep1+14)=TahunKalender,MONTH(MinSep1+14)=9),MinSep1+14,""))</f>
        <v>44815</v>
      </c>
      <c r="K42" s="31">
        <f>IF(DAY(MinOkt1)=1,IF(AND(YEAR(MinOkt1+1)=TahunKalender,MONTH(MinOkt1+1)=10),MinOkt1+1,""),IF(AND(YEAR(MinOkt1+8)=TahunKalender,MONTH(MinOkt1+8)=10),MinOkt1+8,""))</f>
        <v>44837</v>
      </c>
      <c r="L42" s="31">
        <f>IF(DAY(MinOkt1)=1,IF(AND(YEAR(MinOkt1+2)=TahunKalender,MONTH(MinOkt1+2)=10),MinOkt1+2,""),IF(AND(YEAR(MinOkt1+9)=TahunKalender,MONTH(MinOkt1+9)=10),MinOkt1+9,""))</f>
        <v>44838</v>
      </c>
      <c r="M42" s="31">
        <f>IF(DAY(MinOkt1)=1,IF(AND(YEAR(MinOkt1+3)=TahunKalender,MONTH(MinOkt1+3)=10),MinOkt1+3,""),IF(AND(YEAR(MinOkt1+10)=TahunKalender,MONTH(MinOkt1+10)=10),MinOkt1+10,""))</f>
        <v>44839</v>
      </c>
      <c r="N42" s="31">
        <f>IF(DAY(MinOkt1)=1,IF(AND(YEAR(MinOkt1+4)=TahunKalender,MONTH(MinOkt1+4)=10),MinOkt1+4,""),IF(AND(YEAR(MinOkt1+11)=TahunKalender,MONTH(MinOkt1+11)=10),MinOkt1+11,""))</f>
        <v>44840</v>
      </c>
      <c r="O42" s="31">
        <f>IF(DAY(MinOkt1)=1,IF(AND(YEAR(MinOkt1+5)=TahunKalender,MONTH(MinOkt1+5)=10),MinOkt1+5,""),IF(AND(YEAR(MinOkt1+12)=TahunKalender,MONTH(MinOkt1+12)=10),MinOkt1+12,""))</f>
        <v>44841</v>
      </c>
      <c r="P42" s="31">
        <f>IF(DAY(MinOkt1)=1,IF(AND(YEAR(MinOkt1+6)=TahunKalender,MONTH(MinOkt1+6)=10),MinOkt1+6,""),IF(AND(YEAR(MinOkt1+13)=TahunKalender,MONTH(MinOkt1+13)=10),MinOkt1+13,""))</f>
        <v>44842</v>
      </c>
      <c r="Q42" s="31">
        <f>IF(DAY(MinOkt1)=1,IF(AND(YEAR(MinOkt1+7)=TahunKalender,MONTH(MinOkt1+7)=10),MinOkt1+7,""),IF(AND(YEAR(MinOkt1+14)=TahunKalender,MONTH(MinOkt1+14)=10),MinOkt1+14,""))</f>
        <v>44843</v>
      </c>
      <c r="S42" s="3"/>
      <c r="U42" s="6"/>
      <c r="V42" s="1"/>
      <c r="W42" s="1"/>
    </row>
    <row r="43" spans="1:23" ht="15" customHeight="1" x14ac:dyDescent="0.2">
      <c r="C43" s="31">
        <f>IF(DAY(MinSep1)=1,IF(AND(YEAR(MinSep1+8)=TahunKalender,MONTH(MinSep1+8)=9),MinSep1+8,""),IF(AND(YEAR(MinSep1+15)=TahunKalender,MONTH(MinSep1+15)=9),MinSep1+15,""))</f>
        <v>44816</v>
      </c>
      <c r="D43" s="31">
        <f>IF(DAY(MinSep1)=1,IF(AND(YEAR(MinSep1+9)=TahunKalender,MONTH(MinSep1+9)=9),MinSep1+9,""),IF(AND(YEAR(MinSep1+16)=TahunKalender,MONTH(MinSep1+16)=9),MinSep1+16,""))</f>
        <v>44817</v>
      </c>
      <c r="E43" s="31">
        <f>IF(DAY(MinSep1)=1,IF(AND(YEAR(MinSep1+10)=TahunKalender,MONTH(MinSep1+10)=9),MinSep1+10,""),IF(AND(YEAR(MinSep1+17)=TahunKalender,MONTH(MinSep1+17)=9),MinSep1+17,""))</f>
        <v>44818</v>
      </c>
      <c r="F43" s="31">
        <f>IF(DAY(MinSep1)=1,IF(AND(YEAR(MinSep1+11)=TahunKalender,MONTH(MinSep1+11)=9),MinSep1+11,""),IF(AND(YEAR(MinSep1+18)=TahunKalender,MONTH(MinSep1+18)=9),MinSep1+18,""))</f>
        <v>44819</v>
      </c>
      <c r="G43" s="31">
        <f>IF(DAY(MinSep1)=1,IF(AND(YEAR(MinSep1+12)=TahunKalender,MONTH(MinSep1+12)=9),MinSep1+12,""),IF(AND(YEAR(MinSep1+19)=TahunKalender,MONTH(MinSep1+19)=9),MinSep1+19,""))</f>
        <v>44820</v>
      </c>
      <c r="H43" s="31">
        <f>IF(DAY(MinSep1)=1,IF(AND(YEAR(MinSep1+13)=TahunKalender,MONTH(MinSep1+13)=9),MinSep1+13,""),IF(AND(YEAR(MinSep1+20)=TahunKalender,MONTH(MinSep1+20)=9),MinSep1+20,""))</f>
        <v>44821</v>
      </c>
      <c r="I43" s="31">
        <f>IF(DAY(MinSep1)=1,IF(AND(YEAR(MinSep1+14)=TahunKalender,MONTH(MinSep1+14)=9),MinSep1+14,""),IF(AND(YEAR(MinSep1+21)=TahunKalender,MONTH(MinSep1+21)=9),MinSep1+21,""))</f>
        <v>44822</v>
      </c>
      <c r="K43" s="31">
        <f>IF(DAY(MinOkt1)=1,IF(AND(YEAR(MinOkt1+8)=TahunKalender,MONTH(MinOkt1+8)=10),MinOkt1+8,""),IF(AND(YEAR(MinOkt1+15)=TahunKalender,MONTH(MinOkt1+15)=10),MinOkt1+15,""))</f>
        <v>44844</v>
      </c>
      <c r="L43" s="31">
        <f>IF(DAY(MinOkt1)=1,IF(AND(YEAR(MinOkt1+9)=TahunKalender,MONTH(MinOkt1+9)=10),MinOkt1+9,""),IF(AND(YEAR(MinOkt1+16)=TahunKalender,MONTH(MinOkt1+16)=10),MinOkt1+16,""))</f>
        <v>44845</v>
      </c>
      <c r="M43" s="31">
        <f>IF(DAY(MinOkt1)=1,IF(AND(YEAR(MinOkt1+10)=TahunKalender,MONTH(MinOkt1+10)=10),MinOkt1+10,""),IF(AND(YEAR(MinOkt1+17)=TahunKalender,MONTH(MinOkt1+17)=10),MinOkt1+17,""))</f>
        <v>44846</v>
      </c>
      <c r="N43" s="31">
        <f>IF(DAY(MinOkt1)=1,IF(AND(YEAR(MinOkt1+11)=TahunKalender,MONTH(MinOkt1+11)=10),MinOkt1+11,""),IF(AND(YEAR(MinOkt1+18)=TahunKalender,MONTH(MinOkt1+18)=10),MinOkt1+18,""))</f>
        <v>44847</v>
      </c>
      <c r="O43" s="31">
        <f>IF(DAY(MinOkt1)=1,IF(AND(YEAR(MinOkt1+12)=TahunKalender,MONTH(MinOkt1+12)=10),MinOkt1+12,""),IF(AND(YEAR(MinOkt1+19)=TahunKalender,MONTH(MinOkt1+19)=10),MinOkt1+19,""))</f>
        <v>44848</v>
      </c>
      <c r="P43" s="31">
        <f>IF(DAY(MinOkt1)=1,IF(AND(YEAR(MinOkt1+13)=TahunKalender,MONTH(MinOkt1+13)=10),MinOkt1+13,""),IF(AND(YEAR(MinOkt1+20)=TahunKalender,MONTH(MinOkt1+20)=10),MinOkt1+20,""))</f>
        <v>44849</v>
      </c>
      <c r="Q43" s="31">
        <f>IF(DAY(MinOkt1)=1,IF(AND(YEAR(MinOkt1+14)=TahunKalender,MONTH(MinOkt1+14)=10),MinOkt1+14,""),IF(AND(YEAR(MinOkt1+21)=TahunKalender,MONTH(MinOkt1+21)=10),MinOkt1+21,""))</f>
        <v>44850</v>
      </c>
      <c r="S43" s="3"/>
      <c r="U43" s="9"/>
      <c r="V43" s="1"/>
      <c r="W43" s="1"/>
    </row>
    <row r="44" spans="1:23" ht="15" customHeight="1" x14ac:dyDescent="0.2">
      <c r="A44" s="24" t="s">
        <v>19</v>
      </c>
      <c r="C44" s="31">
        <f>IF(DAY(MinSep1)=1,IF(AND(YEAR(MinSep1+15)=TahunKalender,MONTH(MinSep1+15)=9),MinSep1+15,""),IF(AND(YEAR(MinSep1+22)=TahunKalender,MONTH(MinSep1+22)=9),MinSep1+22,""))</f>
        <v>44823</v>
      </c>
      <c r="D44" s="31">
        <f>IF(DAY(MinSep1)=1,IF(AND(YEAR(MinSep1+16)=TahunKalender,MONTH(MinSep1+16)=9),MinSep1+16,""),IF(AND(YEAR(MinSep1+23)=TahunKalender,MONTH(MinSep1+23)=9),MinSep1+23,""))</f>
        <v>44824</v>
      </c>
      <c r="E44" s="31">
        <f>IF(DAY(MinSep1)=1,IF(AND(YEAR(MinSep1+17)=TahunKalender,MONTH(MinSep1+17)=9),MinSep1+17,""),IF(AND(YEAR(MinSep1+24)=TahunKalender,MONTH(MinSep1+24)=9),MinSep1+24,""))</f>
        <v>44825</v>
      </c>
      <c r="F44" s="31">
        <f>IF(DAY(MinSep1)=1,IF(AND(YEAR(MinSep1+18)=TahunKalender,MONTH(MinSep1+18)=9),MinSep1+18,""),IF(AND(YEAR(MinSep1+25)=TahunKalender,MONTH(MinSep1+25)=9),MinSep1+25,""))</f>
        <v>44826</v>
      </c>
      <c r="G44" s="31">
        <f>IF(DAY(MinSep1)=1,IF(AND(YEAR(MinSep1+19)=TahunKalender,MONTH(MinSep1+19)=9),MinSep1+19,""),IF(AND(YEAR(MinSep1+26)=TahunKalender,MONTH(MinSep1+26)=9),MinSep1+26,""))</f>
        <v>44827</v>
      </c>
      <c r="H44" s="31">
        <f>IF(DAY(MinSep1)=1,IF(AND(YEAR(MinSep1+20)=TahunKalender,MONTH(MinSep1+20)=9),MinSep1+20,""),IF(AND(YEAR(MinSep1+27)=TahunKalender,MONTH(MinSep1+27)=9),MinSep1+27,""))</f>
        <v>44828</v>
      </c>
      <c r="I44" s="31">
        <f>IF(DAY(MinSep1)=1,IF(AND(YEAR(MinSep1+21)=TahunKalender,MONTH(MinSep1+21)=9),MinSep1+21,""),IF(AND(YEAR(MinSep1+28)=TahunKalender,MONTH(MinSep1+28)=9),MinSep1+28,""))</f>
        <v>44829</v>
      </c>
      <c r="K44" s="31">
        <f>IF(DAY(MinOkt1)=1,IF(AND(YEAR(MinOkt1+15)=TahunKalender,MONTH(MinOkt1+15)=10),MinOkt1+15,""),IF(AND(YEAR(MinOkt1+22)=TahunKalender,MONTH(MinOkt1+22)=10),MinOkt1+22,""))</f>
        <v>44851</v>
      </c>
      <c r="L44" s="31">
        <f>IF(DAY(MinOkt1)=1,IF(AND(YEAR(MinOkt1+16)=TahunKalender,MONTH(MinOkt1+16)=10),MinOkt1+16,""),IF(AND(YEAR(MinOkt1+23)=TahunKalender,MONTH(MinOkt1+23)=10),MinOkt1+23,""))</f>
        <v>44852</v>
      </c>
      <c r="M44" s="31">
        <f>IF(DAY(MinOkt1)=1,IF(AND(YEAR(MinOkt1+17)=TahunKalender,MONTH(MinOkt1+17)=10),MinOkt1+17,""),IF(AND(YEAR(MinOkt1+24)=TahunKalender,MONTH(MinOkt1+24)=10),MinOkt1+24,""))</f>
        <v>44853</v>
      </c>
      <c r="N44" s="31">
        <f>IF(DAY(MinOkt1)=1,IF(AND(YEAR(MinOkt1+18)=TahunKalender,MONTH(MinOkt1+18)=10),MinOkt1+18,""),IF(AND(YEAR(MinOkt1+25)=TahunKalender,MONTH(MinOkt1+25)=10),MinOkt1+25,""))</f>
        <v>44854</v>
      </c>
      <c r="O44" s="31">
        <f>IF(DAY(MinOkt1)=1,IF(AND(YEAR(MinOkt1+19)=TahunKalender,MONTH(MinOkt1+19)=10),MinOkt1+19,""),IF(AND(YEAR(MinOkt1+26)=TahunKalender,MONTH(MinOkt1+26)=10),MinOkt1+26,""))</f>
        <v>44855</v>
      </c>
      <c r="P44" s="31">
        <f>IF(DAY(MinOkt1)=1,IF(AND(YEAR(MinOkt1+20)=TahunKalender,MONTH(MinOkt1+20)=10),MinOkt1+20,""),IF(AND(YEAR(MinOkt1+27)=TahunKalender,MONTH(MinOkt1+27)=10),MinOkt1+27,""))</f>
        <v>44856</v>
      </c>
      <c r="Q44" s="31">
        <f>IF(DAY(MinOkt1)=1,IF(AND(YEAR(MinOkt1+21)=TahunKalender,MONTH(MinOkt1+21)=10),MinOkt1+21,""),IF(AND(YEAR(MinOkt1+28)=TahunKalender,MONTH(MinOkt1+28)=10),MinOkt1+28,""))</f>
        <v>44857</v>
      </c>
      <c r="S44" s="3"/>
      <c r="U44" s="14" t="s">
        <v>52</v>
      </c>
      <c r="V44" s="1"/>
      <c r="W44" s="1"/>
    </row>
    <row r="45" spans="1:23" ht="15" customHeight="1" x14ac:dyDescent="0.2">
      <c r="A45" s="24" t="s">
        <v>20</v>
      </c>
      <c r="C45" s="31">
        <f>IF(DAY(MinSep1)=1,IF(AND(YEAR(MinSep1+22)=TahunKalender,MONTH(MinSep1+22)=9),MinSep1+22,""),IF(AND(YEAR(MinSep1+29)=TahunKalender,MONTH(MinSep1+29)=9),MinSep1+29,""))</f>
        <v>44830</v>
      </c>
      <c r="D45" s="31">
        <f>IF(DAY(MinSep1)=1,IF(AND(YEAR(MinSep1+23)=TahunKalender,MONTH(MinSep1+23)=9),MinSep1+23,""),IF(AND(YEAR(MinSep1+30)=TahunKalender,MONTH(MinSep1+30)=9),MinSep1+30,""))</f>
        <v>44831</v>
      </c>
      <c r="E45" s="31">
        <f>IF(DAY(MinSep1)=1,IF(AND(YEAR(MinSep1+24)=TahunKalender,MONTH(MinSep1+24)=9),MinSep1+24,""),IF(AND(YEAR(MinSep1+31)=TahunKalender,MONTH(MinSep1+31)=9),MinSep1+31,""))</f>
        <v>44832</v>
      </c>
      <c r="F45" s="31">
        <f>IF(DAY(MinSep1)=1,IF(AND(YEAR(MinSep1+25)=TahunKalender,MONTH(MinSep1+25)=9),MinSep1+25,""),IF(AND(YEAR(MinSep1+32)=TahunKalender,MONTH(MinSep1+32)=9),MinSep1+32,""))</f>
        <v>44833</v>
      </c>
      <c r="G45" s="31">
        <f>IF(DAY(MinSep1)=1,IF(AND(YEAR(MinSep1+26)=TahunKalender,MONTH(MinSep1+26)=9),MinSep1+26,""),IF(AND(YEAR(MinSep1+33)=TahunKalender,MONTH(MinSep1+33)=9),MinSep1+33,""))</f>
        <v>44834</v>
      </c>
      <c r="H45" s="31" t="str">
        <f>IF(DAY(MinSep1)=1,IF(AND(YEAR(MinSep1+27)=TahunKalender,MONTH(MinSep1+27)=9),MinSep1+27,""),IF(AND(YEAR(MinSep1+34)=TahunKalender,MONTH(MinSep1+34)=9),MinSep1+34,""))</f>
        <v/>
      </c>
      <c r="I45" s="31" t="str">
        <f>IF(DAY(MinSep1)=1,IF(AND(YEAR(MinSep1+28)=TahunKalender,MONTH(MinSep1+28)=9),MinSep1+28,""),IF(AND(YEAR(MinSep1+35)=TahunKalender,MONTH(MinSep1+35)=9),MinSep1+35,""))</f>
        <v/>
      </c>
      <c r="K45" s="31">
        <f>IF(DAY(MinOkt1)=1,IF(AND(YEAR(MinOkt1+22)=TahunKalender,MONTH(MinOkt1+22)=10),MinOkt1+22,""),IF(AND(YEAR(MinOkt1+29)=TahunKalender,MONTH(MinOkt1+29)=10),MinOkt1+29,""))</f>
        <v>44858</v>
      </c>
      <c r="L45" s="31">
        <f>IF(DAY(MinOkt1)=1,IF(AND(YEAR(MinOkt1+23)=TahunKalender,MONTH(MinOkt1+23)=10),MinOkt1+23,""),IF(AND(YEAR(MinOkt1+30)=TahunKalender,MONTH(MinOkt1+30)=10),MinOkt1+30,""))</f>
        <v>44859</v>
      </c>
      <c r="M45" s="31">
        <f>IF(DAY(MinOkt1)=1,IF(AND(YEAR(MinOkt1+24)=TahunKalender,MONTH(MinOkt1+24)=10),MinOkt1+24,""),IF(AND(YEAR(MinOkt1+31)=TahunKalender,MONTH(MinOkt1+31)=10),MinOkt1+31,""))</f>
        <v>44860</v>
      </c>
      <c r="N45" s="31">
        <f>IF(DAY(MinOkt1)=1,IF(AND(YEAR(MinOkt1+25)=TahunKalender,MONTH(MinOkt1+25)=10),MinOkt1+25,""),IF(AND(YEAR(MinOkt1+32)=TahunKalender,MONTH(MinOkt1+32)=10),MinOkt1+32,""))</f>
        <v>44861</v>
      </c>
      <c r="O45" s="31">
        <f>IF(DAY(MinOkt1)=1,IF(AND(YEAR(MinOkt1+26)=TahunKalender,MONTH(MinOkt1+26)=10),MinOkt1+26,""),IF(AND(YEAR(MinOkt1+33)=TahunKalender,MONTH(MinOkt1+33)=10),MinOkt1+33,""))</f>
        <v>44862</v>
      </c>
      <c r="P45" s="31">
        <f>IF(DAY(MinOkt1)=1,IF(AND(YEAR(MinOkt1+27)=TahunKalender,MONTH(MinOkt1+27)=10),MinOkt1+27,""),IF(AND(YEAR(MinOkt1+34)=TahunKalender,MONTH(MinOkt1+34)=10),MinOkt1+34,""))</f>
        <v>44863</v>
      </c>
      <c r="Q45" s="31">
        <f>IF(DAY(MinOkt1)=1,IF(AND(YEAR(MinOkt1+28)=TahunKalender,MONTH(MinOkt1+28)=10),MinOkt1+28,""),IF(AND(YEAR(MinOkt1+35)=TahunKalender,MONTH(MinOkt1+35)=10),MinOkt1+35,""))</f>
        <v>44864</v>
      </c>
      <c r="S45" s="3"/>
      <c r="U45" s="15" t="s">
        <v>53</v>
      </c>
      <c r="V45" s="1"/>
      <c r="W45" s="1"/>
    </row>
    <row r="46" spans="1:23" ht="15" customHeight="1" x14ac:dyDescent="0.2">
      <c r="A46" s="24"/>
      <c r="C46" s="31" t="str">
        <f>IF(DAY(MinSep1)=1,IF(AND(YEAR(MinSep1+29)=TahunKalender,MONTH(MinSep1+29)=9),MinSep1+29,""),IF(AND(YEAR(MinSep1+36)=TahunKalender,MONTH(MinSep1+36)=9),MinSep1+36,""))</f>
        <v/>
      </c>
      <c r="D46" s="31" t="str">
        <f>IF(DAY(MinSep1)=1,IF(AND(YEAR(MinSep1+30)=TahunKalender,MONTH(MinSep1+30)=9),MinSep1+30,""),IF(AND(YEAR(MinSep1+37)=TahunKalender,MONTH(MinSep1+37)=9),MinSep1+37,""))</f>
        <v/>
      </c>
      <c r="E46" s="31" t="str">
        <f>IF(DAY(MinSep1)=1,IF(AND(YEAR(MinSep1+31)=TahunKalender,MONTH(MinSep1+31)=9),MinSep1+31,""),IF(AND(YEAR(MinSep1+38)=TahunKalender,MONTH(MinSep1+38)=9),MinSep1+38,""))</f>
        <v/>
      </c>
      <c r="F46" s="31" t="str">
        <f>IF(DAY(MinSep1)=1,IF(AND(YEAR(MinSep1+32)=TahunKalender,MONTH(MinSep1+32)=9),MinSep1+32,""),IF(AND(YEAR(MinSep1+39)=TahunKalender,MONTH(MinSep1+39)=9),MinSep1+39,""))</f>
        <v/>
      </c>
      <c r="G46" s="31" t="str">
        <f>IF(DAY(MinSep1)=1,IF(AND(YEAR(MinSep1+33)=TahunKalender,MONTH(MinSep1+33)=9),MinSep1+33,""),IF(AND(YEAR(MinSep1+40)=TahunKalender,MONTH(MinSep1+40)=9),MinSep1+40,""))</f>
        <v/>
      </c>
      <c r="H46" s="31" t="str">
        <f>IF(DAY(MinSep1)=1,IF(AND(YEAR(MinSep1+34)=TahunKalender,MONTH(MinSep1+34)=9),MinSep1+34,""),IF(AND(YEAR(MinSep1+41)=TahunKalender,MONTH(MinSep1+41)=9),MinSep1+41,""))</f>
        <v/>
      </c>
      <c r="I46" s="31" t="str">
        <f>IF(DAY(MinSep1)=1,IF(AND(YEAR(MinSep1+35)=TahunKalender,MONTH(MinSep1+35)=9),MinSep1+35,""),IF(AND(YEAR(MinSep1+42)=TahunKalender,MONTH(MinSep1+42)=9),MinSep1+42,""))</f>
        <v/>
      </c>
      <c r="K46" s="31">
        <f>IF(DAY(MinOkt1)=1,IF(AND(YEAR(MinOkt1+29)=TahunKalender,MONTH(MinOkt1+29)=10),MinOkt1+29,""),IF(AND(YEAR(MinOkt1+36)=TahunKalender,MONTH(MinOkt1+36)=10),MinOkt1+36,""))</f>
        <v>44865</v>
      </c>
      <c r="L46" s="31" t="str">
        <f>IF(DAY(MinOkt1)=1,IF(AND(YEAR(MinOkt1+30)=TahunKalender,MONTH(MinOkt1+30)=10),MinOkt1+30,""),IF(AND(YEAR(MinOkt1+37)=TahunKalender,MONTH(MinOkt1+37)=10),MinOkt1+37,""))</f>
        <v/>
      </c>
      <c r="M46" s="31" t="str">
        <f>IF(DAY(MinOkt1)=1,IF(AND(YEAR(MinOkt1+31)=TahunKalender,MONTH(MinOkt1+31)=10),MinOkt1+31,""),IF(AND(YEAR(MinOkt1+38)=TahunKalender,MONTH(MinOkt1+38)=10),MinOkt1+38,""))</f>
        <v/>
      </c>
      <c r="N46" s="31" t="str">
        <f>IF(DAY(MinOkt1)=1,IF(AND(YEAR(MinOkt1+32)=TahunKalender,MONTH(MinOkt1+32)=10),MinOkt1+32,""),IF(AND(YEAR(MinOkt1+39)=TahunKalender,MONTH(MinOkt1+39)=10),MinOkt1+39,""))</f>
        <v/>
      </c>
      <c r="O46" s="31" t="str">
        <f>IF(DAY(MinOkt1)=1,IF(AND(YEAR(MinOkt1+33)=TahunKalender,MONTH(MinOkt1+33)=10),MinOkt1+33,""),IF(AND(YEAR(MinOkt1+40)=TahunKalender,MONTH(MinOkt1+40)=10),MinOkt1+40,""))</f>
        <v/>
      </c>
      <c r="P46" s="31" t="str">
        <f>IF(DAY(MinOkt1)=1,IF(AND(YEAR(MinOkt1+34)=TahunKalender,MONTH(MinOkt1+34)=10),MinOkt1+34,""),IF(AND(YEAR(MinOkt1+41)=TahunKalender,MONTH(MinOkt1+41)=10),MinOkt1+41,""))</f>
        <v/>
      </c>
      <c r="Q46" s="31" t="str">
        <f>IF(DAY(MinOkt1)=1,IF(AND(YEAR(MinOkt1+35)=TahunKalender,MONTH(MinOkt1+35)=10),MinOkt1+35,""),IF(AND(YEAR(MinOkt1+42)=TahunKalender,MONTH(MinOkt1+42)=10),MinOkt1+42,""))</f>
        <v/>
      </c>
      <c r="S46" s="3"/>
      <c r="U46" s="15"/>
      <c r="V46" s="1"/>
      <c r="W46" s="1"/>
    </row>
    <row r="47" spans="1:23" ht="15" customHeight="1" x14ac:dyDescent="0.2">
      <c r="A47" s="24" t="s">
        <v>21</v>
      </c>
      <c r="S47" s="3"/>
      <c r="U47" s="15" t="s">
        <v>54</v>
      </c>
      <c r="V47" s="1"/>
      <c r="W47" s="1"/>
    </row>
    <row r="48" spans="1:23" ht="15" customHeight="1" x14ac:dyDescent="0.2">
      <c r="A48" s="24" t="s">
        <v>22</v>
      </c>
      <c r="C48" s="33" t="s">
        <v>32</v>
      </c>
      <c r="D48" s="33"/>
      <c r="E48" s="33"/>
      <c r="F48" s="33"/>
      <c r="G48" s="33"/>
      <c r="H48" s="33"/>
      <c r="I48" s="33"/>
      <c r="K48" s="33" t="s">
        <v>44</v>
      </c>
      <c r="L48" s="33"/>
      <c r="M48" s="33"/>
      <c r="N48" s="33"/>
      <c r="O48" s="33"/>
      <c r="P48" s="33"/>
      <c r="Q48" s="33"/>
      <c r="S48" s="3"/>
      <c r="U48" s="15" t="s">
        <v>55</v>
      </c>
      <c r="V48" s="1"/>
      <c r="W48" s="1"/>
    </row>
    <row r="49" spans="1:21" ht="15" customHeight="1" x14ac:dyDescent="0.2">
      <c r="A49" s="24" t="s">
        <v>23</v>
      </c>
      <c r="C49" s="17" t="s">
        <v>27</v>
      </c>
      <c r="D49" s="17" t="s">
        <v>33</v>
      </c>
      <c r="E49" s="17" t="s">
        <v>34</v>
      </c>
      <c r="F49" s="17" t="s">
        <v>35</v>
      </c>
      <c r="G49" s="17" t="s">
        <v>36</v>
      </c>
      <c r="H49" s="17" t="s">
        <v>37</v>
      </c>
      <c r="I49" s="17" t="s">
        <v>38</v>
      </c>
      <c r="J49" s="8"/>
      <c r="K49" s="17" t="s">
        <v>27</v>
      </c>
      <c r="L49" s="17" t="s">
        <v>33</v>
      </c>
      <c r="M49" s="17" t="s">
        <v>34</v>
      </c>
      <c r="N49" s="17" t="s">
        <v>35</v>
      </c>
      <c r="O49" s="17" t="s">
        <v>36</v>
      </c>
      <c r="P49" s="17" t="s">
        <v>37</v>
      </c>
      <c r="Q49" s="17" t="s">
        <v>38</v>
      </c>
      <c r="S49" s="3"/>
      <c r="U49" s="15" t="s">
        <v>56</v>
      </c>
    </row>
    <row r="50" spans="1:21" ht="15" customHeight="1" x14ac:dyDescent="0.2">
      <c r="A50" s="24"/>
      <c r="C50" s="31" t="str">
        <f>IF(DAY(MinNov1)=1,"",IF(AND(YEAR(MinNov1+1)=TahunKalender,MONTH(MinNov1+1)=11),MinNov1+1,""))</f>
        <v/>
      </c>
      <c r="D50" s="31">
        <f>IF(DAY(MinNov1)=1,"",IF(AND(YEAR(MinNov1+2)=TahunKalender,MONTH(MinNov1+2)=11),MinNov1+2,""))</f>
        <v>44866</v>
      </c>
      <c r="E50" s="31">
        <f>IF(DAY(MinNov1)=1,"",IF(AND(YEAR(MinNov1+3)=TahunKalender,MONTH(MinNov1+3)=11),MinNov1+3,""))</f>
        <v>44867</v>
      </c>
      <c r="F50" s="31">
        <f>IF(DAY(MinNov1)=1,"",IF(AND(YEAR(MinNov1+4)=TahunKalender,MONTH(MinNov1+4)=11),MinNov1+4,""))</f>
        <v>44868</v>
      </c>
      <c r="G50" s="31">
        <f>IF(DAY(MinNov1)=1,"",IF(AND(YEAR(MinNov1+5)=TahunKalender,MONTH(MinNov1+5)=11),MinNov1+5,""))</f>
        <v>44869</v>
      </c>
      <c r="H50" s="31">
        <f>IF(DAY(MinNov1)=1,"",IF(AND(YEAR(MinNov1+6)=TahunKalender,MONTH(MinNov1+6)=11),MinNov1+6,""))</f>
        <v>44870</v>
      </c>
      <c r="I50" s="31">
        <f>IF(DAY(MinNov1)=1,IF(AND(YEAR(MinNov1)=TahunKalender,MONTH(MinNov1)=11),MinNov1,""),IF(AND(YEAR(MinNov1+7)=TahunKalender,MONTH(MinNov1+7)=11),MinNov1+7,""))</f>
        <v>44871</v>
      </c>
      <c r="K50" s="31" t="str">
        <f>IF(DAY(DesMin1)=1,"",IF(AND(YEAR(DesMin1+1)=TahunKalender,MONTH(DesMin1+1)=12),DesMin1+1,""))</f>
        <v/>
      </c>
      <c r="L50" s="31" t="str">
        <f>IF(DAY(DesMin1)=1,"",IF(AND(YEAR(DesMin1+2)=TahunKalender,MONTH(DesMin1+2)=12),DesMin1+2,""))</f>
        <v/>
      </c>
      <c r="M50" s="31" t="str">
        <f>IF(DAY(DesMin1)=1,"",IF(AND(YEAR(DesMin1+3)=TahunKalender,MONTH(DesMin1+3)=12),DesMin1+3,""))</f>
        <v/>
      </c>
      <c r="N50" s="31">
        <f>IF(DAY(DesMin1)=1,"",IF(AND(YEAR(DesMin1+4)=TahunKalender,MONTH(DesMin1+4)=12),DesMin1+4,""))</f>
        <v>44896</v>
      </c>
      <c r="O50" s="31">
        <f>IF(DAY(DesMin1)=1,"",IF(AND(YEAR(DesMin1+5)=TahunKalender,MONTH(DesMin1+5)=12),DesMin1+5,""))</f>
        <v>44897</v>
      </c>
      <c r="P50" s="31">
        <f>IF(DAY(DesMin1)=1,"",IF(AND(YEAR(DesMin1+6)=TahunKalender,MONTH(DesMin1+6)=12),DesMin1+6,""))</f>
        <v>44898</v>
      </c>
      <c r="Q50" s="31">
        <f>IF(DAY(DesMin1)=1,IF(AND(YEAR(DesMin1)=TahunKalender,MONTH(DesMin1)=12),DesMin1,""),IF(AND(YEAR(DesMin1+7)=TahunKalender,MONTH(DesMin1+7)=12),DesMin1+7,""))</f>
        <v>44899</v>
      </c>
      <c r="S50" s="3"/>
      <c r="U50" s="5"/>
    </row>
    <row r="51" spans="1:21" ht="15" customHeight="1" x14ac:dyDescent="0.2">
      <c r="A51" s="24" t="s">
        <v>24</v>
      </c>
      <c r="C51" s="31">
        <f>IF(DAY(MinNov1)=1,IF(AND(YEAR(MinNov1+1)=TahunKalender,MONTH(MinNov1+1)=11),MinNov1+1,""),IF(AND(YEAR(MinNov1+8)=TahunKalender,MONTH(MinNov1+8)=11),MinNov1+8,""))</f>
        <v>44872</v>
      </c>
      <c r="D51" s="31">
        <f>IF(DAY(MinNov1)=1,IF(AND(YEAR(MinNov1+2)=TahunKalender,MONTH(MinNov1+2)=11),MinNov1+2,""),IF(AND(YEAR(MinNov1+9)=TahunKalender,MONTH(MinNov1+9)=11),MinNov1+9,""))</f>
        <v>44873</v>
      </c>
      <c r="E51" s="31">
        <f>IF(DAY(MinNov1)=1,IF(AND(YEAR(MinNov1+3)=TahunKalender,MONTH(MinNov1+3)=11),MinNov1+3,""),IF(AND(YEAR(MinNov1+10)=TahunKalender,MONTH(MinNov1+10)=11),MinNov1+10,""))</f>
        <v>44874</v>
      </c>
      <c r="F51" s="31">
        <f>IF(DAY(MinNov1)=1,IF(AND(YEAR(MinNov1+4)=TahunKalender,MONTH(MinNov1+4)=11),MinNov1+4,""),IF(AND(YEAR(MinNov1+11)=TahunKalender,MONTH(MinNov1+11)=11),MinNov1+11,""))</f>
        <v>44875</v>
      </c>
      <c r="G51" s="31">
        <f>IF(DAY(MinNov1)=1,IF(AND(YEAR(MinNov1+5)=TahunKalender,MONTH(MinNov1+5)=11),MinNov1+5,""),IF(AND(YEAR(MinNov1+12)=TahunKalender,MONTH(MinNov1+12)=11),MinNov1+12,""))</f>
        <v>44876</v>
      </c>
      <c r="H51" s="31">
        <f>IF(DAY(MinNov1)=1,IF(AND(YEAR(MinNov1+6)=TahunKalender,MONTH(MinNov1+6)=11),MinNov1+6,""),IF(AND(YEAR(MinNov1+13)=TahunKalender,MONTH(MinNov1+13)=11),MinNov1+13,""))</f>
        <v>44877</v>
      </c>
      <c r="I51" s="31">
        <f>IF(DAY(MinNov1)=1,IF(AND(YEAR(MinNov1+7)=TahunKalender,MONTH(MinNov1+7)=11),MinNov1+7,""),IF(AND(YEAR(MinNov1+14)=TahunKalender,MONTH(MinNov1+14)=11),MinNov1+14,""))</f>
        <v>44878</v>
      </c>
      <c r="K51" s="31">
        <f>IF(DAY(DesMin1)=1,IF(AND(YEAR(DesMin1+1)=TahunKalender,MONTH(DesMin1+1)=12),DesMin1+1,""),IF(AND(YEAR(DesMin1+8)=TahunKalender,MONTH(DesMin1+8)=12),DesMin1+8,""))</f>
        <v>44900</v>
      </c>
      <c r="L51" s="31">
        <f>IF(DAY(DesMin1)=1,IF(AND(YEAR(DesMin1+2)=TahunKalender,MONTH(DesMin1+2)=12),DesMin1+2,""),IF(AND(YEAR(DesMin1+9)=TahunKalender,MONTH(DesMin1+9)=12),DesMin1+9,""))</f>
        <v>44901</v>
      </c>
      <c r="M51" s="31">
        <f>IF(DAY(DesMin1)=1,IF(AND(YEAR(DesMin1+3)=TahunKalender,MONTH(DesMin1+3)=12),DesMin1+3,""),IF(AND(YEAR(DesMin1+10)=TahunKalender,MONTH(DesMin1+10)=12),DesMin1+10,""))</f>
        <v>44902</v>
      </c>
      <c r="N51" s="31">
        <f>IF(DAY(DesMin1)=1,IF(AND(YEAR(DesMin1+4)=TahunKalender,MONTH(DesMin1+4)=12),DesMin1+4,""),IF(AND(YEAR(DesMin1+11)=TahunKalender,MONTH(DesMin1+11)=12),DesMin1+11,""))</f>
        <v>44903</v>
      </c>
      <c r="O51" s="31">
        <f>IF(DAY(DesMin1)=1,IF(AND(YEAR(DesMin1+5)=TahunKalender,MONTH(DesMin1+5)=12),DesMin1+5,""),IF(AND(YEAR(DesMin1+12)=TahunKalender,MONTH(DesMin1+12)=12),DesMin1+12,""))</f>
        <v>44904</v>
      </c>
      <c r="P51" s="31">
        <f>IF(DAY(DesMin1)=1,IF(AND(YEAR(DesMin1+6)=TahunKalender,MONTH(DesMin1+6)=12),DesMin1+6,""),IF(AND(YEAR(DesMin1+13)=TahunKalender,MONTH(DesMin1+13)=12),DesMin1+13,""))</f>
        <v>44905</v>
      </c>
      <c r="Q51" s="31">
        <f>IF(DAY(DesMin1)=1,IF(AND(YEAR(DesMin1+7)=TahunKalender,MONTH(DesMin1+7)=12),DesMin1+7,""),IF(AND(YEAR(DesMin1+14)=TahunKalender,MONTH(DesMin1+14)=12),DesMin1+14,""))</f>
        <v>44906</v>
      </c>
      <c r="S51" s="3"/>
      <c r="U51" s="35" t="s">
        <v>57</v>
      </c>
    </row>
    <row r="52" spans="1:21" ht="15" customHeight="1" x14ac:dyDescent="0.2">
      <c r="C52" s="31">
        <f>IF(DAY(MinNov1)=1,IF(AND(YEAR(MinNov1+8)=TahunKalender,MONTH(MinNov1+8)=11),MinNov1+8,""),IF(AND(YEAR(MinNov1+15)=TahunKalender,MONTH(MinNov1+15)=11),MinNov1+15,""))</f>
        <v>44879</v>
      </c>
      <c r="D52" s="31">
        <f>IF(DAY(MinNov1)=1,IF(AND(YEAR(MinNov1+9)=TahunKalender,MONTH(MinNov1+9)=11),MinNov1+9,""),IF(AND(YEAR(MinNov1+16)=TahunKalender,MONTH(MinNov1+16)=11),MinNov1+16,""))</f>
        <v>44880</v>
      </c>
      <c r="E52" s="31">
        <f>IF(DAY(MinNov1)=1,IF(AND(YEAR(MinNov1+10)=TahunKalender,MONTH(MinNov1+10)=11),MinNov1+10,""),IF(AND(YEAR(MinNov1+17)=TahunKalender,MONTH(MinNov1+17)=11),MinNov1+17,""))</f>
        <v>44881</v>
      </c>
      <c r="F52" s="31">
        <f>IF(DAY(MinNov1)=1,IF(AND(YEAR(MinNov1+11)=TahunKalender,MONTH(MinNov1+11)=11),MinNov1+11,""),IF(AND(YEAR(MinNov1+18)=TahunKalender,MONTH(MinNov1+18)=11),MinNov1+18,""))</f>
        <v>44882</v>
      </c>
      <c r="G52" s="31">
        <f>IF(DAY(MinNov1)=1,IF(AND(YEAR(MinNov1+12)=TahunKalender,MONTH(MinNov1+12)=11),MinNov1+12,""),IF(AND(YEAR(MinNov1+19)=TahunKalender,MONTH(MinNov1+19)=11),MinNov1+19,""))</f>
        <v>44883</v>
      </c>
      <c r="H52" s="31">
        <f>IF(DAY(MinNov1)=1,IF(AND(YEAR(MinNov1+13)=TahunKalender,MONTH(MinNov1+13)=11),MinNov1+13,""),IF(AND(YEAR(MinNov1+20)=TahunKalender,MONTH(MinNov1+20)=11),MinNov1+20,""))</f>
        <v>44884</v>
      </c>
      <c r="I52" s="31">
        <f>IF(DAY(MinNov1)=1,IF(AND(YEAR(MinNov1+14)=TahunKalender,MONTH(MinNov1+14)=11),MinNov1+14,""),IF(AND(YEAR(MinNov1+21)=TahunKalender,MONTH(MinNov1+21)=11),MinNov1+21,""))</f>
        <v>44885</v>
      </c>
      <c r="K52" s="31">
        <f>IF(DAY(DesMin1)=1,IF(AND(YEAR(DesMin1+8)=TahunKalender,MONTH(DesMin1+8)=12),DesMin1+8,""),IF(AND(YEAR(DesMin1+15)=TahunKalender,MONTH(DesMin1+15)=12),DesMin1+15,""))</f>
        <v>44907</v>
      </c>
      <c r="L52" s="31">
        <f>IF(DAY(DesMin1)=1,IF(AND(YEAR(DesMin1+9)=TahunKalender,MONTH(DesMin1+9)=12),DesMin1+9,""),IF(AND(YEAR(DesMin1+16)=TahunKalender,MONTH(DesMin1+16)=12),DesMin1+16,""))</f>
        <v>44908</v>
      </c>
      <c r="M52" s="31">
        <f>IF(DAY(DesMin1)=1,IF(AND(YEAR(DesMin1+10)=TahunKalender,MONTH(DesMin1+10)=12),DesMin1+10,""),IF(AND(YEAR(DesMin1+17)=TahunKalender,MONTH(DesMin1+17)=12),DesMin1+17,""))</f>
        <v>44909</v>
      </c>
      <c r="N52" s="31">
        <f>IF(DAY(DesMin1)=1,IF(AND(YEAR(DesMin1+11)=TahunKalender,MONTH(DesMin1+11)=12),DesMin1+11,""),IF(AND(YEAR(DesMin1+18)=TahunKalender,MONTH(DesMin1+18)=12),DesMin1+18,""))</f>
        <v>44910</v>
      </c>
      <c r="O52" s="31">
        <f>IF(DAY(DesMin1)=1,IF(AND(YEAR(DesMin1+12)=TahunKalender,MONTH(DesMin1+12)=12),DesMin1+12,""),IF(AND(YEAR(DesMin1+19)=TahunKalender,MONTH(DesMin1+19)=12),DesMin1+19,""))</f>
        <v>44911</v>
      </c>
      <c r="P52" s="31">
        <f>IF(DAY(DesMin1)=1,IF(AND(YEAR(DesMin1+13)=TahunKalender,MONTH(DesMin1+13)=12),DesMin1+13,""),IF(AND(YEAR(DesMin1+20)=TahunKalender,MONTH(DesMin1+20)=12),DesMin1+20,""))</f>
        <v>44912</v>
      </c>
      <c r="Q52" s="31">
        <f>IF(DAY(DesMin1)=1,IF(AND(YEAR(DesMin1+14)=TahunKalender,MONTH(DesMin1+14)=12),DesMin1+14,""),IF(AND(YEAR(DesMin1+21)=TahunKalender,MONTH(DesMin1+21)=12),DesMin1+21,""))</f>
        <v>44913</v>
      </c>
      <c r="S52" s="3"/>
      <c r="U52" s="35"/>
    </row>
    <row r="53" spans="1:21" ht="15" customHeight="1" x14ac:dyDescent="0.2">
      <c r="C53" s="31">
        <f>IF(DAY(MinNov1)=1,IF(AND(YEAR(MinNov1+15)=TahunKalender,MONTH(MinNov1+15)=11),MinNov1+15,""),IF(AND(YEAR(MinNov1+22)=TahunKalender,MONTH(MinNov1+22)=11),MinNov1+22,""))</f>
        <v>44886</v>
      </c>
      <c r="D53" s="31">
        <f>IF(DAY(MinNov1)=1,IF(AND(YEAR(MinNov1+16)=TahunKalender,MONTH(MinNov1+16)=11),MinNov1+16,""),IF(AND(YEAR(MinNov1+23)=TahunKalender,MONTH(MinNov1+23)=11),MinNov1+23,""))</f>
        <v>44887</v>
      </c>
      <c r="E53" s="31">
        <f>IF(DAY(MinNov1)=1,IF(AND(YEAR(MinNov1+17)=TahunKalender,MONTH(MinNov1+17)=11),MinNov1+17,""),IF(AND(YEAR(MinNov1+24)=TahunKalender,MONTH(MinNov1+24)=11),MinNov1+24,""))</f>
        <v>44888</v>
      </c>
      <c r="F53" s="31">
        <f>IF(DAY(MinNov1)=1,IF(AND(YEAR(MinNov1+18)=TahunKalender,MONTH(MinNov1+18)=11),MinNov1+18,""),IF(AND(YEAR(MinNov1+25)=TahunKalender,MONTH(MinNov1+25)=11),MinNov1+25,""))</f>
        <v>44889</v>
      </c>
      <c r="G53" s="31">
        <f>IF(DAY(MinNov1)=1,IF(AND(YEAR(MinNov1+19)=TahunKalender,MONTH(MinNov1+19)=11),MinNov1+19,""),IF(AND(YEAR(MinNov1+26)=TahunKalender,MONTH(MinNov1+26)=11),MinNov1+26,""))</f>
        <v>44890</v>
      </c>
      <c r="H53" s="31">
        <f>IF(DAY(MinNov1)=1,IF(AND(YEAR(MinNov1+20)=TahunKalender,MONTH(MinNov1+20)=11),MinNov1+20,""),IF(AND(YEAR(MinNov1+27)=TahunKalender,MONTH(MinNov1+27)=11),MinNov1+27,""))</f>
        <v>44891</v>
      </c>
      <c r="I53" s="31">
        <f>IF(DAY(MinNov1)=1,IF(AND(YEAR(MinNov1+21)=TahunKalender,MONTH(MinNov1+21)=11),MinNov1+21,""),IF(AND(YEAR(MinNov1+28)=TahunKalender,MONTH(MinNov1+28)=11),MinNov1+28,""))</f>
        <v>44892</v>
      </c>
      <c r="K53" s="31">
        <f>IF(DAY(DesMin1)=1,IF(AND(YEAR(DesMin1+15)=TahunKalender,MONTH(DesMin1+15)=12),DesMin1+15,""),IF(AND(YEAR(DesMin1+22)=TahunKalender,MONTH(DesMin1+22)=12),DesMin1+22,""))</f>
        <v>44914</v>
      </c>
      <c r="L53" s="31">
        <f>IF(DAY(DesMin1)=1,IF(AND(YEAR(DesMin1+16)=TahunKalender,MONTH(DesMin1+16)=12),DesMin1+16,""),IF(AND(YEAR(DesMin1+23)=TahunKalender,MONTH(DesMin1+23)=12),DesMin1+23,""))</f>
        <v>44915</v>
      </c>
      <c r="M53" s="31">
        <f>IF(DAY(DesMin1)=1,IF(AND(YEAR(DesMin1+17)=TahunKalender,MONTH(DesMin1+17)=12),DesMin1+17,""),IF(AND(YEAR(DesMin1+24)=TahunKalender,MONTH(DesMin1+24)=12),DesMin1+24,""))</f>
        <v>44916</v>
      </c>
      <c r="N53" s="31">
        <f>IF(DAY(DesMin1)=1,IF(AND(YEAR(DesMin1+18)=TahunKalender,MONTH(DesMin1+18)=12),DesMin1+18,""),IF(AND(YEAR(DesMin1+25)=TahunKalender,MONTH(DesMin1+25)=12),DesMin1+25,""))</f>
        <v>44917</v>
      </c>
      <c r="O53" s="31">
        <f>IF(DAY(DesMin1)=1,IF(AND(YEAR(DesMin1+19)=TahunKalender,MONTH(DesMin1+19)=12),DesMin1+19,""),IF(AND(YEAR(DesMin1+26)=TahunKalender,MONTH(DesMin1+26)=12),DesMin1+26,""))</f>
        <v>44918</v>
      </c>
      <c r="P53" s="31">
        <f>IF(DAY(DesMin1)=1,IF(AND(YEAR(DesMin1+20)=TahunKalender,MONTH(DesMin1+20)=12),DesMin1+20,""),IF(AND(YEAR(DesMin1+27)=TahunKalender,MONTH(DesMin1+27)=12),DesMin1+27,""))</f>
        <v>44919</v>
      </c>
      <c r="Q53" s="31">
        <f>IF(DAY(DesMin1)=1,IF(AND(YEAR(DesMin1+21)=TahunKalender,MONTH(DesMin1+21)=12),DesMin1+21,""),IF(AND(YEAR(DesMin1+28)=TahunKalender,MONTH(DesMin1+28)=12),DesMin1+28,""))</f>
        <v>44920</v>
      </c>
      <c r="S53" s="3"/>
      <c r="U53" s="35"/>
    </row>
    <row r="54" spans="1:21" ht="15" customHeight="1" x14ac:dyDescent="0.2">
      <c r="C54" s="31">
        <f>IF(DAY(MinNov1)=1,IF(AND(YEAR(MinNov1+22)=TahunKalender,MONTH(MinNov1+22)=11),MinNov1+22,""),IF(AND(YEAR(MinNov1+29)=TahunKalender,MONTH(MinNov1+29)=11),MinNov1+29,""))</f>
        <v>44893</v>
      </c>
      <c r="D54" s="31">
        <f>IF(DAY(MinNov1)=1,IF(AND(YEAR(MinNov1+23)=TahunKalender,MONTH(MinNov1+23)=11),MinNov1+23,""),IF(AND(YEAR(MinNov1+30)=TahunKalender,MONTH(MinNov1+30)=11),MinNov1+30,""))</f>
        <v>44894</v>
      </c>
      <c r="E54" s="31">
        <f>IF(DAY(MinNov1)=1,IF(AND(YEAR(MinNov1+24)=TahunKalender,MONTH(MinNov1+24)=11),MinNov1+24,""),IF(AND(YEAR(MinNov1+31)=TahunKalender,MONTH(MinNov1+31)=11),MinNov1+31,""))</f>
        <v>44895</v>
      </c>
      <c r="F54" s="31" t="str">
        <f>IF(DAY(MinNov1)=1,IF(AND(YEAR(MinNov1+25)=TahunKalender,MONTH(MinNov1+25)=11),MinNov1+25,""),IF(AND(YEAR(MinNov1+32)=TahunKalender,MONTH(MinNov1+32)=11),MinNov1+32,""))</f>
        <v/>
      </c>
      <c r="G54" s="31" t="str">
        <f>IF(DAY(MinNov1)=1,IF(AND(YEAR(MinNov1+26)=TahunKalender,MONTH(MinNov1+26)=11),MinNov1+26,""),IF(AND(YEAR(MinNov1+33)=TahunKalender,MONTH(MinNov1+33)=11),MinNov1+33,""))</f>
        <v/>
      </c>
      <c r="H54" s="31" t="str">
        <f>IF(DAY(MinNov1)=1,IF(AND(YEAR(MinNov1+27)=TahunKalender,MONTH(MinNov1+27)=11),MinNov1+27,""),IF(AND(YEAR(MinNov1+34)=TahunKalender,MONTH(MinNov1+34)=11),MinNov1+34,""))</f>
        <v/>
      </c>
      <c r="I54" s="31" t="str">
        <f>IF(DAY(MinNov1)=1,IF(AND(YEAR(MinNov1+28)=TahunKalender,MONTH(MinNov1+28)=11),MinNov1+28,""),IF(AND(YEAR(MinNov1+35)=TahunKalender,MONTH(MinNov1+35)=11),MinNov1+35,""))</f>
        <v/>
      </c>
      <c r="K54" s="31">
        <f>IF(DAY(DesMin1)=1,IF(AND(YEAR(DesMin1+22)=TahunKalender,MONTH(DesMin1+22)=12),DesMin1+22,""),IF(AND(YEAR(DesMin1+29)=TahunKalender,MONTH(DesMin1+29)=12),DesMin1+29,""))</f>
        <v>44921</v>
      </c>
      <c r="L54" s="31">
        <f>IF(DAY(DesMin1)=1,IF(AND(YEAR(DesMin1+23)=TahunKalender,MONTH(DesMin1+23)=12),DesMin1+23,""),IF(AND(YEAR(DesMin1+30)=TahunKalender,MONTH(DesMin1+30)=12),DesMin1+30,""))</f>
        <v>44922</v>
      </c>
      <c r="M54" s="31">
        <f>IF(DAY(DesMin1)=1,IF(AND(YEAR(DesMin1+24)=TahunKalender,MONTH(DesMin1+24)=12),DesMin1+24,""),IF(AND(YEAR(DesMin1+31)=TahunKalender,MONTH(DesMin1+31)=12),DesMin1+31,""))</f>
        <v>44923</v>
      </c>
      <c r="N54" s="31">
        <f>IF(DAY(DesMin1)=1,IF(AND(YEAR(DesMin1+25)=TahunKalender,MONTH(DesMin1+25)=12),DesMin1+25,""),IF(AND(YEAR(DesMin1+32)=TahunKalender,MONTH(DesMin1+32)=12),DesMin1+32,""))</f>
        <v>44924</v>
      </c>
      <c r="O54" s="31">
        <f>IF(DAY(DesMin1)=1,IF(AND(YEAR(DesMin1+26)=TahunKalender,MONTH(DesMin1+26)=12),DesMin1+26,""),IF(AND(YEAR(DesMin1+33)=TahunKalender,MONTH(DesMin1+33)=12),DesMin1+33,""))</f>
        <v>44925</v>
      </c>
      <c r="P54" s="31">
        <f>IF(DAY(DesMin1)=1,IF(AND(YEAR(DesMin1+27)=TahunKalender,MONTH(DesMin1+27)=12),DesMin1+27,""),IF(AND(YEAR(DesMin1+34)=TahunKalender,MONTH(DesMin1+34)=12),DesMin1+34,""))</f>
        <v>44926</v>
      </c>
      <c r="Q54" s="31" t="str">
        <f>IF(DAY(DesMin1)=1,IF(AND(YEAR(DesMin1+28)=TahunKalender,MONTH(DesMin1+28)=12),DesMin1+28,""),IF(AND(YEAR(DesMin1+35)=TahunKalender,MONTH(DesMin1+35)=12),DesMin1+35,""))</f>
        <v/>
      </c>
      <c r="S54" s="3"/>
      <c r="U54" s="35"/>
    </row>
    <row r="55" spans="1:21" ht="15" customHeight="1" x14ac:dyDescent="0.2">
      <c r="C55" s="31" t="str">
        <f>IF(DAY(MinNov1)=1,IF(AND(YEAR(MinNov1+29)=TahunKalender,MONTH(MinNov1+29)=11),MinNov1+29,""),IF(AND(YEAR(MinNov1+36)=TahunKalender,MONTH(MinNov1+36)=11),MinNov1+36,""))</f>
        <v/>
      </c>
      <c r="D55" s="31" t="str">
        <f>IF(DAY(MinNov1)=1,IF(AND(YEAR(MinNov1+30)=TahunKalender,MONTH(MinNov1+30)=11),MinNov1+30,""),IF(AND(YEAR(MinNov1+37)=TahunKalender,MONTH(MinNov1+37)=11),MinNov1+37,""))</f>
        <v/>
      </c>
      <c r="E55" s="31" t="str">
        <f>IF(DAY(MinNov1)=1,IF(AND(YEAR(MinNov1+31)=TahunKalender,MONTH(MinNov1+31)=11),MinNov1+31,""),IF(AND(YEAR(MinNov1+38)=TahunKalender,MONTH(MinNov1+38)=11),MinNov1+38,""))</f>
        <v/>
      </c>
      <c r="F55" s="31" t="str">
        <f>IF(DAY(MinNov1)=1,IF(AND(YEAR(MinNov1+32)=TahunKalender,MONTH(MinNov1+32)=11),MinNov1+32,""),IF(AND(YEAR(MinNov1+39)=TahunKalender,MONTH(MinNov1+39)=11),MinNov1+39,""))</f>
        <v/>
      </c>
      <c r="G55" s="31" t="str">
        <f>IF(DAY(MinNov1)=1,IF(AND(YEAR(MinNov1+33)=TahunKalender,MONTH(MinNov1+33)=11),MinNov1+33,""),IF(AND(YEAR(MinNov1+40)=TahunKalender,MONTH(MinNov1+40)=11),MinNov1+40,""))</f>
        <v/>
      </c>
      <c r="H55" s="31" t="str">
        <f>IF(DAY(MinNov1)=1,IF(AND(YEAR(MinNov1+34)=TahunKalender,MONTH(MinNov1+34)=11),MinNov1+34,""),IF(AND(YEAR(MinNov1+41)=TahunKalender,MONTH(MinNov1+41)=11),MinNov1+41,""))</f>
        <v/>
      </c>
      <c r="I55" s="31" t="str">
        <f>IF(DAY(MinNov1)=1,IF(AND(YEAR(MinNov1+35)=TahunKalender,MONTH(MinNov1+35)=11),MinNov1+35,""),IF(AND(YEAR(MinNov1+42)=TahunKalender,MONTH(MinNov1+42)=11),MinNov1+42,""))</f>
        <v/>
      </c>
      <c r="K55" s="31" t="str">
        <f>IF(DAY(DesMin1)=1,IF(AND(YEAR(DesMin1+29)=TahunKalender,MONTH(DesMin1+29)=12),DesMin1+29,""),IF(AND(YEAR(DesMin1+36)=TahunKalender,MONTH(DesMin1+36)=12),DesMin1+36,""))</f>
        <v/>
      </c>
      <c r="L55" s="31" t="str">
        <f>IF(DAY(DesMin1)=1,IF(AND(YEAR(DesMin1+30)=TahunKalender,MONTH(DesMin1+30)=12),DesMin1+30,""),IF(AND(YEAR(DesMin1+37)=TahunKalender,MONTH(DesMin1+37)=12),DesMin1+37,""))</f>
        <v/>
      </c>
      <c r="M55" s="31" t="str">
        <f>IF(DAY(DesMin1)=1,IF(AND(YEAR(DesMin1+31)=TahunKalender,MONTH(DesMin1+31)=12),DesMin1+31,""),IF(AND(YEAR(DesMin1+38)=TahunKalender,MONTH(DesMin1+38)=12),DesMin1+38,""))</f>
        <v/>
      </c>
      <c r="N55" s="31" t="str">
        <f>IF(DAY(DesMin1)=1,IF(AND(YEAR(DesMin1+32)=TahunKalender,MONTH(DesMin1+32)=12),DesMin1+32,""),IF(AND(YEAR(DesMin1+39)=TahunKalender,MONTH(DesMin1+39)=12),DesMin1+39,""))</f>
        <v/>
      </c>
      <c r="O55" s="31" t="str">
        <f>IF(DAY(DesMin1)=1,IF(AND(YEAR(DesMin1+33)=TahunKalender,MONTH(DesMin1+33)=12),DesMin1+33,""),IF(AND(YEAR(DesMin1+40)=TahunKalender,MONTH(DesMin1+40)=12),DesMin1+40,""))</f>
        <v/>
      </c>
      <c r="P55" s="31" t="str">
        <f>IF(DAY(DesMin1)=1,IF(AND(YEAR(DesMin1+34)=TahunKalender,MONTH(DesMin1+34)=12),DesMin1+34,""),IF(AND(YEAR(DesMin1+41)=TahunKalender,MONTH(DesMin1+41)=12),DesMin1+41,""))</f>
        <v/>
      </c>
      <c r="Q55" s="31" t="str">
        <f>IF(DAY(DesMin1)=1,IF(AND(YEAR(DesMin1+35)=TahunKalender,MONTH(DesMin1+35)=12),DesMin1+35,""),IF(AND(YEAR(DesMin1+42)=TahunKalender,MONTH(DesMin1+42)=12),DesMin1+42,""))</f>
        <v/>
      </c>
      <c r="S55" s="3"/>
      <c r="U55" s="35"/>
    </row>
    <row r="56" spans="1:21" ht="15" customHeight="1" x14ac:dyDescent="0.2">
      <c r="U56" s="4"/>
    </row>
    <row r="57" spans="1:21" ht="15" customHeight="1" x14ac:dyDescent="0.2">
      <c r="U57" s="4"/>
    </row>
    <row r="58" spans="1:21" ht="15" customHeight="1" x14ac:dyDescent="0.2"/>
    <row r="59" spans="1:21" ht="15" customHeight="1" x14ac:dyDescent="0.2"/>
    <row r="60" spans="1:21" ht="15" customHeight="1" x14ac:dyDescent="0.2"/>
    <row r="61" spans="1:21" ht="15" customHeight="1" x14ac:dyDescent="0.2"/>
    <row r="62" spans="1:21" ht="15" customHeight="1" x14ac:dyDescent="0.2"/>
    <row r="63" spans="1:21" ht="15" customHeight="1" x14ac:dyDescent="0.2"/>
    <row r="64" spans="1:21"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4">
    <mergeCell ref="C1:F1"/>
    <mergeCell ref="C3:I3"/>
    <mergeCell ref="K3:Q3"/>
    <mergeCell ref="U51:U55"/>
    <mergeCell ref="C39:I39"/>
    <mergeCell ref="K39:Q39"/>
    <mergeCell ref="C48:I48"/>
    <mergeCell ref="K48:Q48"/>
    <mergeCell ref="C12:I12"/>
    <mergeCell ref="K12:Q12"/>
    <mergeCell ref="C21:I21"/>
    <mergeCell ref="K21:Q21"/>
    <mergeCell ref="C30:I30"/>
    <mergeCell ref="K30:Q30"/>
  </mergeCells>
  <phoneticPr fontId="6" type="noConversion"/>
  <dataValidations count="1">
    <dataValidation allowBlank="1" showInputMessage="1" showErrorMessage="1" errorTitle="Tahun Tidak Valid" error="Masukkan tahun dari 1900 hingga 9999, atau gunakan bilah gulir untuk menemukan tahun." sqref="C1" xr:uid="{00000000-0002-0000-0000-000000000000}"/>
  </dataValidations>
  <printOptions horizontalCentered="1" verticalCentered="1"/>
  <pageMargins left="0.5" right="0.5" top="0.5" bottom="0.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Pemutar">
              <controlPr defaultSize="0" print="0" autoPict="0" altText="Gunakan tombol pemutar untuk mengubah tahun kalender atau memasukkan tahun dalam se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5"/>
    <tablePart r:id="rId6"/>
    <tablePart r:id="rId7"/>
    <tablePart r:id="rId8"/>
    <tablePart r:id="rId9"/>
    <tablePart r:id="rId10"/>
    <tablePart r:id="rId11"/>
    <tablePart r:id="rId12"/>
    <tablePart r:id="rId13"/>
    <tablePart r:id="rId14"/>
    <tablePart r:id="rId15"/>
    <tablePart r:id="rId16"/>
  </tableParts>
</worksheet>
</file>

<file path=docProps/app.xml><?xml version="1.0" encoding="utf-8"?>
<ap:Properties xmlns:vt="http://schemas.openxmlformats.org/officeDocument/2006/docPropsVTypes" xmlns:ap="http://schemas.openxmlformats.org/officeDocument/2006/extended-properties">
  <ap:Template>TM16410228</ap:Template>
  <ap:TotalTime>0</ap:TotalTime>
  <ap:DocSecurity>0</ap:DocSecurity>
  <ap:ScaleCrop>false</ap:ScaleCrop>
  <ap:HeadingPairs>
    <vt:vector baseType="variant" size="4">
      <vt:variant>
        <vt:lpstr>Lembar kerja</vt:lpstr>
      </vt:variant>
      <vt:variant>
        <vt:i4>2</vt:i4>
      </vt:variant>
      <vt:variant>
        <vt:lpstr>Rentang Bernama</vt:lpstr>
      </vt:variant>
      <vt:variant>
        <vt:i4>2</vt:i4>
      </vt:variant>
    </vt:vector>
  </ap:HeadingPairs>
  <ap:TitlesOfParts>
    <vt:vector baseType="lpstr" size="4">
      <vt:lpstr>Awal</vt:lpstr>
      <vt:lpstr>Kalender Tahunan</vt:lpstr>
      <vt:lpstr>'Kalender Tahunan'!Print_Area</vt:lpstr>
      <vt:lpstr>TahunKalender</vt:lpstr>
    </vt:vector>
  </ap:TitlesOfParts>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2022-01-03T23:06:45Z</dcterms:created>
  <dcterms:modified xsi:type="dcterms:W3CDTF">2022-01-27T13:53:13Z</dcterms:modified>
</cp:coreProperties>
</file>