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81.xml" ContentType="application/vnd.openxmlformats-officedocument.spreadsheetml.worksheet+xml"/>
  <Override PartName="/xl/tables/table81.xml" ContentType="application/vnd.openxmlformats-officedocument.spreadsheetml.table+xml"/>
  <Override PartName="/xl/theme/theme11.xml" ContentType="application/vnd.openxmlformats-officedocument.theme+xml"/>
  <Override PartName="/customXml/item2.xml" ContentType="application/xml"/>
  <Override PartName="/customXml/itemProps21.xml" ContentType="application/vnd.openxmlformats-officedocument.customXmlProperties+xml"/>
  <Override PartName="/xl/worksheets/sheet32.xml" ContentType="application/vnd.openxmlformats-officedocument.spreadsheetml.worksheet+xml"/>
  <Override PartName="/xl/tables/table32.xml" ContentType="application/vnd.openxmlformats-officedocument.spreadsheetml.table+xml"/>
  <Override PartName="/xl/worksheets/sheet73.xml" ContentType="application/vnd.openxmlformats-officedocument.spreadsheetml.worksheet+xml"/>
  <Override PartName="/xl/tables/table73.xml" ContentType="application/vnd.openxmlformats-officedocument.spreadsheetml.table+xml"/>
  <Override PartName="/xl/worksheets/sheet124.xml" ContentType="application/vnd.openxmlformats-officedocument.spreadsheetml.worksheet+xml"/>
  <Override PartName="/xl/tables/table124.xml" ContentType="application/vnd.openxmlformats-officedocument.spreadsheetml.table+xml"/>
  <Override PartName="/customXml/item12.xml" ContentType="application/xml"/>
  <Override PartName="/customXml/itemProps12.xml" ContentType="application/vnd.openxmlformats-officedocument.customXmlProperties+xml"/>
  <Override PartName="/xl/worksheets/sheet25.xml" ContentType="application/vnd.openxmlformats-officedocument.spreadsheetml.worksheet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xl/worksheets/sheet16.xml" ContentType="application/vnd.openxmlformats-officedocument.spreadsheetml.worksheet+xml"/>
  <Override PartName="/xl/tables/table16.xml" ContentType="application/vnd.openxmlformats-officedocument.spreadsheetml.table+xml"/>
  <Override PartName="/xl/worksheets/sheet67.xml" ContentType="application/vnd.openxmlformats-officedocument.spreadsheetml.worksheet+xml"/>
  <Override PartName="/xl/tables/table67.xml" ContentType="application/vnd.openxmlformats-officedocument.spreadsheetml.table+xml"/>
  <Override PartName="/xl/worksheets/sheet118.xml" ContentType="application/vnd.openxmlformats-officedocument.spreadsheetml.worksheet+xml"/>
  <Override PartName="/xl/tables/table118.xml" ContentType="application/vnd.openxmlformats-officedocument.spreadsheetml.table+xml"/>
  <Override PartName="/xl/worksheets/sheet59.xml" ContentType="application/vnd.openxmlformats-officedocument.spreadsheetml.worksheet+xml"/>
  <Override PartName="/xl/tables/table59.xml" ContentType="application/vnd.openxmlformats-officedocument.spreadsheetml.table+xml"/>
  <Override PartName="/xl/sharedStrings.xml" ContentType="application/vnd.openxmlformats-officedocument.spreadsheetml.sharedStrings+xml"/>
  <Override PartName="/xl/worksheets/sheet1010.xml" ContentType="application/vnd.openxmlformats-officedocument.spreadsheetml.worksheet+xml"/>
  <Override PartName="/xl/tables/table1010.xml" ContentType="application/vnd.openxmlformats-officedocument.spreadsheetml.table+xml"/>
  <Override PartName="/customXml/item33.xml" ContentType="application/xml"/>
  <Override PartName="/customXml/itemProps33.xml" ContentType="application/vnd.openxmlformats-officedocument.customXmlProperties+xml"/>
  <Override PartName="/xl/worksheets/sheet411.xml" ContentType="application/vnd.openxmlformats-officedocument.spreadsheetml.worksheet+xml"/>
  <Override PartName="/xl/tables/table411.xml" ContentType="application/vnd.openxmlformats-officedocument.spreadsheetml.table+xml"/>
  <Override PartName="/xl/worksheets/sheet912.xml" ContentType="application/vnd.openxmlformats-officedocument.spreadsheetml.worksheet+xml"/>
  <Override PartName="/xl/tables/table912.xml" ContentType="application/vnd.openxmlformats-officedocument.spreadsheetml.table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codeName="ThisWorkbook" autoCompressPictures="0"/>
  <xr:revisionPtr revIDLastSave="0" documentId="13_ncr:1_{FB264907-DD85-4D23-8E49-79FBB50B6937}" xr6:coauthVersionLast="45" xr6:coauthVersionMax="45" xr10:uidLastSave="{00000000-0000-0000-0000-000000000000}"/>
  <bookViews>
    <workbookView xWindow="-120" yWindow="-120" windowWidth="28770" windowHeight="15885" tabRatio="741" xr2:uid="{00000000-000D-0000-FFFF-FFFF00000000}"/>
  </bookViews>
  <sheets>
    <sheet name="Jan." sheetId="1" r:id="rId1"/>
    <sheet name="Febr." sheetId="6" r:id="rId2"/>
    <sheet name="Márc." sheetId="17" r:id="rId3"/>
    <sheet name="Ápr." sheetId="18" r:id="rId4"/>
    <sheet name="Máj." sheetId="19" r:id="rId5"/>
    <sheet name="Jún." sheetId="20" r:id="rId6"/>
    <sheet name="Júl." sheetId="21" r:id="rId7"/>
    <sheet name="Aug." sheetId="22" r:id="rId8"/>
    <sheet name="Szept." sheetId="23" r:id="rId9"/>
    <sheet name="Okt." sheetId="24" r:id="rId10"/>
    <sheet name="Nov." sheetId="25" r:id="rId11"/>
    <sheet name="Dec." sheetId="26" r:id="rId12"/>
  </sheets>
  <definedNames>
    <definedName name="ÁprVas1">DATE(NaptáriÉv,4,1)-WEEKDAY(DATE(NaptáriÉv,4,1))+1</definedName>
    <definedName name="AugVas1">DATE(NaptáriÉv,8,1)-WEEKDAY(DATE(NaptáriÉv,8,1))+1</definedName>
    <definedName name="ColumnTitleRegion1..I8.1">Jan.!$C$2</definedName>
    <definedName name="ColumnTitleRegion1..I8.10">Okt.!$C$2</definedName>
    <definedName name="ColumnTitleRegion1..I8.11">Nov.!$C$2</definedName>
    <definedName name="ColumnTitleRegion1..I8.12">Dec.!$C$2</definedName>
    <definedName name="ColumnTitleRegion1..I8.2">Febr.!$C$2</definedName>
    <definedName name="ColumnTitleRegion1..I8.3">Márc.!$C$2</definedName>
    <definedName name="ColumnTitleRegion1..I8.4">Ápr.!$C$2</definedName>
    <definedName name="ColumnTitleRegion1..I8.5">Máj.!$C$2</definedName>
    <definedName name="ColumnTitleRegion1..I8.6">Jún.!$C$2</definedName>
    <definedName name="ColumnTitleRegion1..I8.7">Júl.!$C$2</definedName>
    <definedName name="ColumnTitleRegion1..I8.8">Aug.!$C$2</definedName>
    <definedName name="ColumnTitleRegion1..I8.9">Szept.!$C$2</definedName>
    <definedName name="DecVas1">DATE(NaptáriÉv,12,1)-WEEKDAY(DATE(NaptáriÉv,12,1))+1</definedName>
    <definedName name="FebVas1">DATE(NaptáriÉv,2,1)-WEEKDAY(DATE(NaptáriÉv,2,1))+1</definedName>
    <definedName name="FeladatNapok" localSheetId="3">Ápr.!$K$2:$K$31</definedName>
    <definedName name="FeladatNapok" localSheetId="7">Aug.!$K$2:$K$31</definedName>
    <definedName name="FeladatNapok" localSheetId="11">Dec.!$K$2:$K$31</definedName>
    <definedName name="FeladatNapok" localSheetId="1">Febr.!$K$2:$K$31</definedName>
    <definedName name="FeladatNapok" localSheetId="6">Júl.!$K$2:$K$31</definedName>
    <definedName name="FeladatNapok" localSheetId="5">Jún.!$K$2:$K$31</definedName>
    <definedName name="FeladatNapok" localSheetId="4">Máj.!$K$2:$K$31</definedName>
    <definedName name="FeladatNapok" localSheetId="2">Márc.!$K$2:$K$31</definedName>
    <definedName name="FeladatNapok" localSheetId="10">Nov.!$K$2:$K$31</definedName>
    <definedName name="FeladatNapok" localSheetId="9">Okt.!$K$2:$K$31</definedName>
    <definedName name="FeladatNapok" localSheetId="8">Szept.!$K$2:$K$31</definedName>
    <definedName name="FeladatNapok">Jan.!$K$2:$K$31</definedName>
    <definedName name="FontosDátumokTáblázata" localSheetId="3">Ápr.!$K$2:$L$6</definedName>
    <definedName name="FontosDátumokTáblázata" localSheetId="7">Aug.!$K$2:$L$6</definedName>
    <definedName name="FontosDátumokTáblázata" localSheetId="11">Dec.!$K$2:$L$6</definedName>
    <definedName name="FontosDátumokTáblázata" localSheetId="1">Febr.!$K$2:$L$6</definedName>
    <definedName name="FontosDátumokTáblázata" localSheetId="6">Júl.!$K$2:$L$6</definedName>
    <definedName name="FontosDátumokTáblázata" localSheetId="5">Jún.!$K$2:$L$6</definedName>
    <definedName name="FontosDátumokTáblázata" localSheetId="4">Máj.!$K$2:$L$6</definedName>
    <definedName name="FontosDátumokTáblázata" localSheetId="2">Márc.!$K$2:$L$6</definedName>
    <definedName name="FontosDátumokTáblázata" localSheetId="10">Nov.!$K$2:$L$6</definedName>
    <definedName name="FontosDátumokTáblázata" localSheetId="9">Okt.!$K$2:$L$6</definedName>
    <definedName name="FontosDátumokTáblázata" localSheetId="8">Szept.!$K$2:$L$6</definedName>
    <definedName name="FontosDátumokTáblázata">Jan.!$K$2:$L$6</definedName>
    <definedName name="JanVas1">DATE(NaptáriÉv,1,1)-WEEKDAY(DATE(NaptáriÉv,1,1))+1</definedName>
    <definedName name="JúlVas1">DATE(NaptáriÉv,7,1)-WEEKDAY(DATE(NaptáriÉv,7,1))+1</definedName>
    <definedName name="JúnVas1">DATE(NaptáriÉv,6,1)-WEEKDAY(DATE(NaptáriÉv,6,1))+1</definedName>
    <definedName name="MájVas1">DATE(NaptáriÉv,5,1)-WEEKDAY(DATE(NaptáriÉv,5,1))+1</definedName>
    <definedName name="MárcVas1">DATE(NaptáriÉv,3,1)-WEEKDAY(DATE(NaptáriÉv,3,1))+1</definedName>
    <definedName name="NaptáriÉv">Jan.!$B$1</definedName>
    <definedName name="NovVas1">DATE(NaptáriÉv,11,1)-WEEKDAY(DATE(NaptáriÉv,11,1))+1</definedName>
    <definedName name="OktVas1">DATE(NaptáriÉv,10,1)-WEEKDAY(DATE(NaptáriÉv,10,1))+1</definedName>
    <definedName name="Oszlopcím1">JanuáriFeladatok[[#Headers],[A hét napja]]</definedName>
    <definedName name="Oszlopcím10">OktóberiFeladatok[[#Headers],[A hét napja]]</definedName>
    <definedName name="Oszlopcím11">NovemberiFeladatok[[#Headers],[A hét napja]]</definedName>
    <definedName name="Oszlopcím12">DecemberiFeladatok[[#Headers],[A hét napja]]</definedName>
    <definedName name="Oszlopcím2">FebruáriFeladatok[[#Headers],[A hét napja]]</definedName>
    <definedName name="Oszlopcím3">MárciusiFeladatok[[#Headers],[A hét napja]]</definedName>
    <definedName name="Oszlopcím4">ÁprilisiFeladatok[[#Headers],[A hét napja]]</definedName>
    <definedName name="Oszlopcím5">MájusiFeladatok[[#Headers],[A hét napja]]</definedName>
    <definedName name="Oszlopcím6">JúniusiFeladatok[[#Headers],[A hét napja]]</definedName>
    <definedName name="Oszlopcím7">JúliusiFeladatok[[#Headers],[A hét napja]]</definedName>
    <definedName name="Oszlopcím8">AugusztusiFeladatok[[#Headers],[A hét napja]]</definedName>
    <definedName name="Oszlopcím9">SzeptemberiFeladatok[[#Headers],[A hét napja]]</definedName>
    <definedName name="SzeptVas1">DATE(NaptáriÉv,9,1)-WEEKDAY(DATE(NaptáriÉv,9,1))+1</definedName>
    <definedName name="TitleRegion2..I31.1">Jan.!$A$11</definedName>
    <definedName name="TitleRegion2..I31.10">Okt.!$A$11</definedName>
    <definedName name="TitleRegion2..I31.11">Nov.!$A$11</definedName>
    <definedName name="TitleRegion2..I31.12">Dec.!$A$11</definedName>
    <definedName name="TitleRegion2..I31.2">Febr.!$A$11</definedName>
    <definedName name="TitleRegion2..I31.3">Márc.!$A$11</definedName>
    <definedName name="TitleRegion2..I31.4">Ápr.!$A$11</definedName>
    <definedName name="TitleRegion2..I31.5">Máj.!$A$11</definedName>
    <definedName name="TitleRegion2..I31.6">Jún.!$A$11</definedName>
    <definedName name="TitleRegion2..I31.7">Júl.!$A$11</definedName>
    <definedName name="TitleRegion2..I31.8">Aug.!$A$11</definedName>
    <definedName name="TitleRegion2..I31.9">Szept.!$A$11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26" l="1"/>
  <c r="E8" i="26"/>
  <c r="H7" i="26"/>
  <c r="D7" i="26"/>
  <c r="G6" i="26"/>
  <c r="C6" i="26"/>
  <c r="F5" i="26"/>
  <c r="I4" i="26"/>
  <c r="E4" i="26"/>
  <c r="H3" i="26"/>
  <c r="D3" i="26"/>
  <c r="E7" i="26"/>
  <c r="G5" i="26"/>
  <c r="F4" i="26"/>
  <c r="H8" i="26"/>
  <c r="D8" i="26"/>
  <c r="G7" i="26"/>
  <c r="C7" i="26"/>
  <c r="F6" i="26"/>
  <c r="I5" i="26"/>
  <c r="E5" i="26"/>
  <c r="H4" i="26"/>
  <c r="D4" i="26"/>
  <c r="G3" i="26"/>
  <c r="C3" i="26"/>
  <c r="D6" i="26"/>
  <c r="E3" i="26"/>
  <c r="G8" i="26"/>
  <c r="C8" i="26"/>
  <c r="F7" i="26"/>
  <c r="I6" i="26"/>
  <c r="E6" i="26"/>
  <c r="H5" i="26"/>
  <c r="D5" i="26"/>
  <c r="G4" i="26"/>
  <c r="C4" i="26"/>
  <c r="F3" i="26"/>
  <c r="F8" i="26"/>
  <c r="I7" i="26"/>
  <c r="H6" i="26"/>
  <c r="C5" i="26"/>
  <c r="I3" i="26"/>
  <c r="B1" i="26"/>
  <c r="I8" i="25"/>
  <c r="E8" i="25"/>
  <c r="H7" i="25"/>
  <c r="D7" i="25"/>
  <c r="G6" i="25"/>
  <c r="C6" i="25"/>
  <c r="F5" i="25"/>
  <c r="I4" i="25"/>
  <c r="E4" i="25"/>
  <c r="H3" i="25"/>
  <c r="D3" i="25"/>
  <c r="I7" i="25"/>
  <c r="D6" i="25"/>
  <c r="C5" i="25"/>
  <c r="E3" i="25"/>
  <c r="H8" i="25"/>
  <c r="D8" i="25"/>
  <c r="G7" i="25"/>
  <c r="C7" i="25"/>
  <c r="F6" i="25"/>
  <c r="I5" i="25"/>
  <c r="E5" i="25"/>
  <c r="H4" i="25"/>
  <c r="D4" i="25"/>
  <c r="G3" i="25"/>
  <c r="C3" i="25"/>
  <c r="H6" i="25"/>
  <c r="F4" i="25"/>
  <c r="G8" i="25"/>
  <c r="C8" i="25"/>
  <c r="F7" i="25"/>
  <c r="I6" i="25"/>
  <c r="E6" i="25"/>
  <c r="H5" i="25"/>
  <c r="D5" i="25"/>
  <c r="G4" i="25"/>
  <c r="C4" i="25"/>
  <c r="F3" i="25"/>
  <c r="F8" i="25"/>
  <c r="E7" i="25"/>
  <c r="G5" i="25"/>
  <c r="I3" i="25"/>
  <c r="B1" i="25"/>
  <c r="I8" i="24"/>
  <c r="E8" i="24"/>
  <c r="H7" i="24"/>
  <c r="D7" i="24"/>
  <c r="G6" i="24"/>
  <c r="C6" i="24"/>
  <c r="F5" i="24"/>
  <c r="I4" i="24"/>
  <c r="E4" i="24"/>
  <c r="H3" i="24"/>
  <c r="D3" i="24"/>
  <c r="C8" i="24"/>
  <c r="I6" i="24"/>
  <c r="H5" i="24"/>
  <c r="G4" i="24"/>
  <c r="F3" i="24"/>
  <c r="I7" i="24"/>
  <c r="H6" i="24"/>
  <c r="G5" i="24"/>
  <c r="F4" i="24"/>
  <c r="E3" i="24"/>
  <c r="H8" i="24"/>
  <c r="D8" i="24"/>
  <c r="G7" i="24"/>
  <c r="C7" i="24"/>
  <c r="F6" i="24"/>
  <c r="I5" i="24"/>
  <c r="E5" i="24"/>
  <c r="H4" i="24"/>
  <c r="D4" i="24"/>
  <c r="G3" i="24"/>
  <c r="C3" i="24"/>
  <c r="G8" i="24"/>
  <c r="F7" i="24"/>
  <c r="E6" i="24"/>
  <c r="D5" i="24"/>
  <c r="C4" i="24"/>
  <c r="F8" i="24"/>
  <c r="E7" i="24"/>
  <c r="D6" i="24"/>
  <c r="C5" i="24"/>
  <c r="I3" i="24"/>
  <c r="B1" i="24"/>
  <c r="I8" i="23"/>
  <c r="E8" i="23"/>
  <c r="H7" i="23"/>
  <c r="D7" i="23"/>
  <c r="G6" i="23"/>
  <c r="C6" i="23"/>
  <c r="F5" i="23"/>
  <c r="I4" i="23"/>
  <c r="E4" i="23"/>
  <c r="H3" i="23"/>
  <c r="D3" i="23"/>
  <c r="I7" i="23"/>
  <c r="G5" i="23"/>
  <c r="E3" i="23"/>
  <c r="H8" i="23"/>
  <c r="D8" i="23"/>
  <c r="G7" i="23"/>
  <c r="C7" i="23"/>
  <c r="F6" i="23"/>
  <c r="I5" i="23"/>
  <c r="E5" i="23"/>
  <c r="H4" i="23"/>
  <c r="D4" i="23"/>
  <c r="G3" i="23"/>
  <c r="C3" i="23"/>
  <c r="E7" i="23"/>
  <c r="C5" i="23"/>
  <c r="I3" i="23"/>
  <c r="G8" i="23"/>
  <c r="C8" i="23"/>
  <c r="F7" i="23"/>
  <c r="I6" i="23"/>
  <c r="E6" i="23"/>
  <c r="H5" i="23"/>
  <c r="D5" i="23"/>
  <c r="G4" i="23"/>
  <c r="C4" i="23"/>
  <c r="F3" i="23"/>
  <c r="F8" i="23"/>
  <c r="H6" i="23"/>
  <c r="D6" i="23"/>
  <c r="F4" i="23"/>
  <c r="B1" i="23"/>
  <c r="I8" i="22"/>
  <c r="E8" i="22"/>
  <c r="H7" i="22"/>
  <c r="D7" i="22"/>
  <c r="G6" i="22"/>
  <c r="C6" i="22"/>
  <c r="F5" i="22"/>
  <c r="I4" i="22"/>
  <c r="E4" i="22"/>
  <c r="H3" i="22"/>
  <c r="D3" i="22"/>
  <c r="H8" i="22"/>
  <c r="D8" i="22"/>
  <c r="G7" i="22"/>
  <c r="C7" i="22"/>
  <c r="F6" i="22"/>
  <c r="I5" i="22"/>
  <c r="E5" i="22"/>
  <c r="H4" i="22"/>
  <c r="D4" i="22"/>
  <c r="G3" i="22"/>
  <c r="C3" i="22"/>
  <c r="G8" i="22"/>
  <c r="C8" i="22"/>
  <c r="F7" i="22"/>
  <c r="I6" i="22"/>
  <c r="E6" i="22"/>
  <c r="H5" i="22"/>
  <c r="D5" i="22"/>
  <c r="G4" i="22"/>
  <c r="C4" i="22"/>
  <c r="F3" i="22"/>
  <c r="F8" i="22"/>
  <c r="I7" i="22"/>
  <c r="E7" i="22"/>
  <c r="H6" i="22"/>
  <c r="D6" i="22"/>
  <c r="G5" i="22"/>
  <c r="C5" i="22"/>
  <c r="F4" i="22"/>
  <c r="I3" i="22"/>
  <c r="E3" i="22"/>
  <c r="B1" i="22"/>
  <c r="I8" i="21"/>
  <c r="E8" i="21"/>
  <c r="H7" i="21"/>
  <c r="D7" i="21"/>
  <c r="G6" i="21"/>
  <c r="C6" i="21"/>
  <c r="F5" i="21"/>
  <c r="I4" i="21"/>
  <c r="E4" i="21"/>
  <c r="H3" i="21"/>
  <c r="D3" i="21"/>
  <c r="C8" i="21"/>
  <c r="I6" i="21"/>
  <c r="H5" i="21"/>
  <c r="G4" i="21"/>
  <c r="F3" i="21"/>
  <c r="H8" i="21"/>
  <c r="D8" i="21"/>
  <c r="G7" i="21"/>
  <c r="C7" i="21"/>
  <c r="F6" i="21"/>
  <c r="I5" i="21"/>
  <c r="E5" i="21"/>
  <c r="H4" i="21"/>
  <c r="D4" i="21"/>
  <c r="G3" i="21"/>
  <c r="C3" i="21"/>
  <c r="F7" i="21"/>
  <c r="E6" i="21"/>
  <c r="D5" i="21"/>
  <c r="C4" i="21"/>
  <c r="G8" i="21"/>
  <c r="F8" i="21"/>
  <c r="I7" i="21"/>
  <c r="E7" i="21"/>
  <c r="H6" i="21"/>
  <c r="D6" i="21"/>
  <c r="G5" i="21"/>
  <c r="C5" i="21"/>
  <c r="F4" i="21"/>
  <c r="I3" i="21"/>
  <c r="E3" i="21"/>
  <c r="B1" i="21"/>
  <c r="I8" i="20"/>
  <c r="E8" i="20"/>
  <c r="H7" i="20"/>
  <c r="D7" i="20"/>
  <c r="G6" i="20"/>
  <c r="C6" i="20"/>
  <c r="F5" i="20"/>
  <c r="I4" i="20"/>
  <c r="E4" i="20"/>
  <c r="H3" i="20"/>
  <c r="D3" i="20"/>
  <c r="E7" i="20"/>
  <c r="D6" i="20"/>
  <c r="F4" i="20"/>
  <c r="H8" i="20"/>
  <c r="D8" i="20"/>
  <c r="G7" i="20"/>
  <c r="C7" i="20"/>
  <c r="F6" i="20"/>
  <c r="I5" i="20"/>
  <c r="E5" i="20"/>
  <c r="H4" i="20"/>
  <c r="D4" i="20"/>
  <c r="G3" i="20"/>
  <c r="C3" i="20"/>
  <c r="I7" i="20"/>
  <c r="G5" i="20"/>
  <c r="I3" i="20"/>
  <c r="G8" i="20"/>
  <c r="C8" i="20"/>
  <c r="F7" i="20"/>
  <c r="I6" i="20"/>
  <c r="E6" i="20"/>
  <c r="H5" i="20"/>
  <c r="D5" i="20"/>
  <c r="G4" i="20"/>
  <c r="C4" i="20"/>
  <c r="F3" i="20"/>
  <c r="F8" i="20"/>
  <c r="H6" i="20"/>
  <c r="C5" i="20"/>
  <c r="E3" i="20"/>
  <c r="B1" i="20"/>
  <c r="I8" i="19"/>
  <c r="E8" i="19"/>
  <c r="H7" i="19"/>
  <c r="D7" i="19"/>
  <c r="G6" i="19"/>
  <c r="C6" i="19"/>
  <c r="F5" i="19"/>
  <c r="I4" i="19"/>
  <c r="E4" i="19"/>
  <c r="H3" i="19"/>
  <c r="D3" i="19"/>
  <c r="F4" i="19"/>
  <c r="E3" i="19"/>
  <c r="H8" i="19"/>
  <c r="D8" i="19"/>
  <c r="G7" i="19"/>
  <c r="C7" i="19"/>
  <c r="F6" i="19"/>
  <c r="I5" i="19"/>
  <c r="E5" i="19"/>
  <c r="H4" i="19"/>
  <c r="D4" i="19"/>
  <c r="G3" i="19"/>
  <c r="C3" i="19"/>
  <c r="C5" i="19"/>
  <c r="G8" i="19"/>
  <c r="C8" i="19"/>
  <c r="F7" i="19"/>
  <c r="I6" i="19"/>
  <c r="E6" i="19"/>
  <c r="H5" i="19"/>
  <c r="D5" i="19"/>
  <c r="G4" i="19"/>
  <c r="C4" i="19"/>
  <c r="F3" i="19"/>
  <c r="F8" i="19"/>
  <c r="I7" i="19"/>
  <c r="E7" i="19"/>
  <c r="H6" i="19"/>
  <c r="D6" i="19"/>
  <c r="G5" i="19"/>
  <c r="I3" i="19"/>
  <c r="B1" i="19"/>
  <c r="I8" i="18"/>
  <c r="E8" i="18"/>
  <c r="H7" i="18"/>
  <c r="D7" i="18"/>
  <c r="G6" i="18"/>
  <c r="C6" i="18"/>
  <c r="F5" i="18"/>
  <c r="I4" i="18"/>
  <c r="E4" i="18"/>
  <c r="H3" i="18"/>
  <c r="D3" i="18"/>
  <c r="I7" i="18"/>
  <c r="D6" i="18"/>
  <c r="F4" i="18"/>
  <c r="H8" i="18"/>
  <c r="D8" i="18"/>
  <c r="G7" i="18"/>
  <c r="C7" i="18"/>
  <c r="F6" i="18"/>
  <c r="I5" i="18"/>
  <c r="E5" i="18"/>
  <c r="H4" i="18"/>
  <c r="D4" i="18"/>
  <c r="G3" i="18"/>
  <c r="C3" i="18"/>
  <c r="H6" i="18"/>
  <c r="C5" i="18"/>
  <c r="E3" i="18"/>
  <c r="G8" i="18"/>
  <c r="C8" i="18"/>
  <c r="F7" i="18"/>
  <c r="I6" i="18"/>
  <c r="E6" i="18"/>
  <c r="H5" i="18"/>
  <c r="D5" i="18"/>
  <c r="G4" i="18"/>
  <c r="C4" i="18"/>
  <c r="F3" i="18"/>
  <c r="F8" i="18"/>
  <c r="E7" i="18"/>
  <c r="G5" i="18"/>
  <c r="I3" i="18"/>
  <c r="B1" i="18"/>
  <c r="I8" i="17"/>
  <c r="E8" i="17"/>
  <c r="H7" i="17"/>
  <c r="D7" i="17"/>
  <c r="G6" i="17"/>
  <c r="C6" i="17"/>
  <c r="F5" i="17"/>
  <c r="I4" i="17"/>
  <c r="E4" i="17"/>
  <c r="H3" i="17"/>
  <c r="D3" i="17"/>
  <c r="H8" i="17"/>
  <c r="D8" i="17"/>
  <c r="G7" i="17"/>
  <c r="C7" i="17"/>
  <c r="F6" i="17"/>
  <c r="I5" i="17"/>
  <c r="E5" i="17"/>
  <c r="H4" i="17"/>
  <c r="D4" i="17"/>
  <c r="G3" i="17"/>
  <c r="C3" i="17"/>
  <c r="G8" i="17"/>
  <c r="C8" i="17"/>
  <c r="F7" i="17"/>
  <c r="I6" i="17"/>
  <c r="E6" i="17"/>
  <c r="H5" i="17"/>
  <c r="D5" i="17"/>
  <c r="G4" i="17"/>
  <c r="C4" i="17"/>
  <c r="F3" i="17"/>
  <c r="F8" i="17"/>
  <c r="I7" i="17"/>
  <c r="E7" i="17"/>
  <c r="H6" i="17"/>
  <c r="D6" i="17"/>
  <c r="G5" i="17"/>
  <c r="C5" i="17"/>
  <c r="F4" i="17"/>
  <c r="I3" i="17"/>
  <c r="E3" i="17"/>
  <c r="B1" i="17"/>
  <c r="B1" i="6" l="1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H3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<sst xmlns="http://schemas.openxmlformats.org/spreadsheetml/2006/main" count="831" uniqueCount="42">
  <si>
    <t>Hétköznap</t>
  </si>
  <si>
    <t>Időpont</t>
  </si>
  <si>
    <t>Tantárgy</t>
  </si>
  <si>
    <t>JAN.</t>
  </si>
  <si>
    <t>HETI ÓRAREND</t>
  </si>
  <si>
    <t>8:00</t>
  </si>
  <si>
    <t>Francia</t>
  </si>
  <si>
    <t>10:00</t>
  </si>
  <si>
    <t>Matematika</t>
  </si>
  <si>
    <t>14:00</t>
  </si>
  <si>
    <t>Angol</t>
  </si>
  <si>
    <t>Adja meg a naptári évet a balra lévő B1 cellában.</t>
  </si>
  <si>
    <t>H</t>
  </si>
  <si>
    <t>K</t>
  </si>
  <si>
    <t>9:00</t>
  </si>
  <si>
    <t>Történelem</t>
  </si>
  <si>
    <t>16:00</t>
  </si>
  <si>
    <t>Programozás</t>
  </si>
  <si>
    <t>SZE</t>
  </si>
  <si>
    <t>CS</t>
  </si>
  <si>
    <t>P</t>
  </si>
  <si>
    <t>SZO</t>
  </si>
  <si>
    <t>V</t>
  </si>
  <si>
    <t>A hét napja</t>
  </si>
  <si>
    <t>naptári nap</t>
  </si>
  <si>
    <t>FELADATOK</t>
  </si>
  <si>
    <t>Francia: Első tanulmány vázlatának határideje</t>
  </si>
  <si>
    <t>Történelem: Dolgozat</t>
  </si>
  <si>
    <t>FEBR.</t>
  </si>
  <si>
    <t>MÁRC.</t>
  </si>
  <si>
    <t>ÁPR.</t>
  </si>
  <si>
    <t xml:space="preserve"> </t>
  </si>
  <si>
    <t>MÁJUS</t>
  </si>
  <si>
    <t>JÚN.</t>
  </si>
  <si>
    <t>JÚL.</t>
  </si>
  <si>
    <t>AUG.</t>
  </si>
  <si>
    <t>SZEPT.</t>
  </si>
  <si>
    <t>OKT.</t>
  </si>
  <si>
    <t>NOV.</t>
  </si>
  <si>
    <t>DEC.</t>
  </si>
  <si>
    <t>HÉ</t>
  </si>
  <si>
    <t>CSÜT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</si>
</sst>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[$-409]mmmmm;@"/>
    <numFmt numFmtId="168" formatCode="[$-40E]mmm/\ d\.;@"/>
    <numFmt numFmtId="169" formatCode="[$-40E]yyyy/\ m/\ d\.\ h:mm\ AM/PM;@"/>
  </numFmts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b/>
      <sz val="17"/>
      <color theme="4" tint="-0.49998474074526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8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wrapText="1"/>
    </xf>
    <xf numFmtId="0" fontId="12" fillId="0" borderId="0" applyFill="0" applyBorder="0" applyProtection="0">
      <alignment horizontal="center" vertical="center"/>
    </xf>
    <xf numFmtId="167" fontId="6" fillId="0" borderId="0" applyFill="0" applyBorder="0" applyProtection="0">
      <alignment horizontal="center" vertical="center"/>
    </xf>
    <xf numFmtId="0" fontId="7" fillId="0" borderId="0" applyFill="0" applyProtection="0">
      <alignment horizontal="left" vertical="center" indent="2"/>
    </xf>
    <xf numFmtId="0" fontId="8" fillId="0" borderId="0" applyNumberFormat="0" applyFill="0" applyBorder="0" applyProtection="0">
      <alignment horizontal="left" vertical="center"/>
    </xf>
    <xf numFmtId="0" fontId="8" fillId="0" borderId="0" applyFill="0" applyBorder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5" applyNumberFormat="0" applyAlignment="0" applyProtection="0"/>
    <xf numFmtId="0" fontId="5" fillId="4" borderId="1">
      <alignment horizontal="left" indent="1"/>
    </xf>
    <xf numFmtId="0" fontId="9" fillId="0" borderId="0">
      <alignment vertical="center"/>
    </xf>
    <xf numFmtId="0" fontId="9" fillId="0" borderId="6" applyNumberFormat="0" applyFont="0" applyFill="0" applyAlignment="0" applyProtection="0">
      <alignment horizontal="left" vertical="center" indent="2"/>
    </xf>
    <xf numFmtId="1" fontId="10" fillId="0" borderId="0" applyFill="0" applyBorder="0">
      <alignment horizontal="center"/>
    </xf>
    <xf numFmtId="0" fontId="13" fillId="0" borderId="7" applyNumberFormat="0" applyFont="0" applyFill="0" applyAlignment="0" applyProtection="0">
      <alignment horizontal="center"/>
    </xf>
    <xf numFmtId="0" fontId="13" fillId="0" borderId="9" applyNumberFormat="0" applyFont="0" applyFill="0" applyAlignment="0" applyProtection="0"/>
    <xf numFmtId="166" fontId="4" fillId="0" borderId="0" applyNumberFormat="0" applyFill="0" applyBorder="0">
      <alignment horizontal="left" vertical="center" indent="1"/>
    </xf>
    <xf numFmtId="0" fontId="13" fillId="2" borderId="0" applyFont="0" applyBorder="0">
      <alignment horizontal="left" vertical="top" indent="1"/>
    </xf>
    <xf numFmtId="0" fontId="5" fillId="0" borderId="0" applyNumberFormat="0" applyFill="0" applyBorder="0" applyAlignment="0">
      <alignment wrapText="1"/>
    </xf>
    <xf numFmtId="20" fontId="13" fillId="2" borderId="0" applyFill="0" applyBorder="0">
      <alignment horizontal="left" indent="1"/>
    </xf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" applyNumberFormat="0" applyAlignment="0" applyProtection="0"/>
    <xf numFmtId="0" fontId="18" fillId="9" borderId="12" applyNumberFormat="0" applyAlignment="0" applyProtection="0"/>
    <xf numFmtId="0" fontId="19" fillId="9" borderId="11" applyNumberFormat="0" applyAlignment="0" applyProtection="0"/>
    <xf numFmtId="0" fontId="20" fillId="0" borderId="13" applyNumberFormat="0" applyFill="0" applyAlignment="0" applyProtection="0"/>
    <xf numFmtId="0" fontId="21" fillId="10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6">
    <xf numFmtId="0" fontId="0" fillId="0" borderId="0" xfId="0">
      <alignment wrapText="1"/>
    </xf>
    <xf numFmtId="0" fontId="8" fillId="0" borderId="7" xfId="16" applyFont="1" applyAlignment="1"/>
    <xf numFmtId="0" fontId="0" fillId="0" borderId="0" xfId="0" applyFont="1">
      <alignment wrapText="1"/>
    </xf>
    <xf numFmtId="1" fontId="10" fillId="0" borderId="0" xfId="15">
      <alignment horizontal="center"/>
    </xf>
    <xf numFmtId="0" fontId="10" fillId="0" borderId="6" xfId="14" applyFont="1" applyAlignment="1">
      <alignment horizontal="center"/>
    </xf>
    <xf numFmtId="0" fontId="0" fillId="0" borderId="0" xfId="0">
      <alignment wrapText="1"/>
    </xf>
    <xf numFmtId="0" fontId="13" fillId="0" borderId="7" xfId="16">
      <alignment horizontal="center"/>
    </xf>
    <xf numFmtId="0" fontId="0" fillId="0" borderId="0" xfId="0">
      <alignment wrapText="1"/>
    </xf>
    <xf numFmtId="0" fontId="0" fillId="0" borderId="0" xfId="0">
      <alignment wrapText="1"/>
    </xf>
    <xf numFmtId="0" fontId="5" fillId="4" borderId="9" xfId="17" applyFont="1" applyFill="1" applyAlignment="1">
      <alignment horizontal="left" indent="1"/>
    </xf>
    <xf numFmtId="0" fontId="0" fillId="0" borderId="0" xfId="0">
      <alignment wrapText="1"/>
    </xf>
    <xf numFmtId="0" fontId="8" fillId="0" borderId="6" xfId="14" applyFont="1" applyAlignment="1">
      <alignment vertical="center"/>
    </xf>
    <xf numFmtId="0" fontId="9" fillId="0" borderId="0" xfId="13">
      <alignment vertical="center"/>
    </xf>
    <xf numFmtId="0" fontId="4" fillId="0" borderId="6" xfId="14" applyNumberFormat="1" applyFont="1" applyAlignment="1">
      <alignment horizontal="left" vertical="center" indent="1"/>
    </xf>
    <xf numFmtId="0" fontId="12" fillId="0" borderId="7" xfId="1" applyBorder="1">
      <alignment horizontal="center" vertical="center"/>
    </xf>
    <xf numFmtId="0" fontId="0" fillId="0" borderId="0" xfId="14" applyFont="1" applyBorder="1" applyAlignment="1">
      <alignment wrapText="1"/>
    </xf>
    <xf numFmtId="0" fontId="8" fillId="0" borderId="0" xfId="5"/>
    <xf numFmtId="0" fontId="7" fillId="0" borderId="0" xfId="3">
      <alignment horizontal="left" vertical="center" indent="2"/>
    </xf>
    <xf numFmtId="0" fontId="12" fillId="0" borderId="0" xfId="1">
      <alignment horizontal="center" vertical="center"/>
    </xf>
    <xf numFmtId="0" fontId="0" fillId="0" borderId="9" xfId="17" applyFont="1" applyAlignment="1">
      <alignment wrapText="1"/>
    </xf>
    <xf numFmtId="0" fontId="5" fillId="4" borderId="1" xfId="12">
      <alignment horizontal="left" indent="1"/>
    </xf>
    <xf numFmtId="0" fontId="0" fillId="0" borderId="0" xfId="0" applyFont="1" applyBorder="1" applyAlignment="1">
      <alignment horizontal="left" wrapText="1"/>
    </xf>
    <xf numFmtId="0" fontId="8" fillId="0" borderId="0" xfId="5" applyFill="1"/>
    <xf numFmtId="0" fontId="8" fillId="0" borderId="0" xfId="4">
      <alignment horizontal="left" vertical="center"/>
    </xf>
    <xf numFmtId="0" fontId="0" fillId="0" borderId="0" xfId="0">
      <alignment wrapText="1"/>
    </xf>
    <xf numFmtId="0" fontId="0" fillId="0" borderId="7" xfId="16" applyFont="1" applyAlignment="1">
      <alignment wrapText="1"/>
    </xf>
    <xf numFmtId="0" fontId="0" fillId="0" borderId="7" xfId="16" applyFont="1" applyAlignment="1">
      <alignment horizontal="left" wrapText="1"/>
    </xf>
    <xf numFmtId="1" fontId="10" fillId="0" borderId="7" xfId="15" applyBorder="1">
      <alignment horizontal="center"/>
    </xf>
    <xf numFmtId="0" fontId="5" fillId="0" borderId="0" xfId="20">
      <alignment wrapText="1"/>
    </xf>
    <xf numFmtId="0" fontId="8" fillId="0" borderId="7" xfId="5" applyBorder="1"/>
    <xf numFmtId="1" fontId="10" fillId="0" borderId="6" xfId="15" applyBorder="1">
      <alignment horizontal="center"/>
    </xf>
    <xf numFmtId="1" fontId="10" fillId="0" borderId="7" xfId="16" applyNumberFormat="1" applyFont="1">
      <alignment horizontal="center"/>
    </xf>
    <xf numFmtId="0" fontId="3" fillId="0" borderId="7" xfId="16" applyFont="1" applyAlignment="1">
      <alignment horizontal="left" wrapText="1"/>
    </xf>
    <xf numFmtId="0" fontId="12" fillId="0" borderId="6" xfId="1" applyBorder="1">
      <alignment horizontal="center" vertical="center"/>
    </xf>
    <xf numFmtId="0" fontId="5" fillId="4" borderId="1" xfId="12">
      <alignment horizontal="left" indent="1"/>
    </xf>
    <xf numFmtId="0" fontId="5" fillId="0" borderId="9" xfId="20" applyBorder="1" applyAlignment="1">
      <alignment wrapText="1"/>
    </xf>
    <xf numFmtId="0" fontId="0" fillId="2" borderId="0" xfId="19" applyFont="1">
      <alignment horizontal="left" vertical="top" indent="1"/>
    </xf>
    <xf numFmtId="0" fontId="1" fillId="2" borderId="9" xfId="19" applyFont="1" applyBorder="1">
      <alignment horizontal="left" vertical="top" indent="1"/>
    </xf>
    <xf numFmtId="0" fontId="11" fillId="2" borderId="9" xfId="19" applyFont="1" applyBorder="1">
      <alignment horizontal="left" vertical="top" indent="1"/>
    </xf>
    <xf numFmtId="0" fontId="0" fillId="2" borderId="7" xfId="19" applyFont="1" applyBorder="1">
      <alignment horizontal="left" vertical="top" indent="1"/>
    </xf>
    <xf numFmtId="0" fontId="1" fillId="2" borderId="7" xfId="19" applyFont="1" applyBorder="1">
      <alignment horizontal="left" vertical="top" indent="1"/>
    </xf>
    <xf numFmtId="0" fontId="1" fillId="2" borderId="0" xfId="19" applyFont="1">
      <alignment horizontal="left" vertical="top" indent="1"/>
    </xf>
    <xf numFmtId="0" fontId="11" fillId="2" borderId="0" xfId="19" applyFont="1">
      <alignment horizontal="left" vertical="top" indent="1"/>
    </xf>
    <xf numFmtId="0" fontId="13" fillId="2" borderId="7" xfId="19" applyBorder="1">
      <alignment horizontal="left" vertical="top" indent="1"/>
    </xf>
    <xf numFmtId="0" fontId="0" fillId="2" borderId="7" xfId="16" applyFont="1" applyFill="1" applyAlignment="1">
      <alignment horizontal="left" vertical="top" indent="1"/>
    </xf>
    <xf numFmtId="0" fontId="1" fillId="2" borderId="7" xfId="16" applyFont="1" applyFill="1" applyAlignment="1">
      <alignment horizontal="left" vertical="top" indent="1"/>
    </xf>
    <xf numFmtId="0" fontId="8" fillId="0" borderId="6" xfId="5" applyBorder="1"/>
    <xf numFmtId="168" fontId="6" fillId="0" borderId="0" xfId="2" applyNumberFormat="1">
      <alignment horizontal="center" vertical="center"/>
    </xf>
    <xf numFmtId="168" fontId="6" fillId="0" borderId="6" xfId="2" applyNumberFormat="1" applyBorder="1">
      <alignment horizontal="center" vertical="center"/>
    </xf>
    <xf numFmtId="14" fontId="4" fillId="0" borderId="0" xfId="0" applyNumberFormat="1" applyFont="1" applyFill="1" applyAlignment="1">
      <alignment horizontal="left" wrapText="1"/>
    </xf>
    <xf numFmtId="168" fontId="6" fillId="0" borderId="6" xfId="14" applyNumberFormat="1" applyFont="1" applyAlignment="1">
      <alignment horizontal="center" vertical="center"/>
    </xf>
    <xf numFmtId="169" fontId="13" fillId="0" borderId="7" xfId="16" applyNumberFormat="1" applyFill="1" applyAlignment="1">
      <alignment horizontal="left" indent="1"/>
    </xf>
    <xf numFmtId="0" fontId="5" fillId="4" borderId="8" xfId="12" applyBorder="1">
      <alignment horizontal="left" indent="1"/>
    </xf>
    <xf numFmtId="0" fontId="5" fillId="4" borderId="2" xfId="12" applyBorder="1">
      <alignment horizontal="left" indent="1"/>
    </xf>
    <xf numFmtId="0" fontId="1" fillId="2" borderId="0" xfId="19" applyFont="1">
      <alignment horizontal="left" vertical="top" indent="1"/>
    </xf>
    <xf numFmtId="0" fontId="1" fillId="2" borderId="7" xfId="19" applyFont="1" applyBorder="1">
      <alignment horizontal="left" vertical="top" indent="1"/>
    </xf>
    <xf numFmtId="0" fontId="13" fillId="2" borderId="7" xfId="19" applyBorder="1">
      <alignment horizontal="left" vertical="top" indent="1"/>
    </xf>
    <xf numFmtId="0" fontId="1" fillId="2" borderId="7" xfId="16" applyFont="1" applyFill="1" applyAlignment="1">
      <alignment horizontal="left" vertical="top" indent="1"/>
    </xf>
    <xf numFmtId="166" fontId="4" fillId="0" borderId="0" xfId="18" applyNumberFormat="1" applyFill="1" applyBorder="1">
      <alignment horizontal="left" vertical="center" indent="1"/>
    </xf>
    <xf numFmtId="166" fontId="4" fillId="0" borderId="7" xfId="16" applyNumberFormat="1" applyFont="1" applyFill="1" applyAlignment="1">
      <alignment horizontal="left" vertical="center" indent="1"/>
    </xf>
    <xf numFmtId="20" fontId="13" fillId="2" borderId="0" xfId="21" applyNumberFormat="1">
      <alignment horizontal="left" indent="1"/>
    </xf>
    <xf numFmtId="20" fontId="13" fillId="2" borderId="10" xfId="21" applyNumberFormat="1" applyBorder="1">
      <alignment horizontal="left" indent="1"/>
    </xf>
    <xf numFmtId="20" fontId="13" fillId="2" borderId="9" xfId="21" applyNumberFormat="1" applyBorder="1">
      <alignment horizontal="left" indent="1"/>
    </xf>
    <xf numFmtId="20" fontId="13" fillId="2" borderId="0" xfId="21" applyNumberFormat="1">
      <alignment horizontal="left" indent="1"/>
    </xf>
    <xf numFmtId="20" fontId="13" fillId="2" borderId="3" xfId="21" applyNumberFormat="1" applyBorder="1">
      <alignment horizontal="left" indent="1"/>
    </xf>
    <xf numFmtId="20" fontId="13" fillId="2" borderId="4" xfId="21" applyNumberFormat="1" applyBorder="1">
      <alignment horizontal="left" indent="1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 heti ütemterv kitöltése" xfId="19" xr:uid="{00000000-0005-0000-0000-000015000000}"/>
    <cellStyle name="A táblázat címsora üres" xfId="20" xr:uid="{00000000-0005-0000-0000-000010000000}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Alsó szegély" xfId="16" xr:uid="{00000000-0005-0000-0000-000000000000}"/>
    <cellStyle name="Bad" xfId="23" builtinId="27" customBuiltin="1"/>
    <cellStyle name="Calculation" xfId="27" builtinId="22" customBuiltin="1"/>
    <cellStyle name="Check Cell" xfId="29" builtinId="23" customBuiltin="1"/>
    <cellStyle name="Címke" xfId="13" xr:uid="{00000000-0005-0000-0000-00000B000000}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átum" xfId="15" xr:uid="{00000000-0005-0000-0000-000006000000}"/>
    <cellStyle name="Explanatory Text" xfId="31" builtinId="53" customBuiltin="1"/>
    <cellStyle name="Felső szegély" xfId="14" xr:uid="{00000000-0005-0000-0000-000013000000}"/>
    <cellStyle name="Good" xfId="2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étköznapok" xfId="12" xr:uid="{00000000-0005-0000-0000-000014000000}"/>
    <cellStyle name="Időpont" xfId="21" xr:uid="{00000000-0005-0000-0000-000011000000}"/>
    <cellStyle name="Input" xfId="25" builtinId="20" customBuiltin="1"/>
    <cellStyle name="Jobb szegély" xfId="17" xr:uid="{00000000-0005-0000-0000-00000F000000}"/>
    <cellStyle name="Linked Cell" xfId="28" builtinId="24" customBuiltin="1"/>
    <cellStyle name="Naptárigazítás" xfId="18" xr:uid="{00000000-0005-0000-0000-000001000000}"/>
    <cellStyle name="Neutral" xfId="24" builtinId="28" customBuiltin="1"/>
    <cellStyle name="Normal" xfId="0" builtinId="0" customBuiltin="1"/>
    <cellStyle name="Note" xfId="11" builtinId="10" customBuiltin="1"/>
    <cellStyle name="Output" xfId="26" builtinId="21" customBuiltin="1"/>
    <cellStyle name="Percent" xfId="10" builtinId="5" customBuiltin="1"/>
    <cellStyle name="Title" xfId="1" builtinId="15" customBuiltin="1"/>
    <cellStyle name="Total" xfId="32" builtinId="25" customBuiltin="1"/>
    <cellStyle name="Warning Text" xfId="30" builtinId="11" customBuiltin="1"/>
  </cellStyles>
  <dxfs count="89"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border>
        <left style="thin">
          <color theme="0"/>
        </left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PivotStyle="PivotStyleLight16">
    <tableStyle name="Feladatok" pivot="0" count="3" xr9:uid="{00000000-0011-0000-FFFF-FFFF00000000}">
      <tableStyleElement type="wholeTable" dxfId="88"/>
      <tableStyleElement type="headerRow" dxfId="87"/>
      <tableStyleElement type="firstColumn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theme" Target="/xl/theme/theme11.xml" Id="rId13" /><Relationship Type="http://schemas.openxmlformats.org/officeDocument/2006/relationships/customXml" Target="/customXml/item2.xml" Id="rId18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worksheet" Target="/xl/worksheets/sheet124.xml" Id="rId12" /><Relationship Type="http://schemas.openxmlformats.org/officeDocument/2006/relationships/customXml" Target="/customXml/item12.xml" Id="rId17" /><Relationship Type="http://schemas.openxmlformats.org/officeDocument/2006/relationships/worksheet" Target="/xl/worksheets/sheet25.xml" Id="rId2" /><Relationship Type="http://schemas.openxmlformats.org/officeDocument/2006/relationships/calcChain" Target="/xl/calcChain.xml" Id="rId16" /><Relationship Type="http://schemas.openxmlformats.org/officeDocument/2006/relationships/worksheet" Target="/xl/worksheets/sheet16.xml" Id="rId1" /><Relationship Type="http://schemas.openxmlformats.org/officeDocument/2006/relationships/worksheet" Target="/xl/worksheets/sheet67.xml" Id="rId6" /><Relationship Type="http://schemas.openxmlformats.org/officeDocument/2006/relationships/worksheet" Target="/xl/worksheets/sheet118.xml" Id="rId11" /><Relationship Type="http://schemas.openxmlformats.org/officeDocument/2006/relationships/worksheet" Target="/xl/worksheets/sheet59.xml" Id="rId5" /><Relationship Type="http://schemas.openxmlformats.org/officeDocument/2006/relationships/sharedStrings" Target="/xl/sharedStrings.xml" Id="rId15" /><Relationship Type="http://schemas.openxmlformats.org/officeDocument/2006/relationships/worksheet" Target="/xl/worksheets/sheet1010.xml" Id="rId10" /><Relationship Type="http://schemas.openxmlformats.org/officeDocument/2006/relationships/customXml" Target="/customXml/item33.xml" Id="rId19" /><Relationship Type="http://schemas.openxmlformats.org/officeDocument/2006/relationships/worksheet" Target="/xl/worksheets/sheet411.xml" Id="rId4" /><Relationship Type="http://schemas.openxmlformats.org/officeDocument/2006/relationships/worksheet" Target="/xl/worksheets/sheet912.xml" Id="rId9" /><Relationship Type="http://schemas.openxmlformats.org/officeDocument/2006/relationships/styles" Target="/xl/styles.xml" Id="rId14" /></Relationships>
</file>

<file path=xl/tables/table10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OktóberiFeladatok" displayName="OktóberiFeladatok" ref="J1:L31" totalsRowShown="0">
  <autoFilter ref="J1:L31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900-000001000000}" name="A hét napja" dataCellStyle="Heading 4"/>
    <tableColumn id="2" xr3:uid="{00000000-0010-0000-0900-000002000000}" name="naptári nap" dataCellStyle="Dátum"/>
    <tableColumn id="3" xr3:uid="{00000000-0010-0000-09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NovemberiFeladatok" displayName="NovemberiFeladatok" ref="J1:L31" totalsRowShown="0">
  <autoFilter ref="J1:L31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A00-000001000000}" name="A hét napja" dataCellStyle="Heading 4"/>
    <tableColumn id="2" xr3:uid="{00000000-0010-0000-0A00-000002000000}" name="naptári nap" dataCellStyle="Dátum"/>
    <tableColumn id="3" xr3:uid="{00000000-0010-0000-0A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ecemberiFeladatok" displayName="DecemberiFeladatok" ref="J1:L31" totalsRowShown="0" dataCellStyle="Normal">
  <autoFilter ref="J1:L31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B00-000001000000}" name="A hét napja" dataCellStyle="Heading 4"/>
    <tableColumn id="2" xr3:uid="{00000000-0010-0000-0B00-000002000000}" name="naptári nap" dataCellStyle="Dátum"/>
    <tableColumn id="3" xr3:uid="{00000000-0010-0000-0B00-000003000000}" name="FELADATOK" dataCellStyle="Normal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uáriFeladatok" displayName="JanuáriFeladatok" ref="J1:L31" totalsRowShown="0">
  <autoFilter ref="J1:L3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 hét napja" dataCellStyle="Heading 4"/>
    <tableColumn id="2" xr3:uid="{00000000-0010-0000-0000-000002000000}" name="naptári nap" dataCellStyle="Dátum"/>
    <tableColumn id="3" xr3:uid="{00000000-0010-0000-00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áriFeladatok" displayName="FebruáriFeladatok" ref="J1:L31" totalsRowShown="0">
  <autoFilter ref="J1:L3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A hét napja" dataCellStyle="Heading 4"/>
    <tableColumn id="2" xr3:uid="{00000000-0010-0000-0100-000002000000}" name="naptári nap" dataCellStyle="Dátum"/>
    <tableColumn id="3" xr3:uid="{00000000-0010-0000-0100-000003000000}" name="FELADATOK" dataCellStyle="Normal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árciusiFeladatok" displayName="MárciusiFeladatok" ref="J1:L31" totalsRowShown="0">
  <autoFilter ref="J1:L31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A hét napja" dataCellStyle="Heading 4"/>
    <tableColumn id="2" xr3:uid="{00000000-0010-0000-0200-000002000000}" name="naptári nap" dataCellStyle="Dátum"/>
    <tableColumn id="3" xr3:uid="{00000000-0010-0000-02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4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ÁprilisiFeladatok" displayName="ÁprilisiFeladatok" ref="J1:L31" totalsRowShown="0">
  <autoFilter ref="J1:L31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A hét napja" dataCellStyle="Heading 4"/>
    <tableColumn id="2" xr3:uid="{00000000-0010-0000-0300-000002000000}" name="naptári nap" dataCellStyle="Dátum"/>
    <tableColumn id="3" xr3:uid="{00000000-0010-0000-03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ájusiFeladatok" displayName="MájusiFeladatok" ref="J1:L31" totalsRowShown="0">
  <autoFilter ref="J1:L3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A hét napja" dataCellStyle="Heading 4"/>
    <tableColumn id="2" xr3:uid="{00000000-0010-0000-0400-000002000000}" name="naptári nap" dataCellStyle="Dátum"/>
    <tableColumn id="3" xr3:uid="{00000000-0010-0000-04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JúniusiFeladatok" displayName="JúniusiFeladatok" ref="J1:L31" totalsRowShown="0">
  <autoFilter ref="J1:L3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A hét napja" dataCellStyle="Heading 4"/>
    <tableColumn id="2" xr3:uid="{00000000-0010-0000-0500-000002000000}" name="naptári nap" dataCellStyle="Dátum"/>
    <tableColumn id="3" xr3:uid="{00000000-0010-0000-05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JúliusiFeladatok" displayName="JúliusiFeladatok" ref="J1:L31" totalsRowShown="0">
  <autoFilter ref="J1:L31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A hét napja" dataCellStyle="Heading 4"/>
    <tableColumn id="2" xr3:uid="{00000000-0010-0000-0600-000002000000}" name="naptári nap" dataCellStyle="Dátum"/>
    <tableColumn id="3" xr3:uid="{00000000-0010-0000-06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AugusztusiFeladatok" displayName="AugusztusiFeladatok" ref="J1:L31" totalsRowShown="0">
  <autoFilter ref="J1:L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700-000001000000}" name="A hét napja" dataCellStyle="Heading 4"/>
    <tableColumn id="2" xr3:uid="{00000000-0010-0000-0700-000002000000}" name="naptári nap"/>
    <tableColumn id="3" xr3:uid="{00000000-0010-0000-07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ables/table9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zeptemberiFeladatok" displayName="SzeptemberiFeladatok" ref="J1:L31" totalsRowShown="0">
  <autoFilter ref="J1:L31" xr:uid="{00000000-0009-0000-0100-000009000000}">
    <filterColumn colId="0" hiddenButton="1"/>
    <filterColumn colId="1" hiddenButton="1"/>
    <filterColumn colId="2" hiddenButton="1"/>
  </autoFilter>
  <tableColumns count="3">
    <tableColumn id="1" xr3:uid="{00000000-0010-0000-0800-000001000000}" name="A hét napja" dataCellStyle="Heading 4"/>
    <tableColumn id="2" xr3:uid="{00000000-0010-0000-0800-000002000000}" name="naptári nap" dataCellStyle="Dátum"/>
    <tableColumn id="3" xr3:uid="{00000000-0010-0000-0800-000003000000}" name="FELADATOK"/>
  </tableColumns>
  <tableStyleInfo name="Feladatok" showFirstColumn="1" showLastColumn="0" showRowStripes="1" showColumnStripes="0"/>
  <extLst>
    <ext xmlns:x14="http://schemas.microsoft.com/office/spreadsheetml/2009/9/main" uri="{504A1905-F514-4f6f-8877-14C23A59335A}">
      <x14:table altTextSummary="Adja meg a napot és a feladatot a hétköznaphoz a J oszlopban. Ezen a munkalapon a feladatok kiemelve szerepelnek majd ez e havi naptárban"/>
    </ext>
  </extLst>
</table>
</file>

<file path=xl/theme/theme1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10.xml.rels>&#65279;<?xml version="1.0" encoding="utf-8"?><Relationships xmlns="http://schemas.openxmlformats.org/package/2006/relationships"><Relationship Type="http://schemas.openxmlformats.org/officeDocument/2006/relationships/table" Target="/xl/tables/table1010.xml" Id="rId2" /><Relationship Type="http://schemas.openxmlformats.org/officeDocument/2006/relationships/printerSettings" Target="/xl/printerSettings/printerSettings1010.bin" Id="rId1" /></Relationships>
</file>

<file path=xl/worksheets/_rels/sheet118.xml.rels>&#65279;<?xml version="1.0" encoding="utf-8"?><Relationships xmlns="http://schemas.openxmlformats.org/package/2006/relationships"><Relationship Type="http://schemas.openxmlformats.org/officeDocument/2006/relationships/table" Target="/xl/tables/table118.xml" Id="rId2" /><Relationship Type="http://schemas.openxmlformats.org/officeDocument/2006/relationships/printerSettings" Target="/xl/printerSettings/printerSettings118.bin" Id="rId1" /></Relationships>
</file>

<file path=xl/worksheets/_rels/sheet124.xml.rels>&#65279;<?xml version="1.0" encoding="utf-8"?><Relationships xmlns="http://schemas.openxmlformats.org/package/2006/relationships"><Relationship Type="http://schemas.openxmlformats.org/officeDocument/2006/relationships/table" Target="/xl/tables/table124.xml" Id="rId2" /><Relationship Type="http://schemas.openxmlformats.org/officeDocument/2006/relationships/printerSettings" Target="/xl/printerSettings/printerSettings124.bin" Id="rId1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table" Target="/xl/tables/table16.xml" Id="rId2" /><Relationship Type="http://schemas.openxmlformats.org/officeDocument/2006/relationships/printerSettings" Target="/xl/printerSettings/printerSettings16.bin" Id="rId1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table" Target="/xl/tables/table25.xml" Id="rId2" /><Relationship Type="http://schemas.openxmlformats.org/officeDocument/2006/relationships/printerSettings" Target="/xl/printerSettings/printerSettings25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32.xml" Id="rId2" /><Relationship Type="http://schemas.openxmlformats.org/officeDocument/2006/relationships/printerSettings" Target="/xl/printerSettings/printerSettings32.bin" Id="rId1" /></Relationships>
</file>

<file path=xl/worksheets/_rels/sheet411.xml.rels>&#65279;<?xml version="1.0" encoding="utf-8"?><Relationships xmlns="http://schemas.openxmlformats.org/package/2006/relationships"><Relationship Type="http://schemas.openxmlformats.org/officeDocument/2006/relationships/table" Target="/xl/tables/table411.xml" Id="rId2" /><Relationship Type="http://schemas.openxmlformats.org/officeDocument/2006/relationships/printerSettings" Target="/xl/printerSettings/printerSettings411.bin" Id="rId1" /></Relationships>
</file>

<file path=xl/worksheets/_rels/sheet59.xml.rels>&#65279;<?xml version="1.0" encoding="utf-8"?><Relationships xmlns="http://schemas.openxmlformats.org/package/2006/relationships"><Relationship Type="http://schemas.openxmlformats.org/officeDocument/2006/relationships/table" Target="/xl/tables/table59.xml" Id="rId2" /><Relationship Type="http://schemas.openxmlformats.org/officeDocument/2006/relationships/printerSettings" Target="/xl/printerSettings/printerSettings59.bin" Id="rId1" /></Relationships>
</file>

<file path=xl/worksheets/_rels/sheet67.xml.rels>&#65279;<?xml version="1.0" encoding="utf-8"?><Relationships xmlns="http://schemas.openxmlformats.org/package/2006/relationships"><Relationship Type="http://schemas.openxmlformats.org/officeDocument/2006/relationships/table" Target="/xl/tables/table67.xml" Id="rId2" /><Relationship Type="http://schemas.openxmlformats.org/officeDocument/2006/relationships/printerSettings" Target="/xl/printerSettings/printerSettings67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table" Target="/xl/tables/table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81.xml" Id="rId2" /><Relationship Type="http://schemas.openxmlformats.org/officeDocument/2006/relationships/printerSettings" Target="/xl/printerSettings/printerSettings81.bin" Id="rId1" /></Relationships>
</file>

<file path=xl/worksheets/_rels/sheet912.xml.rels>&#65279;<?xml version="1.0" encoding="utf-8"?><Relationships xmlns="http://schemas.openxmlformats.org/package/2006/relationships"><Relationship Type="http://schemas.openxmlformats.org/officeDocument/2006/relationships/table" Target="/xl/tables/table912.xml" Id="rId2" /><Relationship Type="http://schemas.openxmlformats.org/officeDocument/2006/relationships/printerSettings" Target="/xl/printerSettings/printerSettings912.bin" Id="rId1" /></Relationships>
</file>

<file path=xl/worksheets/sheet10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37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0"/>
      <c r="L2" s="7"/>
    </row>
    <row r="3" spans="1:12" ht="30" customHeight="1" x14ac:dyDescent="0.25">
      <c r="A3" s="19"/>
      <c r="C3" s="58">
        <f>IF(DAY(OktVas1)=1,OktVas1-6,OktVas1+1)</f>
        <v>44466</v>
      </c>
      <c r="D3" s="58">
        <f>IF(DAY(OktVas1)=1,OktVas1-5,OktVas1+2)</f>
        <v>44467</v>
      </c>
      <c r="E3" s="58">
        <f>IF(DAY(OktVas1)=1,OktVas1-4,OktVas1+3)</f>
        <v>44468</v>
      </c>
      <c r="F3" s="58">
        <f>IF(DAY(OktVas1)=1,OktVas1-3,OktVas1+4)</f>
        <v>44469</v>
      </c>
      <c r="G3" s="58">
        <f>IF(DAY(OktVas1)=1,OktVas1-2,OktVas1+5)</f>
        <v>44470</v>
      </c>
      <c r="H3" s="58">
        <f>IF(DAY(OktVas1)=1,OktVas1-1,OktVas1+6)</f>
        <v>44471</v>
      </c>
      <c r="I3" s="58">
        <f>IF(DAY(OktVas1)=1,OktVas1,OktVas1+7)</f>
        <v>44472</v>
      </c>
      <c r="J3" s="16"/>
      <c r="K3" s="3"/>
      <c r="L3" s="10"/>
    </row>
    <row r="4" spans="1:12" ht="30" customHeight="1" x14ac:dyDescent="0.25">
      <c r="A4" s="19"/>
      <c r="C4" s="58">
        <f>IF(DAY(OktVas1)=1,OktVas1+1,OktVas1+8)</f>
        <v>44473</v>
      </c>
      <c r="D4" s="58">
        <f>IF(DAY(OktVas1)=1,OktVas1+2,OktVas1+9)</f>
        <v>44474</v>
      </c>
      <c r="E4" s="58">
        <f>IF(DAY(OktVas1)=1,OktVas1+3,OktVas1+10)</f>
        <v>44475</v>
      </c>
      <c r="F4" s="58">
        <f>IF(DAY(OktVas1)=1,OktVas1+4,OktVas1+11)</f>
        <v>44476</v>
      </c>
      <c r="G4" s="58">
        <f>IF(DAY(OktVas1)=1,OktVas1+5,OktVas1+12)</f>
        <v>44477</v>
      </c>
      <c r="H4" s="58">
        <f>IF(DAY(OktVas1)=1,OktVas1+6,OktVas1+13)</f>
        <v>44478</v>
      </c>
      <c r="I4" s="58">
        <f>IF(DAY(OktVas1)=1,OktVas1+7,OktVas1+14)</f>
        <v>44479</v>
      </c>
      <c r="J4" s="16"/>
      <c r="K4" s="3"/>
      <c r="L4" s="10"/>
    </row>
    <row r="5" spans="1:12" ht="30" customHeight="1" x14ac:dyDescent="0.25">
      <c r="A5" s="19"/>
      <c r="C5" s="58">
        <f>IF(DAY(OktVas1)=1,OktVas1+8,OktVas1+15)</f>
        <v>44480</v>
      </c>
      <c r="D5" s="58">
        <f>IF(DAY(OktVas1)=1,OktVas1+9,OktVas1+16)</f>
        <v>44481</v>
      </c>
      <c r="E5" s="58">
        <f>IF(DAY(OktVas1)=1,OktVas1+10,OktVas1+17)</f>
        <v>44482</v>
      </c>
      <c r="F5" s="58">
        <f>IF(DAY(OktVas1)=1,OktVas1+11,OktVas1+18)</f>
        <v>44483</v>
      </c>
      <c r="G5" s="58">
        <f>IF(DAY(OktVas1)=1,OktVas1+12,OktVas1+19)</f>
        <v>44484</v>
      </c>
      <c r="H5" s="58">
        <f>IF(DAY(OktVas1)=1,OktVas1+13,OktVas1+20)</f>
        <v>44485</v>
      </c>
      <c r="I5" s="58">
        <f>IF(DAY(OktVas1)=1,OktVas1+14,OktVas1+21)</f>
        <v>44486</v>
      </c>
      <c r="J5" s="16"/>
      <c r="K5" s="3"/>
      <c r="L5" s="10"/>
    </row>
    <row r="6" spans="1:12" ht="30" customHeight="1" x14ac:dyDescent="0.25">
      <c r="A6" s="19"/>
      <c r="C6" s="58">
        <f>IF(DAY(OktVas1)=1,OktVas1+15,OktVas1+22)</f>
        <v>44487</v>
      </c>
      <c r="D6" s="58">
        <f>IF(DAY(OktVas1)=1,OktVas1+16,OktVas1+23)</f>
        <v>44488</v>
      </c>
      <c r="E6" s="58">
        <f>IF(DAY(OktVas1)=1,OktVas1+17,OktVas1+24)</f>
        <v>44489</v>
      </c>
      <c r="F6" s="58">
        <f>IF(DAY(OktVas1)=1,OktVas1+18,OktVas1+25)</f>
        <v>44490</v>
      </c>
      <c r="G6" s="58">
        <f>IF(DAY(OktVas1)=1,OktVas1+19,OktVas1+26)</f>
        <v>44491</v>
      </c>
      <c r="H6" s="58">
        <f>IF(DAY(OktVas1)=1,OktVas1+20,OktVas1+27)</f>
        <v>44492</v>
      </c>
      <c r="I6" s="58">
        <f>IF(DAY(OktVas1)=1,OktVas1+21,OktVas1+28)</f>
        <v>44493</v>
      </c>
      <c r="J6" s="16"/>
      <c r="K6" s="3"/>
      <c r="L6" s="10"/>
    </row>
    <row r="7" spans="1:12" ht="30" customHeight="1" x14ac:dyDescent="0.25">
      <c r="A7" s="19"/>
      <c r="C7" s="58">
        <f>IF(DAY(OktVas1)=1,OktVas1+22,OktVas1+29)</f>
        <v>44494</v>
      </c>
      <c r="D7" s="58">
        <f>IF(DAY(OktVas1)=1,OktVas1+23,OktVas1+30)</f>
        <v>44495</v>
      </c>
      <c r="E7" s="58">
        <f>IF(DAY(OktVas1)=1,OktVas1+24,OktVas1+31)</f>
        <v>44496</v>
      </c>
      <c r="F7" s="58">
        <f>IF(DAY(OktVas1)=1,OktVas1+25,OktVas1+32)</f>
        <v>44497</v>
      </c>
      <c r="G7" s="58">
        <f>IF(DAY(OktVas1)=1,OktVas1+26,OktVas1+33)</f>
        <v>44498</v>
      </c>
      <c r="H7" s="58">
        <f>IF(DAY(OktVas1)=1,OktVas1+27,OktVas1+34)</f>
        <v>44499</v>
      </c>
      <c r="I7" s="58">
        <f>IF(DAY(OktVas1)=1,OktVas1+28,OktVas1+35)</f>
        <v>44500</v>
      </c>
      <c r="J7" s="1"/>
      <c r="K7" s="31"/>
      <c r="L7" s="26"/>
    </row>
    <row r="8" spans="1:12" ht="30" customHeight="1" x14ac:dyDescent="0.25">
      <c r="A8" s="19"/>
      <c r="B8" s="25"/>
      <c r="C8" s="58">
        <f>IF(DAY(OktVas1)=1,OktVas1+29,OktVas1+36)</f>
        <v>44501</v>
      </c>
      <c r="D8" s="58">
        <f>IF(DAY(OktVas1)=1,OktVas1+30,OktVas1+37)</f>
        <v>44502</v>
      </c>
      <c r="E8" s="58">
        <f>IF(DAY(OktVas1)=1,OktVas1+31,OktVas1+38)</f>
        <v>44503</v>
      </c>
      <c r="F8" s="58">
        <f>IF(DAY(OktVas1)=1,OktVas1+32,OktVas1+39)</f>
        <v>44504</v>
      </c>
      <c r="G8" s="58">
        <f>IF(DAY(OktVas1)=1,OktVas1+33,OktVas1+40)</f>
        <v>44505</v>
      </c>
      <c r="H8" s="58">
        <f>IF(DAY(OktVas1)=1,OktVas1+34,OktVas1+41)</f>
        <v>44506</v>
      </c>
      <c r="I8" s="58">
        <f>IF(DAY(OktVas1)=1,OktVas1+35,OktVas1+42)</f>
        <v>44507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60" t="s">
        <v>5</v>
      </c>
      <c r="C12" s="63"/>
      <c r="D12" s="63"/>
      <c r="E12" s="63" t="s">
        <v>5</v>
      </c>
      <c r="F12" s="63"/>
      <c r="G12" s="63"/>
      <c r="H12" s="63"/>
      <c r="I12" s="64" t="s">
        <v>5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1"/>
      <c r="K13" s="31"/>
      <c r="L13" s="26"/>
    </row>
    <row r="14" spans="1:12" ht="30" customHeight="1" x14ac:dyDescent="0.25">
      <c r="A14" s="35" t="s">
        <v>1</v>
      </c>
      <c r="B14" s="60"/>
      <c r="C14" s="63" t="s">
        <v>14</v>
      </c>
      <c r="D14" s="63"/>
      <c r="E14" s="63"/>
      <c r="F14" s="63"/>
      <c r="G14" s="63" t="s">
        <v>14</v>
      </c>
      <c r="H14" s="63"/>
      <c r="I14" s="64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60" t="s">
        <v>7</v>
      </c>
      <c r="C16" s="63"/>
      <c r="D16" s="63"/>
      <c r="E16" s="63" t="s">
        <v>7</v>
      </c>
      <c r="F16" s="63"/>
      <c r="G16" s="63"/>
      <c r="H16" s="63"/>
      <c r="I16" s="65" t="s">
        <v>7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3"/>
      <c r="L17" s="10"/>
    </row>
    <row r="18" spans="1:12" ht="30" customHeight="1" x14ac:dyDescent="0.25">
      <c r="A18" s="35" t="s">
        <v>1</v>
      </c>
      <c r="B18" s="60"/>
      <c r="C18" s="63"/>
      <c r="D18" s="63"/>
      <c r="E18" s="63"/>
      <c r="F18" s="63"/>
      <c r="G18" s="63"/>
      <c r="H18" s="63"/>
      <c r="I18" s="64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60"/>
      <c r="C20" s="63"/>
      <c r="D20" s="63"/>
      <c r="E20" s="63"/>
      <c r="F20" s="63"/>
      <c r="G20" s="63"/>
      <c r="H20" s="63"/>
      <c r="I20" s="64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60"/>
      <c r="C22" s="63"/>
      <c r="D22" s="63"/>
      <c r="E22" s="63"/>
      <c r="F22" s="63"/>
      <c r="G22" s="63"/>
      <c r="H22" s="63"/>
      <c r="I22" s="64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60" t="s">
        <v>9</v>
      </c>
      <c r="C24" s="63"/>
      <c r="D24" s="63"/>
      <c r="E24" s="63" t="s">
        <v>9</v>
      </c>
      <c r="F24" s="63"/>
      <c r="G24" s="63"/>
      <c r="H24" s="63"/>
      <c r="I24" s="64" t="s">
        <v>9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1"/>
      <c r="K25" s="31"/>
      <c r="L25" s="32"/>
    </row>
    <row r="26" spans="1:12" ht="30" customHeight="1" x14ac:dyDescent="0.25">
      <c r="A26" s="35" t="s">
        <v>1</v>
      </c>
      <c r="B26" s="60"/>
      <c r="C26" s="63"/>
      <c r="D26" s="63"/>
      <c r="E26" s="63"/>
      <c r="F26" s="63"/>
      <c r="G26" s="63"/>
      <c r="H26" s="63"/>
      <c r="I26" s="64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60"/>
      <c r="C28" s="63" t="s">
        <v>16</v>
      </c>
      <c r="D28" s="63"/>
      <c r="E28" s="63"/>
      <c r="F28" s="63"/>
      <c r="G28" s="63" t="s">
        <v>16</v>
      </c>
      <c r="H28" s="63"/>
      <c r="I28" s="64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60"/>
      <c r="C30" s="63"/>
      <c r="D30" s="63"/>
      <c r="E30" s="63"/>
      <c r="F30" s="63"/>
      <c r="G30" s="63"/>
      <c r="H30" s="63"/>
      <c r="I30" s="64"/>
      <c r="J30" s="16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2" priority="8" stopIfTrue="1">
      <formula>DAY(C3)&gt;8</formula>
    </cfRule>
  </conditionalFormatting>
  <conditionalFormatting sqref="C7:I8">
    <cfRule type="expression" dxfId="21" priority="7" stopIfTrue="1">
      <formula>AND(DAY(C7)&gt;=1,DAY(C7)&lt;=15)</formula>
    </cfRule>
  </conditionalFormatting>
  <conditionalFormatting sqref="C3:I8">
    <cfRule type="expression" dxfId="20" priority="9">
      <formula>VLOOKUP(DAY(C3),FeladatNapok,1,FALSE)=DAY(C3)</formula>
    </cfRule>
  </conditionalFormatting>
  <conditionalFormatting sqref="B13:I13 B15:I15 B17:I17 B19:I19 B21:I21 B23:I23 B25:I25 B27:I27 B29:I29 B31:I31">
    <cfRule type="expression" dxfId="19" priority="6">
      <formula>B13&lt;&gt;""</formula>
    </cfRule>
  </conditionalFormatting>
  <conditionalFormatting sqref="B12:I12 B14:I14 B16:I16 B18:I18 B20:I20 B22:I22 B24:I24 B26:I26 B28:I28 B30:I30">
    <cfRule type="expression" dxfId="18" priority="5">
      <formula>B12&lt;&gt;""</formula>
    </cfRule>
  </conditionalFormatting>
  <conditionalFormatting sqref="B13:I13 B15:I15 B17:I17 B19:I19 B21:I21 B23:I23 B25:I25 B27:I27 B29:I29">
    <cfRule type="expression" dxfId="17" priority="4">
      <formula>COLUMN(B11)&gt;2</formula>
    </cfRule>
    <cfRule type="expression" dxfId="16" priority="2">
      <formula>COLUMN(B13)&gt;=2</formula>
    </cfRule>
  </conditionalFormatting>
  <conditionalFormatting sqref="B31:I31">
    <cfRule type="expression" dxfId="15" priority="3">
      <formula>COLUMN(B12)&gt;2</formula>
    </cfRule>
  </conditionalFormatting>
  <conditionalFormatting sqref="B12:I31">
    <cfRule type="expression" dxfId="14" priority="1">
      <formula>COLUMN(B12)&gt;2</formula>
    </cfRule>
  </conditionalFormatting>
  <dataValidations count="13">
    <dataValidation allowBlank="1" showInputMessage="1" showErrorMessage="1" prompt="Az Október havi naptárban automatikusan ki vannak emelve a havi feladatlista bejegyzései. A sötétebb betűk jelzik a feladatokat. A világosabb betűkkel jelzett napok az előző vagy a következő hónaphoz tartoznak" sqref="B2" xr:uid="{00000000-0002-0000-0900-000000000000}"/>
    <dataValidation allowBlank="1" showInputMessage="1" showErrorMessage="1" prompt="Automatikusan frissülő naptári év. Az év módosításához frissítse a Január munkalap B1 celláját" sqref="B1" xr:uid="{00000000-0002-0000-0900-000001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900-000002000000}"/>
    <dataValidation allowBlank="1" showInputMessage="1" showErrorMessage="1" prompt="A C2:I2 cellatartományban a hétköznapok szerepelnek" sqref="C2" xr:uid="{00000000-0002-0000-0900-000003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900-000004000000}"/>
    <dataValidation allowBlank="1" showInputMessage="1" showErrorMessage="1" prompt="Ha ez a sor kisebb számot tartalmaz, mint az előző szám vagy számsor, akkor ez a sor a következő naptári hónap dátumait tartalmazza" sqref="C8" xr:uid="{00000000-0002-0000-0900-000005000000}"/>
    <dataValidation allowBlank="1" showInputMessage="1" showErrorMessage="1" prompt="Írja be az időpontokat a B-I oszloptartományból ebbe a sorba" sqref="B12" xr:uid="{00000000-0002-0000-0900-000006000000}"/>
    <dataValidation allowBlank="1" showInputMessage="1" showErrorMessage="1" prompt="Írja be a tantárgyakat a B-I oszloptartományból ebbe a sorba" sqref="B13" xr:uid="{00000000-0002-0000-09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9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9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900-00000A000000}"/>
    <dataValidation allowBlank="1" showInputMessage="1" showErrorMessage="1" prompt="Ebben a sorban szerepelnek a hétköznapok, hétfőtől péntekig" sqref="B11" xr:uid="{00000000-0002-0000-0900-00000B000000}"/>
    <dataValidation allowBlank="1" showInputMessage="1" showErrorMessage="1" prompt="Adja meg a tantárgyak időpontját, alatt, új sorban pedig adja meg a tantárgyak nevét minden hétköznaphoz a B-I oszloptartományban. A következő sorokban ismételje ezeket a lépéseket a további tantárgyakra vonatkozóan." sqref="B10" xr:uid="{00000000-0002-0000-09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38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0"/>
      <c r="L2" s="7"/>
    </row>
    <row r="3" spans="1:12" ht="30" customHeight="1" x14ac:dyDescent="0.25">
      <c r="A3" s="19"/>
      <c r="C3" s="58">
        <f>IF(DAY(NovVas1)=1,NovVas1-6,NovVas1+1)</f>
        <v>44501</v>
      </c>
      <c r="D3" s="58">
        <f>IF(DAY(NovVas1)=1,NovVas1-5,NovVas1+2)</f>
        <v>44502</v>
      </c>
      <c r="E3" s="58">
        <f>IF(DAY(NovVas1)=1,NovVas1-4,NovVas1+3)</f>
        <v>44503</v>
      </c>
      <c r="F3" s="58">
        <f>IF(DAY(NovVas1)=1,NovVas1-3,NovVas1+4)</f>
        <v>44504</v>
      </c>
      <c r="G3" s="58">
        <f>IF(DAY(NovVas1)=1,NovVas1-2,NovVas1+5)</f>
        <v>44505</v>
      </c>
      <c r="H3" s="58">
        <f>IF(DAY(NovVas1)=1,NovVas1-1,NovVas1+6)</f>
        <v>44506</v>
      </c>
      <c r="I3" s="58">
        <f>IF(DAY(NovVas1)=1,NovVas1,NovVas1+7)</f>
        <v>44507</v>
      </c>
      <c r="J3" s="16"/>
      <c r="K3" s="3"/>
      <c r="L3" s="10"/>
    </row>
    <row r="4" spans="1:12" ht="30" customHeight="1" x14ac:dyDescent="0.25">
      <c r="A4" s="19"/>
      <c r="C4" s="58">
        <f>IF(DAY(NovVas1)=1,NovVas1+1,NovVas1+8)</f>
        <v>44508</v>
      </c>
      <c r="D4" s="58">
        <f>IF(DAY(NovVas1)=1,NovVas1+2,NovVas1+9)</f>
        <v>44509</v>
      </c>
      <c r="E4" s="58">
        <f>IF(DAY(NovVas1)=1,NovVas1+3,NovVas1+10)</f>
        <v>44510</v>
      </c>
      <c r="F4" s="58">
        <f>IF(DAY(NovVas1)=1,NovVas1+4,NovVas1+11)</f>
        <v>44511</v>
      </c>
      <c r="G4" s="58">
        <f>IF(DAY(NovVas1)=1,NovVas1+5,NovVas1+12)</f>
        <v>44512</v>
      </c>
      <c r="H4" s="58">
        <f>IF(DAY(NovVas1)=1,NovVas1+6,NovVas1+13)</f>
        <v>44513</v>
      </c>
      <c r="I4" s="58">
        <f>IF(DAY(NovVas1)=1,NovVas1+7,NovVas1+14)</f>
        <v>44514</v>
      </c>
      <c r="J4" s="16"/>
      <c r="K4" s="3"/>
      <c r="L4" s="10"/>
    </row>
    <row r="5" spans="1:12" ht="30" customHeight="1" x14ac:dyDescent="0.25">
      <c r="A5" s="19"/>
      <c r="C5" s="58">
        <f>IF(DAY(NovVas1)=1,NovVas1+8,NovVas1+15)</f>
        <v>44515</v>
      </c>
      <c r="D5" s="58">
        <f>IF(DAY(NovVas1)=1,NovVas1+9,NovVas1+16)</f>
        <v>44516</v>
      </c>
      <c r="E5" s="58">
        <f>IF(DAY(NovVas1)=1,NovVas1+10,NovVas1+17)</f>
        <v>44517</v>
      </c>
      <c r="F5" s="58">
        <f>IF(DAY(NovVas1)=1,NovVas1+11,NovVas1+18)</f>
        <v>44518</v>
      </c>
      <c r="G5" s="58">
        <f>IF(DAY(NovVas1)=1,NovVas1+12,NovVas1+19)</f>
        <v>44519</v>
      </c>
      <c r="H5" s="58">
        <f>IF(DAY(NovVas1)=1,NovVas1+13,NovVas1+20)</f>
        <v>44520</v>
      </c>
      <c r="I5" s="58">
        <f>IF(DAY(NovVas1)=1,NovVas1+14,NovVas1+21)</f>
        <v>44521</v>
      </c>
      <c r="J5" s="16"/>
      <c r="K5" s="3"/>
      <c r="L5" s="10"/>
    </row>
    <row r="6" spans="1:12" ht="30" customHeight="1" x14ac:dyDescent="0.25">
      <c r="A6" s="19"/>
      <c r="C6" s="58">
        <f>IF(DAY(NovVas1)=1,NovVas1+15,NovVas1+22)</f>
        <v>44522</v>
      </c>
      <c r="D6" s="58">
        <f>IF(DAY(NovVas1)=1,NovVas1+16,NovVas1+23)</f>
        <v>44523</v>
      </c>
      <c r="E6" s="58">
        <f>IF(DAY(NovVas1)=1,NovVas1+17,NovVas1+24)</f>
        <v>44524</v>
      </c>
      <c r="F6" s="58">
        <f>IF(DAY(NovVas1)=1,NovVas1+18,NovVas1+25)</f>
        <v>44525</v>
      </c>
      <c r="G6" s="58">
        <f>IF(DAY(NovVas1)=1,NovVas1+19,NovVas1+26)</f>
        <v>44526</v>
      </c>
      <c r="H6" s="58">
        <f>IF(DAY(NovVas1)=1,NovVas1+20,NovVas1+27)</f>
        <v>44527</v>
      </c>
      <c r="I6" s="58">
        <f>IF(DAY(NovVas1)=1,NovVas1+21,NovVas1+28)</f>
        <v>44528</v>
      </c>
      <c r="J6" s="16"/>
      <c r="K6" s="3"/>
      <c r="L6" s="10"/>
    </row>
    <row r="7" spans="1:12" ht="30" customHeight="1" x14ac:dyDescent="0.25">
      <c r="A7" s="19"/>
      <c r="C7" s="58">
        <f>IF(DAY(NovVas1)=1,NovVas1+22,NovVas1+29)</f>
        <v>44529</v>
      </c>
      <c r="D7" s="58">
        <f>IF(DAY(NovVas1)=1,NovVas1+23,NovVas1+30)</f>
        <v>44530</v>
      </c>
      <c r="E7" s="58">
        <f>IF(DAY(NovVas1)=1,NovVas1+24,NovVas1+31)</f>
        <v>44531</v>
      </c>
      <c r="F7" s="58">
        <f>IF(DAY(NovVas1)=1,NovVas1+25,NovVas1+32)</f>
        <v>44532</v>
      </c>
      <c r="G7" s="58">
        <f>IF(DAY(NovVas1)=1,NovVas1+26,NovVas1+33)</f>
        <v>44533</v>
      </c>
      <c r="H7" s="58">
        <f>IF(DAY(NovVas1)=1,NovVas1+27,NovVas1+34)</f>
        <v>44534</v>
      </c>
      <c r="I7" s="58">
        <f>IF(DAY(NovVas1)=1,NovVas1+28,NovVas1+35)</f>
        <v>44535</v>
      </c>
      <c r="J7" s="1"/>
      <c r="K7" s="31"/>
      <c r="L7" s="26"/>
    </row>
    <row r="8" spans="1:12" ht="30" customHeight="1" x14ac:dyDescent="0.25">
      <c r="A8" s="19"/>
      <c r="B8" s="25"/>
      <c r="C8" s="58">
        <f>IF(DAY(NovVas1)=1,NovVas1+29,NovVas1+36)</f>
        <v>44536</v>
      </c>
      <c r="D8" s="58">
        <f>IF(DAY(NovVas1)=1,NovVas1+30,NovVas1+37)</f>
        <v>44537</v>
      </c>
      <c r="E8" s="58">
        <f>IF(DAY(NovVas1)=1,NovVas1+31,NovVas1+38)</f>
        <v>44538</v>
      </c>
      <c r="F8" s="58">
        <f>IF(DAY(NovVas1)=1,NovVas1+32,NovVas1+39)</f>
        <v>44539</v>
      </c>
      <c r="G8" s="58">
        <f>IF(DAY(NovVas1)=1,NovVas1+33,NovVas1+40)</f>
        <v>44540</v>
      </c>
      <c r="H8" s="58">
        <f>IF(DAY(NovVas1)=1,NovVas1+34,NovVas1+41)</f>
        <v>44541</v>
      </c>
      <c r="I8" s="58">
        <f>IF(DAY(NovVas1)=1,NovVas1+35,NovVas1+42)</f>
        <v>44542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4" t="s">
        <v>5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1"/>
      <c r="K13" s="31"/>
      <c r="L13" s="26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4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5" t="s">
        <v>7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3"/>
      <c r="L17" s="10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4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4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4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4" t="s">
        <v>9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1"/>
      <c r="K25" s="31"/>
      <c r="L25" s="32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4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4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60"/>
      <c r="C30" s="61"/>
      <c r="D30" s="61"/>
      <c r="E30" s="61"/>
      <c r="F30" s="61"/>
      <c r="G30" s="61"/>
      <c r="H30" s="61"/>
      <c r="I30" s="64"/>
      <c r="J30" s="16"/>
      <c r="K30" s="3"/>
      <c r="L30" s="10"/>
    </row>
    <row r="31" spans="1:12" ht="30" customHeight="1" x14ac:dyDescent="0.25">
      <c r="A31" s="35" t="s">
        <v>2</v>
      </c>
      <c r="B31" s="44"/>
      <c r="C31" s="57"/>
      <c r="D31" s="57"/>
      <c r="E31" s="57"/>
      <c r="F31" s="57"/>
      <c r="G31" s="57"/>
      <c r="H31" s="57"/>
      <c r="I31" s="45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3" priority="6" stopIfTrue="1">
      <formula>DAY(C3)&gt;8</formula>
    </cfRule>
  </conditionalFormatting>
  <conditionalFormatting sqref="C7:I8">
    <cfRule type="expression" dxfId="12" priority="5" stopIfTrue="1">
      <formula>AND(DAY(C7)&gt;=1,DAY(C7)&lt;=15)</formula>
    </cfRule>
  </conditionalFormatting>
  <conditionalFormatting sqref="C3:I8">
    <cfRule type="expression" dxfId="11" priority="7">
      <formula>VLOOKUP(DAY(C3),FeladatNapok,1,FALSE)=DAY(C3)</formula>
    </cfRule>
  </conditionalFormatting>
  <conditionalFormatting sqref="B13:I13 B15:I15 B17:I17 B19:I19 B21:I21 B23:I23 B25:I25 B27:I27 B29:I29 B31:I31">
    <cfRule type="expression" dxfId="10" priority="4">
      <formula>B13&lt;&gt;""</formula>
    </cfRule>
  </conditionalFormatting>
  <conditionalFormatting sqref="B12:I12 B14:I14 B16:I16 B18:I18 B20:I20 B22:I22 B24:I24 B26:I26 B28:I28 B30:I30">
    <cfRule type="expression" dxfId="9" priority="3">
      <formula>B12&lt;&gt;""</formula>
    </cfRule>
  </conditionalFormatting>
  <conditionalFormatting sqref="B13:I13 B15:I15 B17:I17 B19:I19 B21:I21 B23:I23 B25:I25 B27:I27 B29:I29">
    <cfRule type="expression" dxfId="8" priority="2">
      <formula>COLUMN(B13)&gt;=2</formula>
    </cfRule>
  </conditionalFormatting>
  <conditionalFormatting sqref="B12:I31">
    <cfRule type="expression" dxfId="7" priority="1">
      <formula>COLUMN(B12)&gt;2</formula>
    </cfRule>
  </conditionalFormatting>
  <dataValidations xWindow="136" yWindow="382" count="13">
    <dataValidation allowBlank="1" showInputMessage="1" showErrorMessage="1" prompt="Írja be a tantárgyakat a B-I oszloptartományból ebbe a sorba" sqref="B13" xr:uid="{00000000-0002-0000-0A00-000000000000}"/>
    <dataValidation allowBlank="1" showInputMessage="1" showErrorMessage="1" prompt="Írja be az időpontokat a B-I oszloptartományból ebbe a sorba" sqref="B12" xr:uid="{00000000-0002-0000-0A00-000001000000}"/>
    <dataValidation allowBlank="1" showInputMessage="1" showErrorMessage="1" prompt="Ha ez a sor kisebb számot tartalmaz, mint az előző szám vagy számsor, akkor ez a sor a következő naptári hónap dátumait tartalmazza" sqref="C8" xr:uid="{00000000-0002-0000-0A00-000002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A00-000003000000}"/>
    <dataValidation allowBlank="1" showInputMessage="1" showErrorMessage="1" prompt="A C2:I2 cellatartományban a hétköznapok szerepelnek" sqref="C2" xr:uid="{00000000-0002-0000-0A00-000004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A00-000005000000}"/>
    <dataValidation allowBlank="1" showInputMessage="1" showErrorMessage="1" prompt="Automatikusan frissülő naptári év. Az év módosításához frissítse a Január munkalap B1 celláját" sqref="B1" xr:uid="{00000000-0002-0000-0A00-000006000000}"/>
    <dataValidation allowBlank="1" showInputMessage="1" showErrorMessage="1" prompt="A November havi naptárban automatikusan ki vannak emelve a havi feladatlista bejegyzései. A sötétebb betűk jelzik a feladatokat. A világosabb betűkkel jelzett napok az előző vagy a következő hónaphoz tartoznak" sqref="B2" xr:uid="{00000000-0002-0000-0A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A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A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A00-00000A000000}"/>
    <dataValidation allowBlank="1" showInputMessage="1" showErrorMessage="1" prompt="Ebben a sorban szerepelnek a hétköznapok, hétfőtől péntekig" sqref="B11" xr:uid="{00000000-0002-0000-0A00-00000B000000}"/>
    <dataValidation allowBlank="1" showInputMessage="1" showErrorMessage="1" prompt="Adja meg a tantárgyak időpontját, alatta, új sorban pedig adja meg a tantárgyak nevét minden hétköznaphoz a B-I oszloptartományban. A következő sorokban ismételje ezeket a lépéseket a további tantárgyakra vonatkozóan." sqref="B10" xr:uid="{00000000-0002-0000-0A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39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"/>
      <c r="L2" s="24"/>
    </row>
    <row r="3" spans="1:12" ht="30" customHeight="1" x14ac:dyDescent="0.25">
      <c r="A3" s="19"/>
      <c r="C3" s="58">
        <f>IF(DAY(DecVas1)=1,DecVas1-6,DecVas1+1)</f>
        <v>44529</v>
      </c>
      <c r="D3" s="58">
        <f>IF(DAY(DecVas1)=1,DecVas1-5,DecVas1+2)</f>
        <v>44530</v>
      </c>
      <c r="E3" s="58">
        <f>IF(DAY(DecVas1)=1,DecVas1-4,DecVas1+3)</f>
        <v>44531</v>
      </c>
      <c r="F3" s="58">
        <f>IF(DAY(DecVas1)=1,DecVas1-3,DecVas1+4)</f>
        <v>44532</v>
      </c>
      <c r="G3" s="58">
        <f>IF(DAY(DecVas1)=1,DecVas1-2,DecVas1+5)</f>
        <v>44533</v>
      </c>
      <c r="H3" s="58">
        <f>IF(DAY(DecVas1)=1,DecVas1-1,DecVas1+6)</f>
        <v>44534</v>
      </c>
      <c r="I3" s="58">
        <f>IF(DAY(DecVas1)=1,DecVas1,DecVas1+7)</f>
        <v>44535</v>
      </c>
      <c r="J3" s="16"/>
      <c r="K3" s="3"/>
      <c r="L3" s="24"/>
    </row>
    <row r="4" spans="1:12" ht="30" customHeight="1" x14ac:dyDescent="0.25">
      <c r="A4" s="19"/>
      <c r="C4" s="58">
        <f>IF(DAY(DecVas1)=1,DecVas1+1,DecVas1+8)</f>
        <v>44536</v>
      </c>
      <c r="D4" s="58">
        <f>IF(DAY(DecVas1)=1,DecVas1+2,DecVas1+9)</f>
        <v>44537</v>
      </c>
      <c r="E4" s="58">
        <f>IF(DAY(DecVas1)=1,DecVas1+3,DecVas1+10)</f>
        <v>44538</v>
      </c>
      <c r="F4" s="58">
        <f>IF(DAY(DecVas1)=1,DecVas1+4,DecVas1+11)</f>
        <v>44539</v>
      </c>
      <c r="G4" s="58">
        <f>IF(DAY(DecVas1)=1,DecVas1+5,DecVas1+12)</f>
        <v>44540</v>
      </c>
      <c r="H4" s="58">
        <f>IF(DAY(DecVas1)=1,DecVas1+6,DecVas1+13)</f>
        <v>44541</v>
      </c>
      <c r="I4" s="58">
        <f>IF(DAY(DecVas1)=1,DecVas1+7,DecVas1+14)</f>
        <v>44542</v>
      </c>
      <c r="J4" s="16"/>
      <c r="K4" s="3"/>
      <c r="L4" s="24"/>
    </row>
    <row r="5" spans="1:12" ht="30" customHeight="1" x14ac:dyDescent="0.25">
      <c r="A5" s="19"/>
      <c r="C5" s="58">
        <f>IF(DAY(DecVas1)=1,DecVas1+8,DecVas1+15)</f>
        <v>44543</v>
      </c>
      <c r="D5" s="58">
        <f>IF(DAY(DecVas1)=1,DecVas1+9,DecVas1+16)</f>
        <v>44544</v>
      </c>
      <c r="E5" s="58">
        <f>IF(DAY(DecVas1)=1,DecVas1+10,DecVas1+17)</f>
        <v>44545</v>
      </c>
      <c r="F5" s="58">
        <f>IF(DAY(DecVas1)=1,DecVas1+11,DecVas1+18)</f>
        <v>44546</v>
      </c>
      <c r="G5" s="58">
        <f>IF(DAY(DecVas1)=1,DecVas1+12,DecVas1+19)</f>
        <v>44547</v>
      </c>
      <c r="H5" s="58">
        <f>IF(DAY(DecVas1)=1,DecVas1+13,DecVas1+20)</f>
        <v>44548</v>
      </c>
      <c r="I5" s="58">
        <f>IF(DAY(DecVas1)=1,DecVas1+14,DecVas1+21)</f>
        <v>44549</v>
      </c>
      <c r="J5" s="16"/>
      <c r="K5" s="3"/>
      <c r="L5" s="24"/>
    </row>
    <row r="6" spans="1:12" ht="30" customHeight="1" x14ac:dyDescent="0.25">
      <c r="A6" s="19"/>
      <c r="C6" s="58">
        <f>IF(DAY(DecVas1)=1,DecVas1+15,DecVas1+22)</f>
        <v>44550</v>
      </c>
      <c r="D6" s="58">
        <f>IF(DAY(DecVas1)=1,DecVas1+16,DecVas1+23)</f>
        <v>44551</v>
      </c>
      <c r="E6" s="58">
        <f>IF(DAY(DecVas1)=1,DecVas1+17,DecVas1+24)</f>
        <v>44552</v>
      </c>
      <c r="F6" s="58">
        <f>IF(DAY(DecVas1)=1,DecVas1+18,DecVas1+25)</f>
        <v>44553</v>
      </c>
      <c r="G6" s="58">
        <f>IF(DAY(DecVas1)=1,DecVas1+19,DecVas1+26)</f>
        <v>44554</v>
      </c>
      <c r="H6" s="58">
        <f>IF(DAY(DecVas1)=1,DecVas1+20,DecVas1+27)</f>
        <v>44555</v>
      </c>
      <c r="I6" s="58">
        <f>IF(DAY(DecVas1)=1,DecVas1+21,DecVas1+28)</f>
        <v>44556</v>
      </c>
      <c r="J6" s="16"/>
      <c r="K6" s="3"/>
      <c r="L6" s="24"/>
    </row>
    <row r="7" spans="1:12" ht="30" customHeight="1" x14ac:dyDescent="0.25">
      <c r="A7" s="19"/>
      <c r="C7" s="58">
        <f>IF(DAY(DecVas1)=1,DecVas1+22,DecVas1+29)</f>
        <v>44557</v>
      </c>
      <c r="D7" s="58">
        <f>IF(DAY(DecVas1)=1,DecVas1+23,DecVas1+30)</f>
        <v>44558</v>
      </c>
      <c r="E7" s="58">
        <f>IF(DAY(DecVas1)=1,DecVas1+24,DecVas1+31)</f>
        <v>44559</v>
      </c>
      <c r="F7" s="58">
        <f>IF(DAY(DecVas1)=1,DecVas1+25,DecVas1+32)</f>
        <v>44560</v>
      </c>
      <c r="G7" s="58">
        <f>IF(DAY(DecVas1)=1,DecVas1+26,DecVas1+33)</f>
        <v>44561</v>
      </c>
      <c r="H7" s="58">
        <f>IF(DAY(DecVas1)=1,DecVas1+27,DecVas1+34)</f>
        <v>44562</v>
      </c>
      <c r="I7" s="58">
        <f>IF(DAY(DecVas1)=1,DecVas1+28,DecVas1+35)</f>
        <v>44563</v>
      </c>
      <c r="J7" s="29"/>
      <c r="K7" s="27"/>
      <c r="L7" s="25"/>
    </row>
    <row r="8" spans="1:12" ht="30" customHeight="1" x14ac:dyDescent="0.25">
      <c r="A8" s="19"/>
      <c r="B8" s="25"/>
      <c r="C8" s="58">
        <f>IF(DAY(DecVas1)=1,DecVas1+29,DecVas1+36)</f>
        <v>44564</v>
      </c>
      <c r="D8" s="58">
        <f>IF(DAY(DecVas1)=1,DecVas1+30,DecVas1+37)</f>
        <v>44565</v>
      </c>
      <c r="E8" s="58">
        <f>IF(DAY(DecVas1)=1,DecVas1+31,DecVas1+38)</f>
        <v>44566</v>
      </c>
      <c r="F8" s="58">
        <f>IF(DAY(DecVas1)=1,DecVas1+32,DecVas1+39)</f>
        <v>44567</v>
      </c>
      <c r="G8" s="58">
        <f>IF(DAY(DecVas1)=1,DecVas1+33,DecVas1+40)</f>
        <v>44568</v>
      </c>
      <c r="H8" s="58">
        <f>IF(DAY(DecVas1)=1,DecVas1+34,DecVas1+41)</f>
        <v>44569</v>
      </c>
      <c r="I8" s="58">
        <f>IF(DAY(DecVas1)=1,DecVas1+35,DecVas1+42)</f>
        <v>44570</v>
      </c>
      <c r="J8" s="16" t="s">
        <v>13</v>
      </c>
      <c r="K8" s="3"/>
      <c r="L8" s="24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24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4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24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4" t="s">
        <v>5</v>
      </c>
      <c r="J12" s="16"/>
      <c r="K12" s="3"/>
      <c r="L12" s="24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29"/>
      <c r="K13" s="27"/>
      <c r="L13" s="25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4"/>
      <c r="J14" s="16" t="s">
        <v>18</v>
      </c>
      <c r="K14" s="3"/>
      <c r="L14" s="24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24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5" t="s">
        <v>7</v>
      </c>
      <c r="J16" s="16"/>
      <c r="K16" s="3"/>
      <c r="L16" s="24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3"/>
      <c r="L17" s="24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4"/>
      <c r="J18" s="16"/>
      <c r="K18" s="3"/>
      <c r="L18" s="24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29"/>
      <c r="K19" s="27"/>
      <c r="L19" s="25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4"/>
      <c r="J20" s="16" t="s">
        <v>19</v>
      </c>
      <c r="K20" s="3"/>
      <c r="L20" s="24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24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4"/>
      <c r="J22" s="16"/>
      <c r="K22" s="3"/>
      <c r="L22" s="24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24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4" t="s">
        <v>9</v>
      </c>
      <c r="J24" s="16"/>
      <c r="K24" s="3"/>
      <c r="L24" s="24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29"/>
      <c r="K25" s="27"/>
      <c r="L25" s="25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4"/>
      <c r="J26" s="16" t="s">
        <v>20</v>
      </c>
      <c r="K26" s="3"/>
      <c r="L26" s="24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24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4"/>
      <c r="J28" s="16"/>
      <c r="K28" s="3"/>
      <c r="L28" s="24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24"/>
    </row>
    <row r="30" spans="1:12" ht="30" customHeight="1" x14ac:dyDescent="0.25">
      <c r="A30" s="35" t="s">
        <v>1</v>
      </c>
      <c r="B30" s="60"/>
      <c r="C30" s="61"/>
      <c r="D30" s="61"/>
      <c r="E30" s="61"/>
      <c r="F30" s="61"/>
      <c r="G30" s="61"/>
      <c r="H30" s="61"/>
      <c r="I30" s="64"/>
      <c r="J30" s="16"/>
      <c r="K30" s="3"/>
      <c r="L30" s="24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29"/>
      <c r="K31" s="27"/>
      <c r="L31" s="25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6" priority="6" stopIfTrue="1">
      <formula>DAY(C3)&gt;8</formula>
    </cfRule>
  </conditionalFormatting>
  <conditionalFormatting sqref="C7:I8">
    <cfRule type="expression" dxfId="5" priority="5" stopIfTrue="1">
      <formula>AND(DAY(C7)&gt;=1,DAY(C7)&lt;=15)</formula>
    </cfRule>
  </conditionalFormatting>
  <conditionalFormatting sqref="C3:I8">
    <cfRule type="expression" dxfId="4" priority="7">
      <formula>VLOOKUP(DAY(C3),FeladatNapok,1,FALSE)=DAY(C3)</formula>
    </cfRule>
  </conditionalFormatting>
  <conditionalFormatting sqref="B13:I13 B15:I15 B17:I17 B19:I19 B21:I21 B23:I23 B25:I25 B27:I27 B29:I29 B31:I31">
    <cfRule type="expression" dxfId="3" priority="4">
      <formula>B13&lt;&gt;""</formula>
    </cfRule>
  </conditionalFormatting>
  <conditionalFormatting sqref="B12:I12 B14:I14 B16:I16 B18:I18 B20:I20 B22:I22 B24:I24 B26:I26 B28:I28 B30:I30">
    <cfRule type="expression" dxfId="2" priority="3">
      <formula>B12&lt;&gt;""</formula>
    </cfRule>
  </conditionalFormatting>
  <conditionalFormatting sqref="B13:I13 B15:I15 B17:I17 B19:I19 B21:I21 B23:I23 B25:I25 B27:I27 B29:I29">
    <cfRule type="expression" dxfId="1" priority="2">
      <formula>COLUMN(B13)&gt;=2</formula>
    </cfRule>
  </conditionalFormatting>
  <conditionalFormatting sqref="B12:I31">
    <cfRule type="expression" dxfId="0" priority="1">
      <formula>COLUMN(B12)&gt;2</formula>
    </cfRule>
  </conditionalFormatting>
  <dataValidations xWindow="282" yWindow="695" count="13">
    <dataValidation allowBlank="1" showInputMessage="1" showErrorMessage="1" prompt="A December havi naptárban automatikusan ki vannak emelve a havi feladatlista bejegyzései. A sötétebb betűk jelzik a feladatokat. A világosabb betűkkel jelzett napok az előző vagy a következő hónaphoz tartoznak" sqref="B2" xr:uid="{00000000-0002-0000-0B00-000000000000}"/>
    <dataValidation allowBlank="1" showInputMessage="1" showErrorMessage="1" prompt="Automatikusan frissülő naptári év. Az év módosításához frissítse a Január munkalap B1 celláját" sqref="B1" xr:uid="{00000000-0002-0000-0B00-000001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B00-000002000000}"/>
    <dataValidation allowBlank="1" showInputMessage="1" showErrorMessage="1" prompt="A C2:I2 cellatartományban a hétköznapok szerepelnek" sqref="C2" xr:uid="{00000000-0002-0000-0B00-000003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B00-000004000000}"/>
    <dataValidation allowBlank="1" showInputMessage="1" showErrorMessage="1" prompt="Ha ez a sor kisebb számot tartalmaz, mint az előző szám vagy számsor, akkor ez a sor a következő naptári hónap dátumait tartalmazza" sqref="C8" xr:uid="{00000000-0002-0000-0B00-000005000000}"/>
    <dataValidation allowBlank="1" showInputMessage="1" showErrorMessage="1" prompt="Írja be az időpontokat a B-I oszloptartományból ebbe a sorba" sqref="B12" xr:uid="{00000000-0002-0000-0B00-000006000000}"/>
    <dataValidation allowBlank="1" showInputMessage="1" showErrorMessage="1" prompt="Írja be a tantárgyakat a B-I oszloptartományból ebbe a sorba" sqref="B13" xr:uid="{00000000-0002-0000-0B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B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B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B00-00000A000000}"/>
    <dataValidation allowBlank="1" showInputMessage="1" showErrorMessage="1" prompt="Ebben a sorban szerepelnek a hétköznapok, hétfőtől péntekig" sqref="B11" xr:uid="{00000000-0002-0000-0B00-00000B000000}"/>
    <dataValidation allowBlank="1" showInputMessage="1" showErrorMessage="1" prompt="Adja meg a tantárgyak időpontját, alatta, új sorban pedig adja meg a tantárgyak nevét minden hétköznaphoz a B-I oszloptartományban. A következő sorokban ismételje ezeket a lépéseket a további tantárgyakra vonatkozóan." sqref="B10" xr:uid="{00000000-0002-0000-0B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L31"/>
  <sheetViews>
    <sheetView showGridLines="0" tabSelected="1" zoomScaleNormal="100" zoomScalePageLayoutView="84" workbookViewId="0"/>
  </sheetViews>
  <sheetFormatPr defaultColWidth="8.625" defaultRowHeight="30" customHeight="1" x14ac:dyDescent="0.2"/>
  <cols>
    <col min="1" max="1" width="2.625" customWidth="1"/>
    <col min="2" max="2" width="20.625" customWidth="1"/>
    <col min="3" max="8" width="10.625" customWidth="1"/>
    <col min="9" max="9" width="20.625" customWidth="1"/>
    <col min="10" max="11" width="10.625" customWidth="1"/>
    <col min="12" max="12" width="70.625" customWidth="1"/>
    <col min="13" max="13" width="2.625" customWidth="1"/>
    <col min="14" max="14" width="8.625" customWidth="1"/>
  </cols>
  <sheetData>
    <row r="1" spans="1:12" ht="30" customHeight="1" x14ac:dyDescent="0.2">
      <c r="A1" s="24"/>
      <c r="B1" s="14">
        <v>2021</v>
      </c>
      <c r="C1" s="12" t="s">
        <v>11</v>
      </c>
      <c r="D1" s="2"/>
      <c r="E1" s="2"/>
      <c r="F1" s="2"/>
      <c r="G1" s="2"/>
      <c r="H1" s="2"/>
      <c r="I1" s="2"/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7" t="s">
        <v>3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">
        <v>4</v>
      </c>
      <c r="L2" s="21" t="s">
        <v>26</v>
      </c>
    </row>
    <row r="3" spans="1:12" ht="30" customHeight="1" x14ac:dyDescent="0.25">
      <c r="A3" s="19"/>
      <c r="B3" s="24"/>
      <c r="C3" s="58">
        <f>IF(DAY(JanVas1)=1,JanVas1-6,JanVas1+1)</f>
        <v>44193</v>
      </c>
      <c r="D3" s="58">
        <f>IF(DAY(JanVas1)=1,JanVas1-5,JanVas1+2)</f>
        <v>44194</v>
      </c>
      <c r="E3" s="58">
        <f>IF(DAY(JanVas1)=1,JanVas1-4,JanVas1+3)</f>
        <v>44195</v>
      </c>
      <c r="F3" s="58">
        <f>IF(DAY(JanVas1)=1,JanVas1-3,JanVas1+4)</f>
        <v>44196</v>
      </c>
      <c r="G3" s="58">
        <f>IF(DAY(JanVas1)=1,JanVas1-2,JanVas1+5)</f>
        <v>44197</v>
      </c>
      <c r="H3" s="58">
        <f>IF(DAY(JanVas1)=1,JanVas1-1,JanVas1+6)</f>
        <v>44198</v>
      </c>
      <c r="I3" s="58">
        <f>IF(DAY(JanVas1)=1,JanVas1,JanVas1+7)</f>
        <v>44199</v>
      </c>
      <c r="J3" s="16"/>
      <c r="K3" s="3"/>
      <c r="L3" s="21"/>
    </row>
    <row r="4" spans="1:12" ht="30" customHeight="1" x14ac:dyDescent="0.25">
      <c r="A4" s="19"/>
      <c r="B4" s="24"/>
      <c r="C4" s="58">
        <f>IF(DAY(JanVas1)=1,JanVas1+1,JanVas1+8)</f>
        <v>44200</v>
      </c>
      <c r="D4" s="58">
        <f>IF(DAY(JanVas1)=1,JanVas1+2,JanVas1+9)</f>
        <v>44201</v>
      </c>
      <c r="E4" s="58">
        <f>IF(DAY(JanVas1)=1,JanVas1+3,JanVas1+10)</f>
        <v>44202</v>
      </c>
      <c r="F4" s="58">
        <f>IF(DAY(JanVas1)=1,JanVas1+4,JanVas1+11)</f>
        <v>44203</v>
      </c>
      <c r="G4" s="58">
        <f>IF(DAY(JanVas1)=1,JanVas1+5,JanVas1+12)</f>
        <v>44204</v>
      </c>
      <c r="H4" s="58">
        <f>IF(DAY(JanVas1)=1,JanVas1+6,JanVas1+13)</f>
        <v>44205</v>
      </c>
      <c r="I4" s="58">
        <f>IF(DAY(JanVas1)=1,JanVas1+7,JanVas1+14)</f>
        <v>44206</v>
      </c>
      <c r="J4" s="16"/>
      <c r="K4" s="3"/>
      <c r="L4" s="21"/>
    </row>
    <row r="5" spans="1:12" ht="30" customHeight="1" x14ac:dyDescent="0.25">
      <c r="A5" s="19"/>
      <c r="B5" s="24"/>
      <c r="C5" s="58">
        <f>IF(DAY(JanVas1)=1,JanVas1+8,JanVas1+15)</f>
        <v>44207</v>
      </c>
      <c r="D5" s="58">
        <f>IF(DAY(JanVas1)=1,JanVas1+9,JanVas1+16)</f>
        <v>44208</v>
      </c>
      <c r="E5" s="58">
        <f>IF(DAY(JanVas1)=1,JanVas1+10,JanVas1+17)</f>
        <v>44209</v>
      </c>
      <c r="F5" s="58">
        <f>IF(DAY(JanVas1)=1,JanVas1+11,JanVas1+18)</f>
        <v>44210</v>
      </c>
      <c r="G5" s="58">
        <f>IF(DAY(JanVas1)=1,JanVas1+12,JanVas1+19)</f>
        <v>44211</v>
      </c>
      <c r="H5" s="58">
        <f>IF(DAY(JanVas1)=1,JanVas1+13,JanVas1+20)</f>
        <v>44212</v>
      </c>
      <c r="I5" s="58">
        <f>IF(DAY(JanVas1)=1,JanVas1+14,JanVas1+21)</f>
        <v>44213</v>
      </c>
      <c r="J5" s="16"/>
      <c r="K5" s="3"/>
      <c r="L5" s="21"/>
    </row>
    <row r="6" spans="1:12" ht="30" customHeight="1" x14ac:dyDescent="0.25">
      <c r="A6" s="19"/>
      <c r="B6" s="24"/>
      <c r="C6" s="58">
        <f>IF(DAY(JanVas1)=1,JanVas1+15,JanVas1+22)</f>
        <v>44214</v>
      </c>
      <c r="D6" s="58">
        <f>IF(DAY(JanVas1)=1,JanVas1+16,JanVas1+23)</f>
        <v>44215</v>
      </c>
      <c r="E6" s="58">
        <f>IF(DAY(JanVas1)=1,JanVas1+17,JanVas1+24)</f>
        <v>44216</v>
      </c>
      <c r="F6" s="58">
        <f>IF(DAY(JanVas1)=1,JanVas1+18,JanVas1+25)</f>
        <v>44217</v>
      </c>
      <c r="G6" s="58">
        <f>IF(DAY(JanVas1)=1,JanVas1+19,JanVas1+26)</f>
        <v>44218</v>
      </c>
      <c r="H6" s="58">
        <f>IF(DAY(JanVas1)=1,JanVas1+20,JanVas1+27)</f>
        <v>44219</v>
      </c>
      <c r="I6" s="58">
        <f>IF(DAY(JanVas1)=1,JanVas1+21,JanVas1+28)</f>
        <v>44220</v>
      </c>
      <c r="J6" s="16"/>
      <c r="K6" s="3"/>
      <c r="L6" s="21"/>
    </row>
    <row r="7" spans="1:12" ht="30" customHeight="1" x14ac:dyDescent="0.25">
      <c r="A7" s="19"/>
      <c r="B7" s="24"/>
      <c r="C7" s="58">
        <f>IF(DAY(JanVas1)=1,JanVas1+22,JanVas1+29)</f>
        <v>44221</v>
      </c>
      <c r="D7" s="58">
        <f>IF(DAY(JanVas1)=1,JanVas1+23,JanVas1+30)</f>
        <v>44222</v>
      </c>
      <c r="E7" s="58">
        <f>IF(DAY(JanVas1)=1,JanVas1+24,JanVas1+31)</f>
        <v>44223</v>
      </c>
      <c r="F7" s="58">
        <f>IF(DAY(JanVas1)=1,JanVas1+25,JanVas1+32)</f>
        <v>44224</v>
      </c>
      <c r="G7" s="58">
        <f>IF(DAY(JanVas1)=1,JanVas1+26,JanVas1+33)</f>
        <v>44225</v>
      </c>
      <c r="H7" s="58">
        <f>IF(DAY(JanVas1)=1,JanVas1+27,JanVas1+34)</f>
        <v>44226</v>
      </c>
      <c r="I7" s="58">
        <f>IF(DAY(JanVas1)=1,JanVas1+28,JanVas1+35)</f>
        <v>44227</v>
      </c>
      <c r="J7" s="29"/>
      <c r="K7" s="27"/>
      <c r="L7" s="25"/>
    </row>
    <row r="8" spans="1:12" ht="30" customHeight="1" x14ac:dyDescent="0.25">
      <c r="A8" s="19"/>
      <c r="B8" s="25"/>
      <c r="C8" s="59">
        <f>IF(DAY(JanVas1)=1,JanVas1+29,JanVas1+36)</f>
        <v>44228</v>
      </c>
      <c r="D8" s="59">
        <f>IF(DAY(JanVas1)=1,JanVas1+30,JanVas1+37)</f>
        <v>44229</v>
      </c>
      <c r="E8" s="59">
        <f>IF(DAY(JanVas1)=1,JanVas1+31,JanVas1+38)</f>
        <v>44230</v>
      </c>
      <c r="F8" s="59">
        <f>IF(DAY(JanVas1)=1,JanVas1+32,JanVas1+39)</f>
        <v>44231</v>
      </c>
      <c r="G8" s="59">
        <f>IF(DAY(JanVas1)=1,JanVas1+33,JanVas1+40)</f>
        <v>44232</v>
      </c>
      <c r="H8" s="59">
        <f>IF(DAY(JanVas1)=1,JanVas1+34,JanVas1+41)</f>
        <v>44233</v>
      </c>
      <c r="I8" s="59">
        <f>IF(DAY(JanVas1)=1,JanVas1+35,JanVas1+42)</f>
        <v>44234</v>
      </c>
      <c r="J8" s="16" t="s">
        <v>13</v>
      </c>
      <c r="K8" s="3">
        <v>19</v>
      </c>
      <c r="L8" s="21" t="s">
        <v>27</v>
      </c>
    </row>
    <row r="9" spans="1:12" ht="30" customHeight="1" x14ac:dyDescent="0.25">
      <c r="A9" s="19"/>
      <c r="B9" s="24"/>
      <c r="J9" s="16"/>
      <c r="K9" s="3"/>
      <c r="L9" s="21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1"/>
    </row>
    <row r="11" spans="1:12" ht="30" customHeight="1" x14ac:dyDescent="0.25">
      <c r="A11" s="35" t="s">
        <v>0</v>
      </c>
      <c r="B11" s="20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21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2" t="s">
        <v>5</v>
      </c>
      <c r="J12" s="16"/>
      <c r="K12" s="3"/>
      <c r="L12" s="21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37" t="s">
        <v>6</v>
      </c>
      <c r="J13" s="29"/>
      <c r="K13" s="27"/>
      <c r="L13" s="25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2"/>
      <c r="J14" s="16" t="s">
        <v>18</v>
      </c>
      <c r="K14" s="3"/>
      <c r="L14" s="21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37"/>
      <c r="J15" s="16"/>
      <c r="K15" s="3"/>
      <c r="L15" s="21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2" t="s">
        <v>7</v>
      </c>
      <c r="J16" s="16"/>
      <c r="K16" s="3"/>
      <c r="L16" s="21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37" t="s">
        <v>8</v>
      </c>
      <c r="J17" s="16"/>
      <c r="K17" s="3"/>
      <c r="L17" s="21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2"/>
      <c r="J18" s="16"/>
      <c r="K18" s="3"/>
      <c r="L18" s="21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38"/>
      <c r="J19" s="29"/>
      <c r="K19" s="27"/>
      <c r="L19" s="26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2"/>
      <c r="J20" s="16" t="s">
        <v>19</v>
      </c>
      <c r="K20" s="3"/>
      <c r="L20" s="21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37"/>
      <c r="J21" s="16"/>
      <c r="K21" s="3"/>
      <c r="L21" s="21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2"/>
      <c r="J22" s="16"/>
      <c r="K22" s="3"/>
      <c r="L22" s="21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37"/>
      <c r="J23" s="16"/>
      <c r="K23" s="3"/>
      <c r="L23" s="21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2" t="s">
        <v>9</v>
      </c>
      <c r="J24" s="16"/>
      <c r="K24" s="3"/>
      <c r="L24" s="21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37" t="s">
        <v>10</v>
      </c>
      <c r="J25" s="29"/>
      <c r="K25" s="27"/>
      <c r="L25" s="26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2"/>
      <c r="J26" s="16" t="s">
        <v>20</v>
      </c>
      <c r="K26" s="3"/>
      <c r="L26" s="21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37"/>
      <c r="J27" s="16"/>
      <c r="K27" s="3"/>
      <c r="L27" s="21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2"/>
      <c r="J28" s="16"/>
      <c r="K28" s="3"/>
      <c r="L28" s="21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37"/>
      <c r="J29" s="16"/>
      <c r="K29" s="3"/>
      <c r="L29" s="21"/>
    </row>
    <row r="30" spans="1:12" ht="30" customHeight="1" x14ac:dyDescent="0.25">
      <c r="A30" s="35" t="s">
        <v>1</v>
      </c>
      <c r="B30" s="60"/>
      <c r="C30" s="63"/>
      <c r="D30" s="63"/>
      <c r="E30" s="63"/>
      <c r="F30" s="63"/>
      <c r="G30" s="63"/>
      <c r="H30" s="63"/>
      <c r="I30" s="62"/>
      <c r="J30" s="16"/>
      <c r="K30" s="3"/>
      <c r="L30" s="21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22"/>
      <c r="K31" s="3"/>
      <c r="L31" s="21"/>
    </row>
  </sheetData>
  <dataConsolidate/>
  <mergeCells count="63">
    <mergeCell ref="G11:H11"/>
    <mergeCell ref="G12:H12"/>
    <mergeCell ref="G13:H13"/>
    <mergeCell ref="G16:H16"/>
    <mergeCell ref="G17:H17"/>
    <mergeCell ref="G18:H18"/>
    <mergeCell ref="G19:H19"/>
    <mergeCell ref="G14:H14"/>
    <mergeCell ref="G15:H15"/>
    <mergeCell ref="G27:H27"/>
    <mergeCell ref="G31:H31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E19:F19"/>
    <mergeCell ref="E18:F18"/>
    <mergeCell ref="E17:F17"/>
    <mergeCell ref="E16:F16"/>
    <mergeCell ref="E15:F15"/>
    <mergeCell ref="C18:D18"/>
    <mergeCell ref="C19:D19"/>
    <mergeCell ref="C20:D20"/>
    <mergeCell ref="C21:D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E11:F11"/>
    <mergeCell ref="C11:D11"/>
    <mergeCell ref="C17:D17"/>
    <mergeCell ref="C12:D12"/>
    <mergeCell ref="C13:D13"/>
    <mergeCell ref="C14:D14"/>
    <mergeCell ref="C15:D15"/>
    <mergeCell ref="C16:D16"/>
    <mergeCell ref="E14:F14"/>
    <mergeCell ref="E13:F13"/>
    <mergeCell ref="E12:F12"/>
  </mergeCells>
  <phoneticPr fontId="2" type="noConversion"/>
  <conditionalFormatting sqref="C3:H3">
    <cfRule type="expression" dxfId="85" priority="9" stopIfTrue="1">
      <formula>DAY(C3)&gt;8</formula>
    </cfRule>
  </conditionalFormatting>
  <conditionalFormatting sqref="C7:I8">
    <cfRule type="expression" dxfId="84" priority="8" stopIfTrue="1">
      <formula>AND(DAY(C7)&gt;=1,DAY(C7)&lt;=15)</formula>
    </cfRule>
  </conditionalFormatting>
  <conditionalFormatting sqref="C3:I8">
    <cfRule type="expression" dxfId="83" priority="20">
      <formula>VLOOKUP(DAY(C3),FeladatNapok,1,FALSE)=DAY(C3)</formula>
    </cfRule>
  </conditionalFormatting>
  <conditionalFormatting sqref="B12:I12 B14:I14 B16:I16 B18:I18 B20:I20 B22:I22 B24:I24 B26:I26 B28:I28 B30:I30">
    <cfRule type="expression" dxfId="82" priority="6">
      <formula>B12&lt;&gt;""</formula>
    </cfRule>
  </conditionalFormatting>
  <conditionalFormatting sqref="B13:I13 B15:I15 B17:I17 B19:I19 B21:I21 B23:I23 B25:I25 B27:I27 B29:I29 B31:I31">
    <cfRule type="expression" dxfId="81" priority="4">
      <formula>B13&lt;&gt;""</formula>
    </cfRule>
  </conditionalFormatting>
  <conditionalFormatting sqref="B13:I13 B15:I15 B17:I17 B19:I19 B21:I21 B23:I23 B25:I25 B27:I27 B29:I29">
    <cfRule type="expression" dxfId="80" priority="3">
      <formula>COLUMN(B12)&gt;=2</formula>
    </cfRule>
  </conditionalFormatting>
  <conditionalFormatting sqref="B12:I31">
    <cfRule type="expression" dxfId="79" priority="1">
      <formula>COLUMN(B11)&gt;2</formula>
    </cfRule>
  </conditionalFormatting>
  <dataValidations xWindow="250" yWindow="581" count="13">
    <dataValidation allowBlank="1" showInputMessage="1" showErrorMessage="1" prompt="Ebben a cellában adhatja meg az évet" sqref="B1" xr:uid="{00000000-0002-0000-0000-000000000000}"/>
    <dataValidation allowBlank="1" showInputMessage="1" showErrorMessage="1" prompt="Ebben a munkafüzetben heti ütemtervet készíthet elő, és feladatlistát hozhat létre. A feladatlista bejegyzései automatikusan ki vannak emelve a havi naptárnézetben. Adja meg a naptári évet a B1 cellában" sqref="A1" xr:uid="{00000000-0002-0000-0000-000001000000}"/>
    <dataValidation allowBlank="1" showInputMessage="1" showErrorMessage="1" prompt="A Január havi naptárban automatikusan ki vannak emelve a havi feladatlista bejegyzései. A sötétebb betűk jelzik a feladatokat. A világosabb betűkkel jelzett napok az előző vagy a következő hónaphoz tartoznak" sqref="B2" xr:uid="{00000000-0002-0000-0000-000002000000}"/>
    <dataValidation allowBlank="1" showInputMessage="1" showErrorMessage="1" prompt="A C2:I2 cellatartományban a hétköznapok szerepelnek" sqref="C2" xr:uid="{00000000-0002-0000-0000-000003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000-000004000000}"/>
    <dataValidation allowBlank="1" showInputMessage="1" showErrorMessage="1" prompt="Adja meg a tantárgyak időpontját, alatta, új sorban pedig adja meg a tantárgyak nevét minden hétköznaphoz a B-I oszloptartományban. A következő sorokban ismételje ezeket a lépéseket a további tantárgyakra vonatkozóan." sqref="B10" xr:uid="{00000000-0002-0000-0000-000005000000}"/>
    <dataValidation allowBlank="1" showInputMessage="1" showErrorMessage="1" prompt="Írja be a tantárgyakat a B-I oszloptartományból ebbe a sorba" sqref="B13" xr:uid="{00000000-0002-0000-0000-000006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000-000007000000}"/>
    <dataValidation allowBlank="1" showInputMessage="1" showErrorMessage="1" prompt="Írja be az időpontokat a B-I oszloptartományból ebbe a sorba" sqref="B12" xr:uid="{00000000-0002-0000-00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000-000009000000}"/>
    <dataValidation allowBlank="1" showInputMessage="1" showErrorMessage="1" prompt="Ha ez a sor kisebb számot tartalmaz, mint az előző szám vagy számsor, akkor ez a sor a következő naptári hónap dátumait tartalmazza" sqref="C8" xr:uid="{00000000-0002-0000-0000-00000A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000-00000B000000}"/>
    <dataValidation allowBlank="1" showInputMessage="1" showErrorMessage="1" prompt="Ebben a sorban szerepelnek a hétköznapok, hétfőtől péntekig" sqref="B11" xr:uid="{00000000-0002-0000-00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" customWidth="1"/>
    <col min="11" max="11" width="10.625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33" t="s">
        <v>28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0"/>
      <c r="L2" s="24"/>
    </row>
    <row r="3" spans="1:12" ht="30" customHeight="1" x14ac:dyDescent="0.25">
      <c r="A3" s="19"/>
      <c r="C3" s="58">
        <f>IF(DAY(FebVas1)=1,FebVas1-6,FebVas1+1)</f>
        <v>44228</v>
      </c>
      <c r="D3" s="58">
        <f>IF(DAY(FebVas1)=1,FebVas1-5,FebVas1+2)</f>
        <v>44229</v>
      </c>
      <c r="E3" s="58">
        <f>IF(DAY(FebVas1)=1,FebVas1-4,FebVas1+3)</f>
        <v>44230</v>
      </c>
      <c r="F3" s="58">
        <f>IF(DAY(FebVas1)=1,FebVas1-3,FebVas1+4)</f>
        <v>44231</v>
      </c>
      <c r="G3" s="58">
        <f>IF(DAY(FebVas1)=1,FebVas1-2,FebVas1+5)</f>
        <v>44232</v>
      </c>
      <c r="H3" s="58">
        <f>IF(DAY(FebVas1)=1,FebVas1-1,FebVas1+6)</f>
        <v>44233</v>
      </c>
      <c r="I3" s="58">
        <f>IF(DAY(FebVas1)=1,FebVas1,FebVas1+7)</f>
        <v>44234</v>
      </c>
      <c r="J3" s="16"/>
      <c r="K3" s="3"/>
      <c r="L3" s="24"/>
    </row>
    <row r="4" spans="1:12" ht="30" customHeight="1" x14ac:dyDescent="0.25">
      <c r="A4" s="19"/>
      <c r="C4" s="58">
        <f>IF(DAY(FebVas1)=1,FebVas1+1,FebVas1+8)</f>
        <v>44235</v>
      </c>
      <c r="D4" s="58">
        <f>IF(DAY(FebVas1)=1,FebVas1+2,FebVas1+9)</f>
        <v>44236</v>
      </c>
      <c r="E4" s="58">
        <f>IF(DAY(FebVas1)=1,FebVas1+3,FebVas1+10)</f>
        <v>44237</v>
      </c>
      <c r="F4" s="58">
        <f>IF(DAY(FebVas1)=1,FebVas1+4,FebVas1+11)</f>
        <v>44238</v>
      </c>
      <c r="G4" s="58">
        <f>IF(DAY(FebVas1)=1,FebVas1+5,FebVas1+12)</f>
        <v>44239</v>
      </c>
      <c r="H4" s="58">
        <f>IF(DAY(FebVas1)=1,FebVas1+6,FebVas1+13)</f>
        <v>44240</v>
      </c>
      <c r="I4" s="58">
        <f>IF(DAY(FebVas1)=1,FebVas1+7,FebVas1+14)</f>
        <v>44241</v>
      </c>
      <c r="J4" s="16"/>
      <c r="K4" s="3"/>
      <c r="L4" s="24"/>
    </row>
    <row r="5" spans="1:12" ht="30" customHeight="1" x14ac:dyDescent="0.25">
      <c r="A5" s="19"/>
      <c r="C5" s="58">
        <f>IF(DAY(FebVas1)=1,FebVas1+8,FebVas1+15)</f>
        <v>44242</v>
      </c>
      <c r="D5" s="58">
        <f>IF(DAY(FebVas1)=1,FebVas1+9,FebVas1+16)</f>
        <v>44243</v>
      </c>
      <c r="E5" s="58">
        <f>IF(DAY(FebVas1)=1,FebVas1+10,FebVas1+17)</f>
        <v>44244</v>
      </c>
      <c r="F5" s="58">
        <f>IF(DAY(FebVas1)=1,FebVas1+11,FebVas1+18)</f>
        <v>44245</v>
      </c>
      <c r="G5" s="58">
        <f>IF(DAY(FebVas1)=1,FebVas1+12,FebVas1+19)</f>
        <v>44246</v>
      </c>
      <c r="H5" s="58">
        <f>IF(DAY(FebVas1)=1,FebVas1+13,FebVas1+20)</f>
        <v>44247</v>
      </c>
      <c r="I5" s="58">
        <f>IF(DAY(FebVas1)=1,FebVas1+14,FebVas1+21)</f>
        <v>44248</v>
      </c>
      <c r="J5" s="16"/>
      <c r="K5" s="3"/>
      <c r="L5" s="24"/>
    </row>
    <row r="6" spans="1:12" ht="30" customHeight="1" x14ac:dyDescent="0.25">
      <c r="A6" s="19"/>
      <c r="C6" s="58">
        <f>IF(DAY(FebVas1)=1,FebVas1+15,FebVas1+22)</f>
        <v>44249</v>
      </c>
      <c r="D6" s="58">
        <f>IF(DAY(FebVas1)=1,FebVas1+16,FebVas1+23)</f>
        <v>44250</v>
      </c>
      <c r="E6" s="58">
        <f>IF(DAY(FebVas1)=1,FebVas1+17,FebVas1+24)</f>
        <v>44251</v>
      </c>
      <c r="F6" s="58">
        <f>IF(DAY(FebVas1)=1,FebVas1+18,FebVas1+25)</f>
        <v>44252</v>
      </c>
      <c r="G6" s="58">
        <f>IF(DAY(FebVas1)=1,FebVas1+19,FebVas1+26)</f>
        <v>44253</v>
      </c>
      <c r="H6" s="58">
        <f>IF(DAY(FebVas1)=1,FebVas1+20,FebVas1+27)</f>
        <v>44254</v>
      </c>
      <c r="I6" s="58">
        <f>IF(DAY(FebVas1)=1,FebVas1+21,FebVas1+28)</f>
        <v>44255</v>
      </c>
      <c r="J6" s="16"/>
      <c r="K6" s="3"/>
      <c r="L6" s="24"/>
    </row>
    <row r="7" spans="1:12" ht="30" customHeight="1" x14ac:dyDescent="0.25">
      <c r="A7" s="19"/>
      <c r="C7" s="58">
        <f>IF(DAY(FebVas1)=1,FebVas1+22,FebVas1+29)</f>
        <v>44256</v>
      </c>
      <c r="D7" s="58">
        <f>IF(DAY(FebVas1)=1,FebVas1+23,FebVas1+30)</f>
        <v>44257</v>
      </c>
      <c r="E7" s="58">
        <f>IF(DAY(FebVas1)=1,FebVas1+24,FebVas1+31)</f>
        <v>44258</v>
      </c>
      <c r="F7" s="58">
        <f>IF(DAY(FebVas1)=1,FebVas1+25,FebVas1+32)</f>
        <v>44259</v>
      </c>
      <c r="G7" s="58">
        <f>IF(DAY(FebVas1)=1,FebVas1+26,FebVas1+33)</f>
        <v>44260</v>
      </c>
      <c r="H7" s="58">
        <f>IF(DAY(FebVas1)=1,FebVas1+27,FebVas1+34)</f>
        <v>44261</v>
      </c>
      <c r="I7" s="58">
        <f>IF(DAY(FebVas1)=1,FebVas1+28,FebVas1+35)</f>
        <v>44262</v>
      </c>
      <c r="J7" s="29"/>
      <c r="K7" s="27"/>
      <c r="L7" s="25"/>
    </row>
    <row r="8" spans="1:12" ht="30" customHeight="1" x14ac:dyDescent="0.25">
      <c r="A8" s="19"/>
      <c r="B8" s="25"/>
      <c r="C8" s="58">
        <f>IF(DAY(FebVas1)=1,FebVas1+29,FebVas1+36)</f>
        <v>44263</v>
      </c>
      <c r="D8" s="58">
        <f>IF(DAY(FebVas1)=1,FebVas1+30,FebVas1+37)</f>
        <v>44264</v>
      </c>
      <c r="E8" s="58">
        <f>IF(DAY(FebVas1)=1,FebVas1+31,FebVas1+38)</f>
        <v>44265</v>
      </c>
      <c r="F8" s="58">
        <f>IF(DAY(FebVas1)=1,FebVas1+32,FebVas1+39)</f>
        <v>44266</v>
      </c>
      <c r="G8" s="58">
        <f>IF(DAY(FebVas1)=1,FebVas1+33,FebVas1+40)</f>
        <v>44267</v>
      </c>
      <c r="H8" s="58">
        <f>IF(DAY(FebVas1)=1,FebVas1+34,FebVas1+41)</f>
        <v>44268</v>
      </c>
      <c r="I8" s="58">
        <f>IF(DAY(FebVas1)=1,FebVas1+35,FebVas1+42)</f>
        <v>44269</v>
      </c>
      <c r="J8" s="16" t="s">
        <v>13</v>
      </c>
      <c r="K8" s="30"/>
      <c r="L8" s="24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24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4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24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4" t="s">
        <v>5</v>
      </c>
      <c r="J12" s="16"/>
      <c r="K12" s="3"/>
      <c r="L12" s="24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29"/>
      <c r="K13" s="27"/>
      <c r="L13" s="25"/>
    </row>
    <row r="14" spans="1:12" ht="30" customHeight="1" x14ac:dyDescent="0.25">
      <c r="A14" s="35" t="s">
        <v>1</v>
      </c>
      <c r="B14" s="60"/>
      <c r="C14" s="63" t="s">
        <v>14</v>
      </c>
      <c r="D14" s="63"/>
      <c r="E14" s="63"/>
      <c r="F14" s="63"/>
      <c r="G14" s="63" t="s">
        <v>14</v>
      </c>
      <c r="H14" s="63"/>
      <c r="I14" s="64"/>
      <c r="J14" s="16" t="s">
        <v>18</v>
      </c>
      <c r="K14" s="30"/>
      <c r="L14" s="24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24"/>
    </row>
    <row r="16" spans="1:12" ht="30" customHeight="1" x14ac:dyDescent="0.25">
      <c r="A16" s="35" t="s">
        <v>1</v>
      </c>
      <c r="B16" s="60" t="s">
        <v>7</v>
      </c>
      <c r="C16" s="63"/>
      <c r="D16" s="63"/>
      <c r="E16" s="63" t="s">
        <v>7</v>
      </c>
      <c r="F16" s="63"/>
      <c r="G16" s="63"/>
      <c r="H16" s="63"/>
      <c r="I16" s="65" t="s">
        <v>7</v>
      </c>
      <c r="J16" s="16"/>
      <c r="K16" s="3"/>
      <c r="L16" s="24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3"/>
      <c r="L17" s="24"/>
    </row>
    <row r="18" spans="1:12" ht="30" customHeight="1" x14ac:dyDescent="0.25">
      <c r="A18" s="35" t="s">
        <v>1</v>
      </c>
      <c r="B18" s="60"/>
      <c r="C18" s="63"/>
      <c r="D18" s="63"/>
      <c r="E18" s="63"/>
      <c r="F18" s="63"/>
      <c r="G18" s="63"/>
      <c r="H18" s="63"/>
      <c r="I18" s="64"/>
      <c r="J18" s="16"/>
      <c r="K18" s="3"/>
      <c r="L18" s="24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29"/>
      <c r="K19" s="27"/>
      <c r="L19" s="25"/>
    </row>
    <row r="20" spans="1:12" ht="30" customHeight="1" x14ac:dyDescent="0.25">
      <c r="A20" s="35" t="s">
        <v>1</v>
      </c>
      <c r="B20" s="60"/>
      <c r="C20" s="63"/>
      <c r="D20" s="63"/>
      <c r="E20" s="63"/>
      <c r="F20" s="63"/>
      <c r="G20" s="63"/>
      <c r="H20" s="63"/>
      <c r="I20" s="64"/>
      <c r="J20" s="16" t="s">
        <v>19</v>
      </c>
      <c r="K20" s="30"/>
      <c r="L20" s="24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24"/>
    </row>
    <row r="22" spans="1:12" ht="30" customHeight="1" x14ac:dyDescent="0.25">
      <c r="A22" s="35" t="s">
        <v>1</v>
      </c>
      <c r="B22" s="60"/>
      <c r="C22" s="63"/>
      <c r="D22" s="63"/>
      <c r="E22" s="63"/>
      <c r="F22" s="63"/>
      <c r="G22" s="63"/>
      <c r="H22" s="63"/>
      <c r="I22" s="64"/>
      <c r="J22" s="16"/>
      <c r="K22" s="3"/>
      <c r="L22" s="24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24"/>
    </row>
    <row r="24" spans="1:12" ht="30" customHeight="1" x14ac:dyDescent="0.25">
      <c r="A24" s="35" t="s">
        <v>1</v>
      </c>
      <c r="B24" s="60" t="s">
        <v>9</v>
      </c>
      <c r="C24" s="63"/>
      <c r="D24" s="63"/>
      <c r="E24" s="63" t="s">
        <v>9</v>
      </c>
      <c r="F24" s="63"/>
      <c r="G24" s="63"/>
      <c r="H24" s="63"/>
      <c r="I24" s="64" t="s">
        <v>9</v>
      </c>
      <c r="J24" s="16"/>
      <c r="K24" s="3"/>
      <c r="L24" s="24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29"/>
      <c r="K25" s="27"/>
      <c r="L25" s="25"/>
    </row>
    <row r="26" spans="1:12" ht="30" customHeight="1" x14ac:dyDescent="0.25">
      <c r="A26" s="35" t="s">
        <v>1</v>
      </c>
      <c r="B26" s="60"/>
      <c r="C26" s="63"/>
      <c r="D26" s="63"/>
      <c r="E26" s="63"/>
      <c r="F26" s="63"/>
      <c r="G26" s="63"/>
      <c r="H26" s="63"/>
      <c r="I26" s="64"/>
      <c r="J26" s="16" t="s">
        <v>20</v>
      </c>
      <c r="K26" s="30"/>
      <c r="L26" s="24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24"/>
    </row>
    <row r="28" spans="1:12" ht="30" customHeight="1" x14ac:dyDescent="0.25">
      <c r="A28" s="35" t="s">
        <v>1</v>
      </c>
      <c r="B28" s="60"/>
      <c r="C28" s="63" t="s">
        <v>16</v>
      </c>
      <c r="D28" s="63"/>
      <c r="E28" s="63"/>
      <c r="F28" s="63"/>
      <c r="G28" s="63" t="s">
        <v>16</v>
      </c>
      <c r="H28" s="63"/>
      <c r="I28" s="64"/>
      <c r="J28" s="16"/>
      <c r="K28" s="3"/>
      <c r="L28" s="24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24"/>
    </row>
    <row r="30" spans="1:12" ht="30" customHeight="1" x14ac:dyDescent="0.25">
      <c r="A30" s="35" t="s">
        <v>1</v>
      </c>
      <c r="B30" s="60"/>
      <c r="C30" s="63"/>
      <c r="D30" s="63"/>
      <c r="E30" s="63"/>
      <c r="F30" s="63"/>
      <c r="G30" s="63"/>
      <c r="H30" s="63"/>
      <c r="I30" s="64"/>
      <c r="J30" s="16"/>
      <c r="K30" s="3"/>
      <c r="L30" s="24"/>
    </row>
    <row r="31" spans="1:12" ht="30" customHeight="1" x14ac:dyDescent="0.25">
      <c r="A31" s="35" t="s">
        <v>2</v>
      </c>
      <c r="B31" s="43"/>
      <c r="C31" s="56"/>
      <c r="D31" s="56"/>
      <c r="E31" s="56"/>
      <c r="F31" s="56"/>
      <c r="G31" s="56"/>
      <c r="H31" s="56"/>
      <c r="I31" s="40"/>
      <c r="J31" s="16"/>
      <c r="K31" s="27"/>
      <c r="L31" s="24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78" priority="9" stopIfTrue="1">
      <formula>DAY(C3)&gt;8</formula>
    </cfRule>
  </conditionalFormatting>
  <conditionalFormatting sqref="C7:I8">
    <cfRule type="expression" dxfId="77" priority="8" stopIfTrue="1">
      <formula>AND(DAY(C7)&gt;=1,DAY(C7)&lt;=15)</formula>
    </cfRule>
  </conditionalFormatting>
  <conditionalFormatting sqref="C3:I8">
    <cfRule type="expression" dxfId="76" priority="10">
      <formula>VLOOKUP(DAY(C3),FeladatNapok,1,FALSE)=DAY(C3)</formula>
    </cfRule>
  </conditionalFormatting>
  <conditionalFormatting sqref="B13:I13 B15:I15 B17:I17 B19:I19 B21:I21 B23:I23 B25:I25 B27:I27 B29:I29 B31:I31">
    <cfRule type="expression" dxfId="75" priority="7">
      <formula>B13&lt;&gt;""</formula>
    </cfRule>
  </conditionalFormatting>
  <conditionalFormatting sqref="B12:I12 B14:I14 B16:I16 B18:I18 B20:I20 B22:I22 B24:I24 B26:I26 B28:I28 B30:I30">
    <cfRule type="expression" dxfId="74" priority="6">
      <formula>B12&lt;&gt;""</formula>
    </cfRule>
  </conditionalFormatting>
  <conditionalFormatting sqref="B13:I13 B15:I15 B17:I17 B19:I19 B21:I21 B23:I23 B25:I25 B27:I27 B29:I29">
    <cfRule type="expression" dxfId="73" priority="4">
      <formula>COLUMN(B12)&gt;=2</formula>
    </cfRule>
  </conditionalFormatting>
  <conditionalFormatting sqref="B12:I31">
    <cfRule type="expression" dxfId="72" priority="1">
      <formula>COLUMN(B12)&gt;2</formula>
    </cfRule>
  </conditionalFormatting>
  <dataValidations xWindow="95" yWindow="532" count="13">
    <dataValidation allowBlank="1" showInputMessage="1" showErrorMessage="1" prompt="A Február havi naptárban automatikusan ki vannak emelve a havi feladatlista bejegyzései. A sötétebb betűk jelzik a feladatokat. A világosabb betűkkel jelzett napok az előző vagy a következő hónaphoz tartoznak" sqref="B2" xr:uid="{00000000-0002-0000-0100-000000000000}"/>
    <dataValidation allowBlank="1" showInputMessage="1" showErrorMessage="1" prompt="Automatikusan frissülő naptári év. Az év módosításához frissítse a Január munkalap B1 celláját" sqref="B1" xr:uid="{00000000-0002-0000-0100-000001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100-000002000000}"/>
    <dataValidation allowBlank="1" showInputMessage="1" showErrorMessage="1" prompt="A C2:I2 cellatartományban a hétköznapok szerepelnek" sqref="C2" xr:uid="{00000000-0002-0000-0100-000003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100-000004000000}"/>
    <dataValidation allowBlank="1" showInputMessage="1" showErrorMessage="1" prompt="Ha ez a sor kisebb számot tartalmaz, mint az előző szám vagy számsor, akkor ez a sor a következő naptári hónap dátumait tartalmazza" sqref="C8" xr:uid="{00000000-0002-0000-0100-000005000000}"/>
    <dataValidation allowBlank="1" showInputMessage="1" showErrorMessage="1" prompt="Írja be az időpontokat a B-I oszloptartományból ebbe a sorba" sqref="B12" xr:uid="{00000000-0002-0000-0100-000006000000}"/>
    <dataValidation allowBlank="1" showInputMessage="1" showErrorMessage="1" prompt="Írja be a tantárgyakat a B-I oszloptartományból ebbe a sorba" sqref="B13" xr:uid="{00000000-0002-0000-01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1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1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100-00000A000000}"/>
    <dataValidation allowBlank="1" showInputMessage="1" showErrorMessage="1" prompt="Ebben a sorban szerepelnek a hétköznapok, hétfőtől péntekig" sqref="B11" xr:uid="{00000000-0002-0000-0100-00000B000000}"/>
    <dataValidation allowBlank="1" showInputMessage="1" showErrorMessage="1" prompt="Adja meg a tantárgyak időpontját, alatt, új sorban pedig adja meg a tantárgyak nevét minden hétköznaphoz a B-I oszloptartományban. A következő sorokban ismételje ezeket a lépéseket a további tantárgyakra vonatkozóan." sqref="B10" xr:uid="{00000000-0002-0000-01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29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0"/>
      <c r="L2" s="7"/>
    </row>
    <row r="3" spans="1:12" ht="30" customHeight="1" x14ac:dyDescent="0.25">
      <c r="A3" s="19"/>
      <c r="C3" s="58">
        <f>IF(DAY(MárcVas1)=1,MárcVas1-6,MárcVas1+1)</f>
        <v>44256</v>
      </c>
      <c r="D3" s="58">
        <f>IF(DAY(MárcVas1)=1,MárcVas1-5,MárcVas1+2)</f>
        <v>44257</v>
      </c>
      <c r="E3" s="58">
        <f>IF(DAY(MárcVas1)=1,MárcVas1-4,MárcVas1+3)</f>
        <v>44258</v>
      </c>
      <c r="F3" s="58">
        <f>IF(DAY(MárcVas1)=1,MárcVas1-3,MárcVas1+4)</f>
        <v>44259</v>
      </c>
      <c r="G3" s="58">
        <f>IF(DAY(MárcVas1)=1,MárcVas1-2,MárcVas1+5)</f>
        <v>44260</v>
      </c>
      <c r="H3" s="58">
        <f>IF(DAY(MárcVas1)=1,MárcVas1-1,MárcVas1+6)</f>
        <v>44261</v>
      </c>
      <c r="I3" s="58">
        <f>IF(DAY(MárcVas1)=1,MárcVas1,MárcVas1+7)</f>
        <v>44262</v>
      </c>
      <c r="J3" s="16"/>
      <c r="K3" s="3"/>
      <c r="L3" s="10"/>
    </row>
    <row r="4" spans="1:12" ht="30" customHeight="1" x14ac:dyDescent="0.25">
      <c r="A4" s="19"/>
      <c r="C4" s="58">
        <f>IF(DAY(MárcVas1)=1,MárcVas1+1,MárcVas1+8)</f>
        <v>44263</v>
      </c>
      <c r="D4" s="58">
        <f>IF(DAY(MárcVas1)=1,MárcVas1+2,MárcVas1+9)</f>
        <v>44264</v>
      </c>
      <c r="E4" s="58">
        <f>IF(DAY(MárcVas1)=1,MárcVas1+3,MárcVas1+10)</f>
        <v>44265</v>
      </c>
      <c r="F4" s="58">
        <f>IF(DAY(MárcVas1)=1,MárcVas1+4,MárcVas1+11)</f>
        <v>44266</v>
      </c>
      <c r="G4" s="58">
        <f>IF(DAY(MárcVas1)=1,MárcVas1+5,MárcVas1+12)</f>
        <v>44267</v>
      </c>
      <c r="H4" s="58">
        <f>IF(DAY(MárcVas1)=1,MárcVas1+6,MárcVas1+13)</f>
        <v>44268</v>
      </c>
      <c r="I4" s="58">
        <f>IF(DAY(MárcVas1)=1,MárcVas1+7,MárcVas1+14)</f>
        <v>44269</v>
      </c>
      <c r="J4" s="16"/>
      <c r="K4" s="3"/>
      <c r="L4" s="10"/>
    </row>
    <row r="5" spans="1:12" ht="30" customHeight="1" x14ac:dyDescent="0.25">
      <c r="A5" s="19"/>
      <c r="C5" s="58">
        <f>IF(DAY(MárcVas1)=1,MárcVas1+8,MárcVas1+15)</f>
        <v>44270</v>
      </c>
      <c r="D5" s="58">
        <f>IF(DAY(MárcVas1)=1,MárcVas1+9,MárcVas1+16)</f>
        <v>44271</v>
      </c>
      <c r="E5" s="58">
        <f>IF(DAY(MárcVas1)=1,MárcVas1+10,MárcVas1+17)</f>
        <v>44272</v>
      </c>
      <c r="F5" s="58">
        <f>IF(DAY(MárcVas1)=1,MárcVas1+11,MárcVas1+18)</f>
        <v>44273</v>
      </c>
      <c r="G5" s="58">
        <f>IF(DAY(MárcVas1)=1,MárcVas1+12,MárcVas1+19)</f>
        <v>44274</v>
      </c>
      <c r="H5" s="58">
        <f>IF(DAY(MárcVas1)=1,MárcVas1+13,MárcVas1+20)</f>
        <v>44275</v>
      </c>
      <c r="I5" s="58">
        <f>IF(DAY(MárcVas1)=1,MárcVas1+14,MárcVas1+21)</f>
        <v>44276</v>
      </c>
      <c r="J5" s="16"/>
      <c r="K5" s="3"/>
      <c r="L5" s="10"/>
    </row>
    <row r="6" spans="1:12" ht="30" customHeight="1" x14ac:dyDescent="0.25">
      <c r="A6" s="19"/>
      <c r="C6" s="58">
        <f>IF(DAY(MárcVas1)=1,MárcVas1+15,MárcVas1+22)</f>
        <v>44277</v>
      </c>
      <c r="D6" s="58">
        <f>IF(DAY(MárcVas1)=1,MárcVas1+16,MárcVas1+23)</f>
        <v>44278</v>
      </c>
      <c r="E6" s="58">
        <f>IF(DAY(MárcVas1)=1,MárcVas1+17,MárcVas1+24)</f>
        <v>44279</v>
      </c>
      <c r="F6" s="58">
        <f>IF(DAY(MárcVas1)=1,MárcVas1+18,MárcVas1+25)</f>
        <v>44280</v>
      </c>
      <c r="G6" s="58">
        <f>IF(DAY(MárcVas1)=1,MárcVas1+19,MárcVas1+26)</f>
        <v>44281</v>
      </c>
      <c r="H6" s="58">
        <f>IF(DAY(MárcVas1)=1,MárcVas1+20,MárcVas1+27)</f>
        <v>44282</v>
      </c>
      <c r="I6" s="58">
        <f>IF(DAY(MárcVas1)=1,MárcVas1+21,MárcVas1+28)</f>
        <v>44283</v>
      </c>
      <c r="J6" s="16"/>
      <c r="K6" s="3"/>
      <c r="L6" s="10"/>
    </row>
    <row r="7" spans="1:12" ht="30" customHeight="1" x14ac:dyDescent="0.25">
      <c r="A7" s="19"/>
      <c r="C7" s="58">
        <f>IF(DAY(MárcVas1)=1,MárcVas1+22,MárcVas1+29)</f>
        <v>44284</v>
      </c>
      <c r="D7" s="58">
        <f>IF(DAY(MárcVas1)=1,MárcVas1+23,MárcVas1+30)</f>
        <v>44285</v>
      </c>
      <c r="E7" s="58">
        <f>IF(DAY(MárcVas1)=1,MárcVas1+24,MárcVas1+31)</f>
        <v>44286</v>
      </c>
      <c r="F7" s="58">
        <f>IF(DAY(MárcVas1)=1,MárcVas1+25,MárcVas1+32)</f>
        <v>44287</v>
      </c>
      <c r="G7" s="58">
        <f>IF(DAY(MárcVas1)=1,MárcVas1+26,MárcVas1+33)</f>
        <v>44288</v>
      </c>
      <c r="H7" s="58">
        <f>IF(DAY(MárcVas1)=1,MárcVas1+27,MárcVas1+34)</f>
        <v>44289</v>
      </c>
      <c r="I7" s="58">
        <f>IF(DAY(MárcVas1)=1,MárcVas1+28,MárcVas1+35)</f>
        <v>44290</v>
      </c>
      <c r="J7" s="1"/>
      <c r="K7" s="31"/>
      <c r="L7" s="26"/>
    </row>
    <row r="8" spans="1:12" ht="30" customHeight="1" x14ac:dyDescent="0.25">
      <c r="A8" s="19"/>
      <c r="B8" s="25"/>
      <c r="C8" s="58">
        <f>IF(DAY(MárcVas1)=1,MárcVas1+29,MárcVas1+36)</f>
        <v>44291</v>
      </c>
      <c r="D8" s="58">
        <f>IF(DAY(MárcVas1)=1,MárcVas1+30,MárcVas1+37)</f>
        <v>44292</v>
      </c>
      <c r="E8" s="58">
        <f>IF(DAY(MárcVas1)=1,MárcVas1+31,MárcVas1+38)</f>
        <v>44293</v>
      </c>
      <c r="F8" s="58">
        <f>IF(DAY(MárcVas1)=1,MárcVas1+32,MárcVas1+39)</f>
        <v>44294</v>
      </c>
      <c r="G8" s="58">
        <f>IF(DAY(MárcVas1)=1,MárcVas1+33,MárcVas1+40)</f>
        <v>44295</v>
      </c>
      <c r="H8" s="58">
        <f>IF(DAY(MárcVas1)=1,MárcVas1+34,MárcVas1+41)</f>
        <v>44296</v>
      </c>
      <c r="I8" s="58">
        <f>IF(DAY(MárcVas1)=1,MárcVas1+35,MárcVas1+42)</f>
        <v>44297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4" t="s">
        <v>5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1"/>
      <c r="K13" s="31"/>
      <c r="L13" s="26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4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5" t="s">
        <v>7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3"/>
      <c r="L17" s="10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4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4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4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4" t="s">
        <v>9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1"/>
      <c r="K25" s="31"/>
      <c r="L25" s="32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4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4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60"/>
      <c r="C30" s="61"/>
      <c r="D30" s="61"/>
      <c r="E30" s="61"/>
      <c r="F30" s="61"/>
      <c r="G30" s="61"/>
      <c r="H30" s="61"/>
      <c r="I30" s="64"/>
      <c r="J30" s="16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71" priority="6" stopIfTrue="1">
      <formula>DAY(C3)&gt;8</formula>
    </cfRule>
  </conditionalFormatting>
  <conditionalFormatting sqref="C7:I8">
    <cfRule type="expression" dxfId="70" priority="5" stopIfTrue="1">
      <formula>AND(DAY(C7)&gt;=1,DAY(C7)&lt;=15)</formula>
    </cfRule>
  </conditionalFormatting>
  <conditionalFormatting sqref="C3:I8">
    <cfRule type="expression" dxfId="69" priority="7">
      <formula>VLOOKUP(DAY(C3),FeladatNapok,1,FALSE)=DAY(C3)</formula>
    </cfRule>
  </conditionalFormatting>
  <conditionalFormatting sqref="B13:I13 B15:I15 B17:I17 B19:I19 B21:I21 B23:I23 B25:I25 B27:I27 B29:I29 B31:I31">
    <cfRule type="expression" dxfId="68" priority="4">
      <formula>B13&lt;&gt;""</formula>
    </cfRule>
  </conditionalFormatting>
  <conditionalFormatting sqref="B12:I12 B14:I14 B16:I16 B18:I18 B20:I20 B22:I22 B24:I24 B26:I26 B28:I28 B30:I30">
    <cfRule type="expression" dxfId="67" priority="3">
      <formula>B12&lt;&gt;""</formula>
    </cfRule>
  </conditionalFormatting>
  <conditionalFormatting sqref="B13:I13 B15:I15 B17:I17 B19:I19 B21:I21 B23:I23 B25:I25 B27:I27 B29:I29">
    <cfRule type="expression" dxfId="66" priority="2">
      <formula>COLUMN(B12)&gt;=2</formula>
    </cfRule>
  </conditionalFormatting>
  <conditionalFormatting sqref="B12:I31">
    <cfRule type="expression" dxfId="65" priority="1">
      <formula>COLUMN(B12)&gt;2</formula>
    </cfRule>
  </conditionalFormatting>
  <dataValidations count="13">
    <dataValidation allowBlank="1" showInputMessage="1" showErrorMessage="1" prompt="Írja be a tantárgyakat a B-I oszloptartományból ebbe a sorba" sqref="B13" xr:uid="{00000000-0002-0000-0200-000000000000}"/>
    <dataValidation allowBlank="1" showInputMessage="1" showErrorMessage="1" prompt="Írja be az időpontokat a B-I oszloptartományból ebbe a sorba" sqref="B12" xr:uid="{00000000-0002-0000-0200-000001000000}"/>
    <dataValidation allowBlank="1" showInputMessage="1" showErrorMessage="1" prompt="Ha ez a sor kisebb számot tartalmaz, mint az előző szám vagy számsor, akkor ez a sor a következő naptári hónap dátumait tartalmazza" sqref="C8" xr:uid="{00000000-0002-0000-0200-000002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200-000003000000}"/>
    <dataValidation allowBlank="1" showInputMessage="1" showErrorMessage="1" prompt="A C2:I2 cellatartományban a hétköznapok szerepelnek" sqref="C2" xr:uid="{00000000-0002-0000-0200-000004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200-000005000000}"/>
    <dataValidation allowBlank="1" showInputMessage="1" showErrorMessage="1" prompt="Automatikusan frissülő naptári év. Az év módosításához frissítse a Január munkalap B1 celláját" sqref="B1" xr:uid="{00000000-0002-0000-0200-000006000000}"/>
    <dataValidation allowBlank="1" showInputMessage="1" showErrorMessage="1" prompt="A Március havi naptárban automatikusan ki vannak emelve a havi feladatlista bejegyzései. A sötétebb betűk jelzik a feladatokat. A világosabb betűkkel jelzett napok az előző vagy a következő hónaphoz tartoznak" sqref="B2" xr:uid="{00000000-0002-0000-02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2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2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200-00000A000000}"/>
    <dataValidation allowBlank="1" showInputMessage="1" showErrorMessage="1" prompt="Ebben a sorban szerepelnek a hétköznapok, hétfőtől péntekig" sqref="B11" xr:uid="{00000000-0002-0000-0200-00000B000000}"/>
    <dataValidation allowBlank="1" showInputMessage="1" showErrorMessage="1" prompt="Adja meg a tantárgyak időpontját, alatta, új sorban pedig adja meg a tantárgyak nevét minden hétköznaphoz a B-I oszloptartományban. A következő sorokban ismételje ezeket a lépéseket a további tantárgyakra vonatkozóan." sqref="B10" xr:uid="{00000000-0002-0000-02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5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16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50" t="s">
        <v>30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0"/>
      <c r="L2" s="7"/>
    </row>
    <row r="3" spans="1:12" ht="30" customHeight="1" x14ac:dyDescent="0.25">
      <c r="A3" s="19"/>
      <c r="C3" s="58">
        <f>IF(DAY(ÁprVas1)=1,ÁprVas1-6,ÁprVas1+1)</f>
        <v>44284</v>
      </c>
      <c r="D3" s="58">
        <f>IF(DAY(ÁprVas1)=1,ÁprVas1-5,ÁprVas1+2)</f>
        <v>44285</v>
      </c>
      <c r="E3" s="58">
        <f>IF(DAY(ÁprVas1)=1,ÁprVas1-4,ÁprVas1+3)</f>
        <v>44286</v>
      </c>
      <c r="F3" s="58">
        <f>IF(DAY(ÁprVas1)=1,ÁprVas1-3,ÁprVas1+4)</f>
        <v>44287</v>
      </c>
      <c r="G3" s="58">
        <f>IF(DAY(ÁprVas1)=1,ÁprVas1-2,ÁprVas1+5)</f>
        <v>44288</v>
      </c>
      <c r="H3" s="58">
        <f>IF(DAY(ÁprVas1)=1,ÁprVas1-1,ÁprVas1+6)</f>
        <v>44289</v>
      </c>
      <c r="I3" s="58">
        <f>IF(DAY(ÁprVas1)=1,ÁprVas1,ÁprVas1+7)</f>
        <v>44290</v>
      </c>
      <c r="K3" s="3"/>
      <c r="L3" s="10"/>
    </row>
    <row r="4" spans="1:12" ht="30" customHeight="1" x14ac:dyDescent="0.25">
      <c r="A4" s="19"/>
      <c r="C4" s="58">
        <f>IF(DAY(ÁprVas1)=1,ÁprVas1+1,ÁprVas1+8)</f>
        <v>44291</v>
      </c>
      <c r="D4" s="58">
        <f>IF(DAY(ÁprVas1)=1,ÁprVas1+2,ÁprVas1+9)</f>
        <v>44292</v>
      </c>
      <c r="E4" s="58">
        <f>IF(DAY(ÁprVas1)=1,ÁprVas1+3,ÁprVas1+10)</f>
        <v>44293</v>
      </c>
      <c r="F4" s="58">
        <f>IF(DAY(ÁprVas1)=1,ÁprVas1+4,ÁprVas1+11)</f>
        <v>44294</v>
      </c>
      <c r="G4" s="58">
        <f>IF(DAY(ÁprVas1)=1,ÁprVas1+5,ÁprVas1+12)</f>
        <v>44295</v>
      </c>
      <c r="H4" s="58">
        <f>IF(DAY(ÁprVas1)=1,ÁprVas1+6,ÁprVas1+13)</f>
        <v>44296</v>
      </c>
      <c r="I4" s="58">
        <f>IF(DAY(ÁprVas1)=1,ÁprVas1+7,ÁprVas1+14)</f>
        <v>44297</v>
      </c>
      <c r="K4" s="3"/>
      <c r="L4" s="10"/>
    </row>
    <row r="5" spans="1:12" ht="30" customHeight="1" x14ac:dyDescent="0.25">
      <c r="A5" s="19"/>
      <c r="C5" s="58">
        <f>IF(DAY(ÁprVas1)=1,ÁprVas1+8,ÁprVas1+15)</f>
        <v>44298</v>
      </c>
      <c r="D5" s="58">
        <f>IF(DAY(ÁprVas1)=1,ÁprVas1+9,ÁprVas1+16)</f>
        <v>44299</v>
      </c>
      <c r="E5" s="58">
        <f>IF(DAY(ÁprVas1)=1,ÁprVas1+10,ÁprVas1+17)</f>
        <v>44300</v>
      </c>
      <c r="F5" s="58">
        <f>IF(DAY(ÁprVas1)=1,ÁprVas1+11,ÁprVas1+18)</f>
        <v>44301</v>
      </c>
      <c r="G5" s="58">
        <f>IF(DAY(ÁprVas1)=1,ÁprVas1+12,ÁprVas1+19)</f>
        <v>44302</v>
      </c>
      <c r="H5" s="58">
        <f>IF(DAY(ÁprVas1)=1,ÁprVas1+13,ÁprVas1+20)</f>
        <v>44303</v>
      </c>
      <c r="I5" s="58">
        <f>IF(DAY(ÁprVas1)=1,ÁprVas1+14,ÁprVas1+21)</f>
        <v>44304</v>
      </c>
      <c r="K5" s="3"/>
      <c r="L5" s="10"/>
    </row>
    <row r="6" spans="1:12" ht="30" customHeight="1" x14ac:dyDescent="0.25">
      <c r="A6" s="19"/>
      <c r="C6" s="58">
        <f>IF(DAY(ÁprVas1)=1,ÁprVas1+15,ÁprVas1+22)</f>
        <v>44305</v>
      </c>
      <c r="D6" s="58">
        <f>IF(DAY(ÁprVas1)=1,ÁprVas1+16,ÁprVas1+23)</f>
        <v>44306</v>
      </c>
      <c r="E6" s="58">
        <f>IF(DAY(ÁprVas1)=1,ÁprVas1+17,ÁprVas1+24)</f>
        <v>44307</v>
      </c>
      <c r="F6" s="58">
        <f>IF(DAY(ÁprVas1)=1,ÁprVas1+18,ÁprVas1+25)</f>
        <v>44308</v>
      </c>
      <c r="G6" s="58">
        <f>IF(DAY(ÁprVas1)=1,ÁprVas1+19,ÁprVas1+26)</f>
        <v>44309</v>
      </c>
      <c r="H6" s="58">
        <f>IF(DAY(ÁprVas1)=1,ÁprVas1+20,ÁprVas1+27)</f>
        <v>44310</v>
      </c>
      <c r="I6" s="58">
        <f>IF(DAY(ÁprVas1)=1,ÁprVas1+21,ÁprVas1+28)</f>
        <v>44311</v>
      </c>
      <c r="K6" s="3"/>
      <c r="L6" s="10"/>
    </row>
    <row r="7" spans="1:12" ht="30" customHeight="1" x14ac:dyDescent="0.25">
      <c r="A7" s="19"/>
      <c r="C7" s="58">
        <f>IF(DAY(ÁprVas1)=1,ÁprVas1+22,ÁprVas1+29)</f>
        <v>44312</v>
      </c>
      <c r="D7" s="58">
        <f>IF(DAY(ÁprVas1)=1,ÁprVas1+23,ÁprVas1+30)</f>
        <v>44313</v>
      </c>
      <c r="E7" s="58">
        <f>IF(DAY(ÁprVas1)=1,ÁprVas1+24,ÁprVas1+31)</f>
        <v>44314</v>
      </c>
      <c r="F7" s="58">
        <f>IF(DAY(ÁprVas1)=1,ÁprVas1+25,ÁprVas1+32)</f>
        <v>44315</v>
      </c>
      <c r="G7" s="58">
        <f>IF(DAY(ÁprVas1)=1,ÁprVas1+26,ÁprVas1+33)</f>
        <v>44316</v>
      </c>
      <c r="H7" s="58">
        <f>IF(DAY(ÁprVas1)=1,ÁprVas1+27,ÁprVas1+34)</f>
        <v>44317</v>
      </c>
      <c r="I7" s="58">
        <f>IF(DAY(ÁprVas1)=1,ÁprVas1+28,ÁprVas1+35)</f>
        <v>44318</v>
      </c>
      <c r="J7" s="1"/>
      <c r="K7" s="31"/>
      <c r="L7" s="26"/>
    </row>
    <row r="8" spans="1:12" ht="30" customHeight="1" x14ac:dyDescent="0.25">
      <c r="A8" s="19"/>
      <c r="B8" s="25"/>
      <c r="C8" s="58">
        <f>IF(DAY(ÁprVas1)=1,ÁprVas1+29,ÁprVas1+36)</f>
        <v>44319</v>
      </c>
      <c r="D8" s="58">
        <f>IF(DAY(ÁprVas1)=1,ÁprVas1+30,ÁprVas1+37)</f>
        <v>44320</v>
      </c>
      <c r="E8" s="58">
        <f>IF(DAY(ÁprVas1)=1,ÁprVas1+31,ÁprVas1+38)</f>
        <v>44321</v>
      </c>
      <c r="F8" s="58">
        <f>IF(DAY(ÁprVas1)=1,ÁprVas1+32,ÁprVas1+39)</f>
        <v>44322</v>
      </c>
      <c r="G8" s="58">
        <f>IF(DAY(ÁprVas1)=1,ÁprVas1+33,ÁprVas1+40)</f>
        <v>44323</v>
      </c>
      <c r="H8" s="58">
        <f>IF(DAY(ÁprVas1)=1,ÁprVas1+34,ÁprVas1+41)</f>
        <v>44324</v>
      </c>
      <c r="I8" s="58">
        <f>IF(DAY(ÁprVas1)=1,ÁprVas1+35,ÁprVas1+42)</f>
        <v>44325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K10" s="3"/>
      <c r="L10" s="10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K11" s="3"/>
      <c r="L11" s="10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4" t="s">
        <v>5</v>
      </c>
      <c r="K12" s="3"/>
      <c r="L12" s="10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1"/>
      <c r="K13" s="31"/>
      <c r="L13" s="26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4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K15" s="3"/>
      <c r="L15" s="10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5" t="s">
        <v>7</v>
      </c>
      <c r="K16" s="3"/>
      <c r="L16" s="10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K17" s="3"/>
      <c r="L17" s="10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4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4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K21" s="3"/>
      <c r="L21" s="10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4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K23" s="3"/>
      <c r="L23" s="10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4" t="s">
        <v>9</v>
      </c>
      <c r="K24" s="3"/>
      <c r="L24" s="10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1"/>
      <c r="K25" s="31"/>
      <c r="L25" s="32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4"/>
      <c r="J26" s="16" t="s">
        <v>20</v>
      </c>
      <c r="K26" s="30"/>
      <c r="L26" s="10" t="s">
        <v>31</v>
      </c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K27" s="3"/>
      <c r="L27" s="10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4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K29" s="3"/>
      <c r="L29" s="10"/>
    </row>
    <row r="30" spans="1:12" ht="30" customHeight="1" x14ac:dyDescent="0.25">
      <c r="A30" s="35" t="s">
        <v>1</v>
      </c>
      <c r="B30" s="60"/>
      <c r="C30" s="61"/>
      <c r="D30" s="61"/>
      <c r="E30" s="61"/>
      <c r="F30" s="61"/>
      <c r="G30" s="61"/>
      <c r="H30" s="61"/>
      <c r="I30" s="64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64" priority="6" stopIfTrue="1">
      <formula>DAY(C3)&gt;8</formula>
    </cfRule>
  </conditionalFormatting>
  <conditionalFormatting sqref="C7:I8">
    <cfRule type="expression" dxfId="63" priority="5" stopIfTrue="1">
      <formula>AND(DAY(C7)&gt;=1,DAY(C7)&lt;=15)</formula>
    </cfRule>
  </conditionalFormatting>
  <conditionalFormatting sqref="C3:I8">
    <cfRule type="expression" dxfId="62" priority="7">
      <formula>VLOOKUP(DAY(C3),FeladatNapok,1,FALSE)=DAY(C3)</formula>
    </cfRule>
  </conditionalFormatting>
  <conditionalFormatting sqref="B13:I13 B15:I15 B17:I17 B19:I19 B21:I21 B23:I23 B25:I25 B27:I27 B29:I29 B31:I31">
    <cfRule type="expression" dxfId="61" priority="4">
      <formula>B13&lt;&gt;""</formula>
    </cfRule>
  </conditionalFormatting>
  <conditionalFormatting sqref="B12:I12 B14:I14 B16:I16 B18:I18 B20:I20 B22:I22 B24:I24 B26:I26 B28:I28 B30:I30">
    <cfRule type="expression" dxfId="60" priority="3">
      <formula>B12&lt;&gt;""</formula>
    </cfRule>
  </conditionalFormatting>
  <conditionalFormatting sqref="B13:I13 B15:I15 B17:I17 B19:I19 B21:I21 B23:I23 B25:I25 B27:I27 B29:I29">
    <cfRule type="expression" dxfId="59" priority="2">
      <formula>COLUMN(B12)&gt;=2</formula>
    </cfRule>
  </conditionalFormatting>
  <conditionalFormatting sqref="B12:I31">
    <cfRule type="expression" dxfId="58" priority="1">
      <formula>COLUMN(B12)&gt;2</formula>
    </cfRule>
  </conditionalFormatting>
  <dataValidations xWindow="209" yWindow="929" count="13">
    <dataValidation allowBlank="1" showInputMessage="1" showErrorMessage="1" prompt="Az Április havi naptárban automatikusan ki vannak emelve a havi feladatlista bejegyzései. A sötétebb betűk jelzik a feladatokat. A világosabb betűkkel jelzett napok az előző vagy a következő hónaphoz tartoznak" sqref="B2" xr:uid="{00000000-0002-0000-0300-000000000000}"/>
    <dataValidation allowBlank="1" showInputMessage="1" showErrorMessage="1" prompt="Automatikusan frissülő naptári év. Az év módosításához frissítse a Január munkalap B1 celláját" sqref="B1" xr:uid="{00000000-0002-0000-0300-000001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300-000002000000}"/>
    <dataValidation allowBlank="1" showInputMessage="1" showErrorMessage="1" prompt="A C2:I2 cellatartományban a hétköznapok szerepelnek" sqref="C2" xr:uid="{00000000-0002-0000-0300-000003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300-000004000000}"/>
    <dataValidation allowBlank="1" showInputMessage="1" showErrorMessage="1" prompt="Ha ez a sor kisebb számot tartalmaz, mint az előző szám vagy számsor, akkor ez a sor a következő naptári hónap dátumait tartalmazza" sqref="C8" xr:uid="{00000000-0002-0000-0300-000005000000}"/>
    <dataValidation allowBlank="1" showInputMessage="1" showErrorMessage="1" prompt="Írja be az időpontokat a B-I oszloptartományból ebbe a sorba" sqref="B12" xr:uid="{00000000-0002-0000-0300-000006000000}"/>
    <dataValidation allowBlank="1" showInputMessage="1" showErrorMessage="1" prompt="Írja be a tantárgyakat a B-I oszloptartományból ebbe a sorba" sqref="B13" xr:uid="{00000000-0002-0000-03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3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3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300-00000A000000}"/>
    <dataValidation allowBlank="1" showInputMessage="1" showErrorMessage="1" prompt="Ebben a sorban szerepelnek a hétköznapok, hétfőtől péntekig" sqref="B11" xr:uid="{00000000-0002-0000-0300-00000B000000}"/>
    <dataValidation allowBlank="1" showInputMessage="1" showErrorMessage="1" prompt="Adja meg a tantárgyak időpontját, alatt, új sorban pedig adja meg a tantárgyak nevét minden hétköznaphoz a B-I oszloptartományban. A következő sorokban ismételje ezeket a lépéseket a további tantárgyakra vonatkozóan." sqref="B10" xr:uid="{00000000-0002-0000-03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50" t="s">
        <v>32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0"/>
      <c r="L2" s="24"/>
    </row>
    <row r="3" spans="1:12" ht="30" customHeight="1" x14ac:dyDescent="0.25">
      <c r="A3" s="19"/>
      <c r="C3" s="58">
        <f>IF(DAY(MájVas1)=1,MájVas1-6,MájVas1+1)</f>
        <v>44312</v>
      </c>
      <c r="D3" s="58">
        <f>IF(DAY(MájVas1)=1,MájVas1-5,MájVas1+2)</f>
        <v>44313</v>
      </c>
      <c r="E3" s="58">
        <f>IF(DAY(MájVas1)=1,MájVas1-4,MájVas1+3)</f>
        <v>44314</v>
      </c>
      <c r="F3" s="58">
        <f>IF(DAY(MájVas1)=1,MájVas1-3,MájVas1+4)</f>
        <v>44315</v>
      </c>
      <c r="G3" s="58">
        <f>IF(DAY(MájVas1)=1,MájVas1-2,MájVas1+5)</f>
        <v>44316</v>
      </c>
      <c r="H3" s="58">
        <f>IF(DAY(MájVas1)=1,MájVas1-1,MájVas1+6)</f>
        <v>44317</v>
      </c>
      <c r="I3" s="58">
        <f>IF(DAY(MájVas1)=1,MájVas1,MájVas1+7)</f>
        <v>44318</v>
      </c>
      <c r="J3" s="16"/>
      <c r="K3" s="3"/>
      <c r="L3" s="24"/>
    </row>
    <row r="4" spans="1:12" ht="30" customHeight="1" x14ac:dyDescent="0.25">
      <c r="A4" s="19"/>
      <c r="C4" s="58">
        <f>IF(DAY(MájVas1)=1,MájVas1+1,MájVas1+8)</f>
        <v>44319</v>
      </c>
      <c r="D4" s="58">
        <f>IF(DAY(MájVas1)=1,MájVas1+2,MájVas1+9)</f>
        <v>44320</v>
      </c>
      <c r="E4" s="58">
        <f>IF(DAY(MájVas1)=1,MájVas1+3,MájVas1+10)</f>
        <v>44321</v>
      </c>
      <c r="F4" s="58">
        <f>IF(DAY(MájVas1)=1,MájVas1+4,MájVas1+11)</f>
        <v>44322</v>
      </c>
      <c r="G4" s="58">
        <f>IF(DAY(MájVas1)=1,MájVas1+5,MájVas1+12)</f>
        <v>44323</v>
      </c>
      <c r="H4" s="58">
        <f>IF(DAY(MájVas1)=1,MájVas1+6,MájVas1+13)</f>
        <v>44324</v>
      </c>
      <c r="I4" s="58">
        <f>IF(DAY(MájVas1)=1,MájVas1+7,MájVas1+14)</f>
        <v>44325</v>
      </c>
      <c r="J4" s="16"/>
      <c r="K4" s="3"/>
      <c r="L4" s="24"/>
    </row>
    <row r="5" spans="1:12" ht="30" customHeight="1" x14ac:dyDescent="0.25">
      <c r="A5" s="19"/>
      <c r="C5" s="58">
        <f>IF(DAY(MájVas1)=1,MájVas1+8,MájVas1+15)</f>
        <v>44326</v>
      </c>
      <c r="D5" s="58">
        <f>IF(DAY(MájVas1)=1,MájVas1+9,MájVas1+16)</f>
        <v>44327</v>
      </c>
      <c r="E5" s="58">
        <f>IF(DAY(MájVas1)=1,MájVas1+10,MájVas1+17)</f>
        <v>44328</v>
      </c>
      <c r="F5" s="58">
        <f>IF(DAY(MájVas1)=1,MájVas1+11,MájVas1+18)</f>
        <v>44329</v>
      </c>
      <c r="G5" s="58">
        <f>IF(DAY(MájVas1)=1,MájVas1+12,MájVas1+19)</f>
        <v>44330</v>
      </c>
      <c r="H5" s="58">
        <f>IF(DAY(MájVas1)=1,MájVas1+13,MájVas1+20)</f>
        <v>44331</v>
      </c>
      <c r="I5" s="58">
        <f>IF(DAY(MájVas1)=1,MájVas1+14,MájVas1+21)</f>
        <v>44332</v>
      </c>
      <c r="J5" s="16"/>
      <c r="K5" s="3"/>
      <c r="L5" s="24"/>
    </row>
    <row r="6" spans="1:12" ht="30" customHeight="1" x14ac:dyDescent="0.25">
      <c r="A6" s="19"/>
      <c r="C6" s="58">
        <f>IF(DAY(MájVas1)=1,MájVas1+15,MájVas1+22)</f>
        <v>44333</v>
      </c>
      <c r="D6" s="58">
        <f>IF(DAY(MájVas1)=1,MájVas1+16,MájVas1+23)</f>
        <v>44334</v>
      </c>
      <c r="E6" s="58">
        <f>IF(DAY(MájVas1)=1,MájVas1+17,MájVas1+24)</f>
        <v>44335</v>
      </c>
      <c r="F6" s="58">
        <f>IF(DAY(MájVas1)=1,MájVas1+18,MájVas1+25)</f>
        <v>44336</v>
      </c>
      <c r="G6" s="58">
        <f>IF(DAY(MájVas1)=1,MájVas1+19,MájVas1+26)</f>
        <v>44337</v>
      </c>
      <c r="H6" s="58">
        <f>IF(DAY(MájVas1)=1,MájVas1+20,MájVas1+27)</f>
        <v>44338</v>
      </c>
      <c r="I6" s="58">
        <f>IF(DAY(MájVas1)=1,MájVas1+21,MájVas1+28)</f>
        <v>44339</v>
      </c>
      <c r="J6" s="16"/>
      <c r="K6" s="3"/>
      <c r="L6" s="24"/>
    </row>
    <row r="7" spans="1:12" ht="30" customHeight="1" x14ac:dyDescent="0.25">
      <c r="A7" s="19"/>
      <c r="C7" s="58">
        <f>IF(DAY(MájVas1)=1,MájVas1+22,MájVas1+29)</f>
        <v>44340</v>
      </c>
      <c r="D7" s="58">
        <f>IF(DAY(MájVas1)=1,MájVas1+23,MájVas1+30)</f>
        <v>44341</v>
      </c>
      <c r="E7" s="58">
        <f>IF(DAY(MájVas1)=1,MájVas1+24,MájVas1+31)</f>
        <v>44342</v>
      </c>
      <c r="F7" s="58">
        <f>IF(DAY(MájVas1)=1,MájVas1+25,MájVas1+32)</f>
        <v>44343</v>
      </c>
      <c r="G7" s="58">
        <f>IF(DAY(MájVas1)=1,MájVas1+26,MájVas1+33)</f>
        <v>44344</v>
      </c>
      <c r="H7" s="58">
        <f>IF(DAY(MájVas1)=1,MájVas1+27,MájVas1+34)</f>
        <v>44345</v>
      </c>
      <c r="I7" s="58">
        <f>IF(DAY(MájVas1)=1,MájVas1+28,MájVas1+35)</f>
        <v>44346</v>
      </c>
      <c r="J7" s="29"/>
      <c r="K7" s="27"/>
      <c r="L7" s="25"/>
    </row>
    <row r="8" spans="1:12" ht="30" customHeight="1" x14ac:dyDescent="0.25">
      <c r="A8" s="19"/>
      <c r="B8" s="25"/>
      <c r="C8" s="58">
        <f>IF(DAY(MájVas1)=1,MájVas1+29,MájVas1+36)</f>
        <v>44347</v>
      </c>
      <c r="D8" s="58">
        <f>IF(DAY(MájVas1)=1,MájVas1+30,MájVas1+37)</f>
        <v>44348</v>
      </c>
      <c r="E8" s="58">
        <f>IF(DAY(MájVas1)=1,MájVas1+31,MájVas1+38)</f>
        <v>44349</v>
      </c>
      <c r="F8" s="58">
        <f>IF(DAY(MájVas1)=1,MájVas1+32,MájVas1+39)</f>
        <v>44350</v>
      </c>
      <c r="G8" s="58">
        <f>IF(DAY(MájVas1)=1,MájVas1+33,MájVas1+40)</f>
        <v>44351</v>
      </c>
      <c r="H8" s="58">
        <f>IF(DAY(MájVas1)=1,MájVas1+34,MájVas1+41)</f>
        <v>44352</v>
      </c>
      <c r="I8" s="58">
        <f>IF(DAY(MájVas1)=1,MájVas1+35,MájVas1+42)</f>
        <v>44353</v>
      </c>
      <c r="J8" s="16" t="s">
        <v>13</v>
      </c>
      <c r="K8" s="30"/>
      <c r="L8" s="24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24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4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24"/>
    </row>
    <row r="12" spans="1:12" ht="30" customHeight="1" x14ac:dyDescent="0.25">
      <c r="A12" s="35" t="s">
        <v>1</v>
      </c>
      <c r="B12" s="60">
        <v>0.33333333333333331</v>
      </c>
      <c r="C12" s="61"/>
      <c r="D12" s="61"/>
      <c r="E12" s="61" t="s">
        <v>5</v>
      </c>
      <c r="F12" s="61"/>
      <c r="G12" s="61"/>
      <c r="H12" s="61"/>
      <c r="I12" s="64" t="s">
        <v>5</v>
      </c>
      <c r="J12" s="16"/>
      <c r="K12" s="3"/>
      <c r="L12" s="24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29"/>
      <c r="K13" s="27"/>
      <c r="L13" s="25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4"/>
      <c r="J14" s="46" t="s">
        <v>18</v>
      </c>
      <c r="K14" s="30"/>
      <c r="L14" s="24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24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5" t="s">
        <v>7</v>
      </c>
      <c r="J16" s="16"/>
      <c r="K16" s="3"/>
      <c r="L16" s="24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3"/>
      <c r="L17" s="24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4"/>
      <c r="J18" s="16"/>
      <c r="K18" s="3"/>
      <c r="L18" s="24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29"/>
      <c r="K19" s="27"/>
      <c r="L19" s="25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4"/>
      <c r="J20" s="16" t="s">
        <v>19</v>
      </c>
      <c r="K20" s="30"/>
      <c r="L20" s="24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24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4"/>
      <c r="J22" s="16"/>
      <c r="K22" s="3"/>
      <c r="L22" s="24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24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4" t="s">
        <v>9</v>
      </c>
      <c r="J24" s="16"/>
      <c r="K24" s="3"/>
      <c r="L24" s="24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29"/>
      <c r="K25" s="27"/>
      <c r="L25" s="25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4"/>
      <c r="J26" s="16" t="s">
        <v>20</v>
      </c>
      <c r="K26" s="30"/>
      <c r="L26" s="24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24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4"/>
      <c r="J28" s="16"/>
      <c r="K28" s="3"/>
      <c r="L28" s="24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24"/>
    </row>
    <row r="30" spans="1:12" ht="30" customHeight="1" x14ac:dyDescent="0.25">
      <c r="A30" s="35" t="s">
        <v>1</v>
      </c>
      <c r="B30" s="60"/>
      <c r="C30" s="61"/>
      <c r="D30" s="61"/>
      <c r="E30" s="61"/>
      <c r="F30" s="61"/>
      <c r="G30" s="61"/>
      <c r="H30" s="61"/>
      <c r="I30" s="64"/>
      <c r="J30" s="16"/>
      <c r="K30" s="3"/>
      <c r="L30" s="24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29"/>
      <c r="K31" s="27"/>
      <c r="L31" s="25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57" priority="6" stopIfTrue="1">
      <formula>DAY(C3)&gt;8</formula>
    </cfRule>
  </conditionalFormatting>
  <conditionalFormatting sqref="C7:I8">
    <cfRule type="expression" dxfId="56" priority="5" stopIfTrue="1">
      <formula>AND(DAY(C7)&gt;=1,DAY(C7)&lt;=15)</formula>
    </cfRule>
  </conditionalFormatting>
  <conditionalFormatting sqref="C3:I8">
    <cfRule type="expression" dxfId="55" priority="7">
      <formula>VLOOKUP(DAY(C3),FeladatNapok,1,FALSE)=DAY(C3)</formula>
    </cfRule>
  </conditionalFormatting>
  <conditionalFormatting sqref="B13:I13 B15:I15 B17:I17 B19:I19 B21:I21 B23:I23 B25:I25 B27:I27 B29:I29 B31:I31">
    <cfRule type="expression" dxfId="54" priority="4">
      <formula>B13&lt;&gt;""</formula>
    </cfRule>
  </conditionalFormatting>
  <conditionalFormatting sqref="B12:I12 B14:I14 B16:I16 B18:I18 B20:I20 B22:I22 B24:I24 B26:I26 B28:I28 B30:I30">
    <cfRule type="expression" dxfId="53" priority="3">
      <formula>B12&lt;&gt;""</formula>
    </cfRule>
  </conditionalFormatting>
  <conditionalFormatting sqref="B13:I13 B15:I15 B17:I17 B19:I19 B21:I21 B23:I23 B25:I25 B27:I27 B29:I29">
    <cfRule type="expression" dxfId="52" priority="2">
      <formula>COLUMN(B12)&gt;=2</formula>
    </cfRule>
  </conditionalFormatting>
  <conditionalFormatting sqref="B12:I31">
    <cfRule type="expression" dxfId="51" priority="1">
      <formula>COLUMN(B11)&gt;2</formula>
    </cfRule>
  </conditionalFormatting>
  <dataValidations count="13">
    <dataValidation allowBlank="1" showInputMessage="1" showErrorMessage="1" prompt="Írja be a tantárgyakat a B-I oszloptartományból ebbe a sorba" sqref="B13" xr:uid="{00000000-0002-0000-0400-000000000000}"/>
    <dataValidation allowBlank="1" showInputMessage="1" showErrorMessage="1" prompt="Írja be az időpontokat a B-I oszloptartományból ebbe a sorba" sqref="B12" xr:uid="{00000000-0002-0000-0400-000001000000}"/>
    <dataValidation allowBlank="1" showInputMessage="1" showErrorMessage="1" prompt="Ha ez a sor kisebb számot tartalmaz, mint az előző szám vagy számsor, akkor ez a sor a következő naptári hónap dátumait tartalmazza" sqref="C8" xr:uid="{00000000-0002-0000-0400-000002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400-000003000000}"/>
    <dataValidation allowBlank="1" showInputMessage="1" showErrorMessage="1" prompt="A C2:I2 cellatartományban a hétköznapok szerepelnek" sqref="C2" xr:uid="{00000000-0002-0000-0400-000004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400-000005000000}"/>
    <dataValidation allowBlank="1" showInputMessage="1" showErrorMessage="1" prompt="Automatikusan frissülő naptári év. Az év módosításához frissítse a Január munkalap B1 celláját" sqref="B1" xr:uid="{00000000-0002-0000-0400-000006000000}"/>
    <dataValidation allowBlank="1" showInputMessage="1" showErrorMessage="1" prompt="A Május havi naptárban automatikusan ki vannak emelve a havi feladatlista bejegyzései. A sötétebb betűk jelzik a feladatokat. A világosabb betűkkel jelzett napok az előző vagy a következő hónaphoz tartoznak" sqref="B2" xr:uid="{00000000-0002-0000-04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4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4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400-00000A000000}"/>
    <dataValidation allowBlank="1" showInputMessage="1" showErrorMessage="1" prompt="Ebben a sorban szerepelnek a hétköznapok, hétfőtől péntekig" sqref="B11" xr:uid="{00000000-0002-0000-0400-00000B000000}"/>
    <dataValidation allowBlank="1" showInputMessage="1" showErrorMessage="1" prompt="Adja meg a tantárgyak időpontját, alatta, új sorban pedig adja meg a tantárgyak nevét minden hétköznaphoz a B-I oszloptartományban. A következő sorokban ismételje ezeket a lépéseket a további tantárgyakra vonatkozóan." sqref="B10" xr:uid="{00000000-0002-0000-04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50" t="s">
        <v>33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0"/>
      <c r="L2" s="7"/>
    </row>
    <row r="3" spans="1:12" ht="30" customHeight="1" x14ac:dyDescent="0.25">
      <c r="A3" s="19"/>
      <c r="C3" s="58">
        <f>IF(DAY(JúnVas1)=1,JúnVas1-6,JúnVas1+1)</f>
        <v>44347</v>
      </c>
      <c r="D3" s="58">
        <f>IF(DAY(JúnVas1)=1,JúnVas1-5,JúnVas1+2)</f>
        <v>44348</v>
      </c>
      <c r="E3" s="58">
        <f>IF(DAY(JúnVas1)=1,JúnVas1-4,JúnVas1+3)</f>
        <v>44349</v>
      </c>
      <c r="F3" s="58">
        <f>IF(DAY(JúnVas1)=1,JúnVas1-3,JúnVas1+4)</f>
        <v>44350</v>
      </c>
      <c r="G3" s="58">
        <f>IF(DAY(JúnVas1)=1,JúnVas1-2,JúnVas1+5)</f>
        <v>44351</v>
      </c>
      <c r="H3" s="58">
        <f>IF(DAY(JúnVas1)=1,JúnVas1-1,JúnVas1+6)</f>
        <v>44352</v>
      </c>
      <c r="I3" s="58">
        <f>IF(DAY(JúnVas1)=1,JúnVas1,JúnVas1+7)</f>
        <v>44353</v>
      </c>
      <c r="J3" s="16"/>
      <c r="K3" s="3"/>
      <c r="L3" s="10"/>
    </row>
    <row r="4" spans="1:12" ht="30" customHeight="1" x14ac:dyDescent="0.25">
      <c r="A4" s="19"/>
      <c r="C4" s="58">
        <f>IF(DAY(JúnVas1)=1,JúnVas1+1,JúnVas1+8)</f>
        <v>44354</v>
      </c>
      <c r="D4" s="58">
        <f>IF(DAY(JúnVas1)=1,JúnVas1+2,JúnVas1+9)</f>
        <v>44355</v>
      </c>
      <c r="E4" s="58">
        <f>IF(DAY(JúnVas1)=1,JúnVas1+3,JúnVas1+10)</f>
        <v>44356</v>
      </c>
      <c r="F4" s="58">
        <f>IF(DAY(JúnVas1)=1,JúnVas1+4,JúnVas1+11)</f>
        <v>44357</v>
      </c>
      <c r="G4" s="58">
        <f>IF(DAY(JúnVas1)=1,JúnVas1+5,JúnVas1+12)</f>
        <v>44358</v>
      </c>
      <c r="H4" s="58">
        <f>IF(DAY(JúnVas1)=1,JúnVas1+6,JúnVas1+13)</f>
        <v>44359</v>
      </c>
      <c r="I4" s="58">
        <f>IF(DAY(JúnVas1)=1,JúnVas1+7,JúnVas1+14)</f>
        <v>44360</v>
      </c>
      <c r="J4" s="16"/>
      <c r="K4" s="3"/>
      <c r="L4" s="10"/>
    </row>
    <row r="5" spans="1:12" ht="30" customHeight="1" x14ac:dyDescent="0.25">
      <c r="A5" s="19"/>
      <c r="C5" s="58">
        <f>IF(DAY(JúnVas1)=1,JúnVas1+8,JúnVas1+15)</f>
        <v>44361</v>
      </c>
      <c r="D5" s="58">
        <f>IF(DAY(JúnVas1)=1,JúnVas1+9,JúnVas1+16)</f>
        <v>44362</v>
      </c>
      <c r="E5" s="58">
        <f>IF(DAY(JúnVas1)=1,JúnVas1+10,JúnVas1+17)</f>
        <v>44363</v>
      </c>
      <c r="F5" s="58">
        <f>IF(DAY(JúnVas1)=1,JúnVas1+11,JúnVas1+18)</f>
        <v>44364</v>
      </c>
      <c r="G5" s="58">
        <f>IF(DAY(JúnVas1)=1,JúnVas1+12,JúnVas1+19)</f>
        <v>44365</v>
      </c>
      <c r="H5" s="58">
        <f>IF(DAY(JúnVas1)=1,JúnVas1+13,JúnVas1+20)</f>
        <v>44366</v>
      </c>
      <c r="I5" s="58">
        <f>IF(DAY(JúnVas1)=1,JúnVas1+14,JúnVas1+21)</f>
        <v>44367</v>
      </c>
      <c r="J5" s="16"/>
      <c r="K5" s="3"/>
      <c r="L5" s="10"/>
    </row>
    <row r="6" spans="1:12" ht="30" customHeight="1" x14ac:dyDescent="0.25">
      <c r="A6" s="19"/>
      <c r="C6" s="58">
        <f>IF(DAY(JúnVas1)=1,JúnVas1+15,JúnVas1+22)</f>
        <v>44368</v>
      </c>
      <c r="D6" s="58">
        <f>IF(DAY(JúnVas1)=1,JúnVas1+16,JúnVas1+23)</f>
        <v>44369</v>
      </c>
      <c r="E6" s="58">
        <f>IF(DAY(JúnVas1)=1,JúnVas1+17,JúnVas1+24)</f>
        <v>44370</v>
      </c>
      <c r="F6" s="58">
        <f>IF(DAY(JúnVas1)=1,JúnVas1+18,JúnVas1+25)</f>
        <v>44371</v>
      </c>
      <c r="G6" s="58">
        <f>IF(DAY(JúnVas1)=1,JúnVas1+19,JúnVas1+26)</f>
        <v>44372</v>
      </c>
      <c r="H6" s="58">
        <f>IF(DAY(JúnVas1)=1,JúnVas1+20,JúnVas1+27)</f>
        <v>44373</v>
      </c>
      <c r="I6" s="58">
        <f>IF(DAY(JúnVas1)=1,JúnVas1+21,JúnVas1+28)</f>
        <v>44374</v>
      </c>
      <c r="J6" s="16"/>
      <c r="K6" s="3"/>
      <c r="L6" s="10"/>
    </row>
    <row r="7" spans="1:12" ht="30" customHeight="1" x14ac:dyDescent="0.2">
      <c r="A7" s="19"/>
      <c r="C7" s="58">
        <f>IF(DAY(JúnVas1)=1,JúnVas1+22,JúnVas1+29)</f>
        <v>44375</v>
      </c>
      <c r="D7" s="58">
        <f>IF(DAY(JúnVas1)=1,JúnVas1+23,JúnVas1+30)</f>
        <v>44376</v>
      </c>
      <c r="E7" s="58">
        <f>IF(DAY(JúnVas1)=1,JúnVas1+24,JúnVas1+31)</f>
        <v>44377</v>
      </c>
      <c r="F7" s="58">
        <f>IF(DAY(JúnVas1)=1,JúnVas1+25,JúnVas1+32)</f>
        <v>44378</v>
      </c>
      <c r="G7" s="58">
        <f>IF(DAY(JúnVas1)=1,JúnVas1+26,JúnVas1+33)</f>
        <v>44379</v>
      </c>
      <c r="H7" s="58">
        <f>IF(DAY(JúnVas1)=1,JúnVas1+27,JúnVas1+34)</f>
        <v>44380</v>
      </c>
      <c r="I7" s="58">
        <f>IF(DAY(JúnVas1)=1,JúnVas1+28,JúnVas1+35)</f>
        <v>44381</v>
      </c>
      <c r="J7" s="51"/>
      <c r="K7" s="51"/>
      <c r="L7" s="51"/>
    </row>
    <row r="8" spans="1:12" ht="30" customHeight="1" x14ac:dyDescent="0.25">
      <c r="A8" s="19"/>
      <c r="B8" s="25"/>
      <c r="C8" s="58">
        <f>IF(DAY(JúnVas1)=1,JúnVas1+29,JúnVas1+36)</f>
        <v>44382</v>
      </c>
      <c r="D8" s="58">
        <f>IF(DAY(JúnVas1)=1,JúnVas1+30,JúnVas1+37)</f>
        <v>44383</v>
      </c>
      <c r="E8" s="58">
        <f>IF(DAY(JúnVas1)=1,JúnVas1+31,JúnVas1+38)</f>
        <v>44384</v>
      </c>
      <c r="F8" s="58">
        <f>IF(DAY(JúnVas1)=1,JúnVas1+32,JúnVas1+39)</f>
        <v>44385</v>
      </c>
      <c r="G8" s="58">
        <f>IF(DAY(JúnVas1)=1,JúnVas1+33,JúnVas1+40)</f>
        <v>44386</v>
      </c>
      <c r="H8" s="58">
        <f>IF(DAY(JúnVas1)=1,JúnVas1+34,JúnVas1+41)</f>
        <v>44387</v>
      </c>
      <c r="I8" s="58">
        <f>IF(DAY(JúnVas1)=1,JúnVas1+35,JúnVas1+42)</f>
        <v>44388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4" t="s">
        <v>5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1"/>
      <c r="K13" s="31"/>
      <c r="L13" s="26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4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5" t="s">
        <v>7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3"/>
      <c r="L17" s="10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4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4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4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4" t="s">
        <v>9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1"/>
      <c r="K25" s="31"/>
      <c r="L25" s="32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4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4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60"/>
      <c r="C30" s="61"/>
      <c r="D30" s="61"/>
      <c r="E30" s="61"/>
      <c r="F30" s="61"/>
      <c r="G30" s="61"/>
      <c r="H30" s="61"/>
      <c r="I30" s="64"/>
      <c r="J30" s="16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50" priority="6" stopIfTrue="1">
      <formula>DAY(C3)&gt;8</formula>
    </cfRule>
  </conditionalFormatting>
  <conditionalFormatting sqref="C7:I8">
    <cfRule type="expression" dxfId="49" priority="5" stopIfTrue="1">
      <formula>AND(DAY(C7)&gt;=1,DAY(C7)&lt;=15)</formula>
    </cfRule>
  </conditionalFormatting>
  <conditionalFormatting sqref="C3:I8">
    <cfRule type="expression" dxfId="48" priority="7">
      <formula>VLOOKUP(DAY(C3),FeladatNapok,1,FALSE)=DAY(C3)</formula>
    </cfRule>
  </conditionalFormatting>
  <conditionalFormatting sqref="B13:I13 B15:I15 B17:I17 B19:I19 B21:I21 B23:I23 B25:I25 B27:I27 B29:I29 B31:I31">
    <cfRule type="expression" dxfId="47" priority="4">
      <formula>B13&lt;&gt;""</formula>
    </cfRule>
  </conditionalFormatting>
  <conditionalFormatting sqref="B12:I12 B14:I14 B16:I16 B18:I18 B20:I20 B22:I22 B24:I24 B26:I26 B28:I28 B30:I30">
    <cfRule type="expression" dxfId="46" priority="3">
      <formula>B12&lt;&gt;""</formula>
    </cfRule>
  </conditionalFormatting>
  <conditionalFormatting sqref="B13:I13 B15:I15 B17:I17 B19:I19 B21:I21 B23:I23 B25:I25 B27:I27 B29:I29">
    <cfRule type="expression" dxfId="45" priority="2">
      <formula>COLUMN(B13)&gt;=2</formula>
    </cfRule>
  </conditionalFormatting>
  <conditionalFormatting sqref="B12:I31">
    <cfRule type="expression" dxfId="44" priority="1">
      <formula>COLUMN(B12)&gt;2</formula>
    </cfRule>
  </conditionalFormatting>
  <dataValidations xWindow="282" yWindow="780" count="13">
    <dataValidation allowBlank="1" showInputMessage="1" showErrorMessage="1" prompt="A Június havi naptárban automatikusan ki vannak emelve a havi feladatlista bejegyzései. A sötétebb betűk jelzik a feladatokat. A világosabb betűkkel jelzett napok az előző vagy a következő hónaphoz tartoznak" sqref="B2" xr:uid="{00000000-0002-0000-0500-000000000000}"/>
    <dataValidation allowBlank="1" showInputMessage="1" showErrorMessage="1" prompt="Automatikusan frissülő naptári év. Az év módosításához frissítse a Január munkalap B1 celláját" sqref="B1" xr:uid="{00000000-0002-0000-0500-000001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500-000002000000}"/>
    <dataValidation allowBlank="1" showInputMessage="1" showErrorMessage="1" prompt="A C2:I2 cellatartományban a hétköznapok szerepelnek" sqref="C2" xr:uid="{00000000-0002-0000-0500-000003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500-000004000000}"/>
    <dataValidation allowBlank="1" showInputMessage="1" showErrorMessage="1" prompt="Ha ez a sor kisebb számot tartalmaz, mint az előző szám vagy számsor, akkor ez a sor a következő naptári hónap dátumait tartalmazza" sqref="C8" xr:uid="{00000000-0002-0000-0500-000005000000}"/>
    <dataValidation allowBlank="1" showInputMessage="1" showErrorMessage="1" prompt="Írja be az időpontokat a B-I oszloptartományból ebbe a sorba" sqref="B12" xr:uid="{00000000-0002-0000-0500-000006000000}"/>
    <dataValidation allowBlank="1" showInputMessage="1" showErrorMessage="1" prompt="Írja be a tantárgyakat a B-I oszloptartományból ebbe a sorba" sqref="B13" xr:uid="{00000000-0002-0000-05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5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5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500-00000A000000}"/>
    <dataValidation allowBlank="1" showInputMessage="1" showErrorMessage="1" prompt="Ebben a sorban szerepelnek a hétköznapok, hétfőtől péntekig" sqref="B11" xr:uid="{00000000-0002-0000-0500-00000B000000}"/>
    <dataValidation allowBlank="1" showInputMessage="1" showErrorMessage="1" prompt="Adja meg a tantárgyak időpontját, alatt, új sorban pedig adja meg a tantárgyak nevét minden hétköznaphoz a B-I oszloptartományban. A következő sorokban ismételje ezeket a lépéseket a további tantárgyakra vonatkozóan." sqref="B10" xr:uid="{00000000-0002-0000-05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34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0"/>
      <c r="L2" s="7"/>
    </row>
    <row r="3" spans="1:12" ht="30" customHeight="1" x14ac:dyDescent="0.25">
      <c r="A3" s="19"/>
      <c r="C3" s="58">
        <f>IF(DAY(JúlVas1)=1,JúlVas1-6,JúlVas1+1)</f>
        <v>44375</v>
      </c>
      <c r="D3" s="58">
        <f>IF(DAY(JúlVas1)=1,JúlVas1-5,JúlVas1+2)</f>
        <v>44376</v>
      </c>
      <c r="E3" s="58">
        <f>IF(DAY(JúlVas1)=1,JúlVas1-4,JúlVas1+3)</f>
        <v>44377</v>
      </c>
      <c r="F3" s="58">
        <f>IF(DAY(JúlVas1)=1,JúlVas1-3,JúlVas1+4)</f>
        <v>44378</v>
      </c>
      <c r="G3" s="58">
        <f>IF(DAY(JúlVas1)=1,JúlVas1-2,JúlVas1+5)</f>
        <v>44379</v>
      </c>
      <c r="H3" s="58">
        <f>IF(DAY(JúlVas1)=1,JúlVas1-1,JúlVas1+6)</f>
        <v>44380</v>
      </c>
      <c r="I3" s="58">
        <f>IF(DAY(JúlVas1)=1,JúlVas1,JúlVas1+7)</f>
        <v>44381</v>
      </c>
      <c r="J3" s="16"/>
      <c r="K3" s="3"/>
      <c r="L3" s="10"/>
    </row>
    <row r="4" spans="1:12" ht="30" customHeight="1" x14ac:dyDescent="0.25">
      <c r="A4" s="19"/>
      <c r="C4" s="58">
        <f>IF(DAY(JúlVas1)=1,JúlVas1+1,JúlVas1+8)</f>
        <v>44382</v>
      </c>
      <c r="D4" s="58">
        <f>IF(DAY(JúlVas1)=1,JúlVas1+2,JúlVas1+9)</f>
        <v>44383</v>
      </c>
      <c r="E4" s="58">
        <f>IF(DAY(JúlVas1)=1,JúlVas1+3,JúlVas1+10)</f>
        <v>44384</v>
      </c>
      <c r="F4" s="58">
        <f>IF(DAY(JúlVas1)=1,JúlVas1+4,JúlVas1+11)</f>
        <v>44385</v>
      </c>
      <c r="G4" s="58">
        <f>IF(DAY(JúlVas1)=1,JúlVas1+5,JúlVas1+12)</f>
        <v>44386</v>
      </c>
      <c r="H4" s="58">
        <f>IF(DAY(JúlVas1)=1,JúlVas1+6,JúlVas1+13)</f>
        <v>44387</v>
      </c>
      <c r="I4" s="58">
        <f>IF(DAY(JúlVas1)=1,JúlVas1+7,JúlVas1+14)</f>
        <v>44388</v>
      </c>
      <c r="J4" s="16"/>
      <c r="K4" s="3"/>
      <c r="L4" s="10"/>
    </row>
    <row r="5" spans="1:12" ht="30" customHeight="1" x14ac:dyDescent="0.25">
      <c r="A5" s="19"/>
      <c r="C5" s="58">
        <f>IF(DAY(JúlVas1)=1,JúlVas1+8,JúlVas1+15)</f>
        <v>44389</v>
      </c>
      <c r="D5" s="58">
        <f>IF(DAY(JúlVas1)=1,JúlVas1+9,JúlVas1+16)</f>
        <v>44390</v>
      </c>
      <c r="E5" s="58">
        <f>IF(DAY(JúlVas1)=1,JúlVas1+10,JúlVas1+17)</f>
        <v>44391</v>
      </c>
      <c r="F5" s="58">
        <f>IF(DAY(JúlVas1)=1,JúlVas1+11,JúlVas1+18)</f>
        <v>44392</v>
      </c>
      <c r="G5" s="58">
        <f>IF(DAY(JúlVas1)=1,JúlVas1+12,JúlVas1+19)</f>
        <v>44393</v>
      </c>
      <c r="H5" s="58">
        <f>IF(DAY(JúlVas1)=1,JúlVas1+13,JúlVas1+20)</f>
        <v>44394</v>
      </c>
      <c r="I5" s="58">
        <f>IF(DAY(JúlVas1)=1,JúlVas1+14,JúlVas1+21)</f>
        <v>44395</v>
      </c>
      <c r="J5" s="16"/>
      <c r="K5" s="3"/>
      <c r="L5" s="10"/>
    </row>
    <row r="6" spans="1:12" ht="30" customHeight="1" x14ac:dyDescent="0.25">
      <c r="A6" s="19"/>
      <c r="C6" s="58">
        <f>IF(DAY(JúlVas1)=1,JúlVas1+15,JúlVas1+22)</f>
        <v>44396</v>
      </c>
      <c r="D6" s="58">
        <f>IF(DAY(JúlVas1)=1,JúlVas1+16,JúlVas1+23)</f>
        <v>44397</v>
      </c>
      <c r="E6" s="58">
        <f>IF(DAY(JúlVas1)=1,JúlVas1+17,JúlVas1+24)</f>
        <v>44398</v>
      </c>
      <c r="F6" s="58">
        <f>IF(DAY(JúlVas1)=1,JúlVas1+18,JúlVas1+25)</f>
        <v>44399</v>
      </c>
      <c r="G6" s="58">
        <f>IF(DAY(JúlVas1)=1,JúlVas1+19,JúlVas1+26)</f>
        <v>44400</v>
      </c>
      <c r="H6" s="58">
        <f>IF(DAY(JúlVas1)=1,JúlVas1+20,JúlVas1+27)</f>
        <v>44401</v>
      </c>
      <c r="I6" s="58">
        <f>IF(DAY(JúlVas1)=1,JúlVas1+21,JúlVas1+28)</f>
        <v>44402</v>
      </c>
      <c r="J6" s="16"/>
      <c r="K6" s="3"/>
      <c r="L6" s="10"/>
    </row>
    <row r="7" spans="1:12" ht="30" customHeight="1" x14ac:dyDescent="0.25">
      <c r="A7" s="19"/>
      <c r="C7" s="58">
        <f>IF(DAY(JúlVas1)=1,JúlVas1+22,JúlVas1+29)</f>
        <v>44403</v>
      </c>
      <c r="D7" s="58">
        <f>IF(DAY(JúlVas1)=1,JúlVas1+23,JúlVas1+30)</f>
        <v>44404</v>
      </c>
      <c r="E7" s="58">
        <f>IF(DAY(JúlVas1)=1,JúlVas1+24,JúlVas1+31)</f>
        <v>44405</v>
      </c>
      <c r="F7" s="58">
        <f>IF(DAY(JúlVas1)=1,JúlVas1+25,JúlVas1+32)</f>
        <v>44406</v>
      </c>
      <c r="G7" s="58">
        <f>IF(DAY(JúlVas1)=1,JúlVas1+26,JúlVas1+33)</f>
        <v>44407</v>
      </c>
      <c r="H7" s="58">
        <f>IF(DAY(JúlVas1)=1,JúlVas1+27,JúlVas1+34)</f>
        <v>44408</v>
      </c>
      <c r="I7" s="58">
        <f>IF(DAY(JúlVas1)=1,JúlVas1+28,JúlVas1+35)</f>
        <v>44409</v>
      </c>
      <c r="J7" s="1"/>
      <c r="K7" s="31"/>
      <c r="L7" s="26"/>
    </row>
    <row r="8" spans="1:12" ht="30" customHeight="1" x14ac:dyDescent="0.25">
      <c r="A8" s="19"/>
      <c r="B8" s="25"/>
      <c r="C8" s="58">
        <f>IF(DAY(JúlVas1)=1,JúlVas1+29,JúlVas1+36)</f>
        <v>44410</v>
      </c>
      <c r="D8" s="58">
        <f>IF(DAY(JúlVas1)=1,JúlVas1+30,JúlVas1+37)</f>
        <v>44411</v>
      </c>
      <c r="E8" s="58">
        <f>IF(DAY(JúlVas1)=1,JúlVas1+31,JúlVas1+38)</f>
        <v>44412</v>
      </c>
      <c r="F8" s="58">
        <f>IF(DAY(JúlVas1)=1,JúlVas1+32,JúlVas1+39)</f>
        <v>44413</v>
      </c>
      <c r="G8" s="58">
        <f>IF(DAY(JúlVas1)=1,JúlVas1+33,JúlVas1+40)</f>
        <v>44414</v>
      </c>
      <c r="H8" s="58">
        <f>IF(DAY(JúlVas1)=1,JúlVas1+34,JúlVas1+41)</f>
        <v>44415</v>
      </c>
      <c r="I8" s="58">
        <f>IF(DAY(JúlVas1)=1,JúlVas1+35,JúlVas1+42)</f>
        <v>44416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4" t="s">
        <v>5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1"/>
      <c r="K13" s="31"/>
      <c r="L13" s="26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4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5" t="s">
        <v>7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3"/>
      <c r="L17" s="10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4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4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4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4" t="s">
        <v>9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1"/>
      <c r="K25" s="31"/>
      <c r="L25" s="32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4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4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60"/>
      <c r="C30" s="61"/>
      <c r="D30" s="61"/>
      <c r="E30" s="61"/>
      <c r="F30" s="61"/>
      <c r="G30" s="61"/>
      <c r="H30" s="61"/>
      <c r="I30" s="64"/>
      <c r="J30" s="16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43" priority="6" stopIfTrue="1">
      <formula>DAY(C3)&gt;8</formula>
    </cfRule>
  </conditionalFormatting>
  <conditionalFormatting sqref="C7:I8">
    <cfRule type="expression" dxfId="42" priority="5" stopIfTrue="1">
      <formula>AND(DAY(C7)&gt;=1,DAY(C7)&lt;=15)</formula>
    </cfRule>
  </conditionalFormatting>
  <conditionalFormatting sqref="C3:I8">
    <cfRule type="expression" dxfId="41" priority="7">
      <formula>VLOOKUP(DAY(C3),FeladatNapok,1,FALSE)=DAY(C3)</formula>
    </cfRule>
  </conditionalFormatting>
  <conditionalFormatting sqref="B12:I12 B14:I14 B16:I16 B18:I18 B20:I20 B22:I22 B24:I24 B26:I26 B28:I28 B30:I30">
    <cfRule type="expression" dxfId="40" priority="4">
      <formula>B12&lt;&gt;""</formula>
    </cfRule>
  </conditionalFormatting>
  <conditionalFormatting sqref="B13:I13 B15:I15 B17:I17 B19:I19 B21:I21 B23:I23 B25:I25 B27:I27 B29:I29 B31:I31">
    <cfRule type="expression" dxfId="39" priority="3">
      <formula>B13&lt;&gt;""</formula>
    </cfRule>
  </conditionalFormatting>
  <conditionalFormatting sqref="B13:I13 B15:I15 B17:I17 B19:I19 B21:I21 B23:I23 B25:I25 B27:I27 B29:I29">
    <cfRule type="expression" dxfId="38" priority="2">
      <formula>COLUMN(B13)&gt;=2</formula>
    </cfRule>
  </conditionalFormatting>
  <conditionalFormatting sqref="B12:I31">
    <cfRule type="expression" dxfId="37" priority="1">
      <formula>COLUMN(B12)&gt;2</formula>
    </cfRule>
  </conditionalFormatting>
  <dataValidations xWindow="239" yWindow="583" count="13">
    <dataValidation allowBlank="1" showInputMessage="1" showErrorMessage="1" prompt="Írja be a tantárgyakat a B-I oszloptartományból ebbe a sorba" sqref="B13" xr:uid="{00000000-0002-0000-0600-000000000000}"/>
    <dataValidation allowBlank="1" showInputMessage="1" showErrorMessage="1" prompt="Írja be az időpontokat a B-I oszloptartományból ebbe a sorba" sqref="B12" xr:uid="{00000000-0002-0000-0600-000001000000}"/>
    <dataValidation allowBlank="1" showInputMessage="1" showErrorMessage="1" prompt="Ha ez a sor kisebb számot tartalmaz, mint az előző szám vagy számsor, akkor ez a sor a következő naptári hónap dátumait tartalmazza" sqref="C8" xr:uid="{00000000-0002-0000-0600-000002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600-000003000000}"/>
    <dataValidation allowBlank="1" showInputMessage="1" showErrorMessage="1" prompt="A C2:I2 cellatartományban a hétköznapok szerepelnek" sqref="C2" xr:uid="{00000000-0002-0000-0600-000004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600-000005000000}"/>
    <dataValidation allowBlank="1" showInputMessage="1" showErrorMessage="1" prompt="Automatikusan frissülő naptári év. Az év módosításához frissítse a Január munkalap B1 celláját" sqref="B1" xr:uid="{00000000-0002-0000-0600-000006000000}"/>
    <dataValidation allowBlank="1" showInputMessage="1" showErrorMessage="1" prompt="A Július havi naptárban automatikusan ki vannak emelve a havi feladatlista bejegyzései. A sötétebb betűk jelzik a feladatokat. A világosabb betűkkel jelzett napok az előző vagy a következő hónaphoz tartoznak" sqref="B2" xr:uid="{00000000-0002-0000-06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6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6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600-00000A000000}"/>
    <dataValidation allowBlank="1" showInputMessage="1" showErrorMessage="1" prompt="Ebben a sorban szerepelnek a hétköznapok, hétfőtől péntekig" sqref="B11" xr:uid="{00000000-0002-0000-0600-00000B000000}"/>
    <dataValidation allowBlank="1" showInputMessage="1" showErrorMessage="1" prompt="Adja meg a tantárgyak időpontját, alatta, új sorban pedig adja meg a tantárgyak nevét minden hétköznaphoz a B-I oszloptartományban. A következő sorokban ismételje ezeket a lépéseket a további tantárgyakra vonatkozóan." sqref="B10" xr:uid="{00000000-0002-0000-06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35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4"/>
      <c r="L2" s="7"/>
    </row>
    <row r="3" spans="1:12" ht="30" customHeight="1" x14ac:dyDescent="0.25">
      <c r="A3" s="19"/>
      <c r="C3" s="58">
        <f>IF(DAY(AugVas1)=1,AugVas1-6,AugVas1+1)</f>
        <v>44403</v>
      </c>
      <c r="D3" s="58">
        <f>IF(DAY(AugVas1)=1,AugVas1-5,AugVas1+2)</f>
        <v>44404</v>
      </c>
      <c r="E3" s="58">
        <f>IF(DAY(AugVas1)=1,AugVas1-4,AugVas1+3)</f>
        <v>44405</v>
      </c>
      <c r="F3" s="58">
        <f>IF(DAY(AugVas1)=1,AugVas1-3,AugVas1+4)</f>
        <v>44406</v>
      </c>
      <c r="G3" s="58">
        <f>IF(DAY(AugVas1)=1,AugVas1-2,AugVas1+5)</f>
        <v>44407</v>
      </c>
      <c r="H3" s="58">
        <f>IF(DAY(AugVas1)=1,AugVas1-1,AugVas1+6)</f>
        <v>44408</v>
      </c>
      <c r="I3" s="58">
        <f>IF(DAY(AugVas1)=1,AugVas1,AugVas1+7)</f>
        <v>44409</v>
      </c>
      <c r="J3" s="16"/>
      <c r="K3" s="5"/>
      <c r="L3" s="10"/>
    </row>
    <row r="4" spans="1:12" ht="30" customHeight="1" x14ac:dyDescent="0.25">
      <c r="A4" s="19"/>
      <c r="C4" s="58">
        <f>IF(DAY(AugVas1)=1,AugVas1+1,AugVas1+8)</f>
        <v>44410</v>
      </c>
      <c r="D4" s="58">
        <f>IF(DAY(AugVas1)=1,AugVas1+2,AugVas1+9)</f>
        <v>44411</v>
      </c>
      <c r="E4" s="58">
        <f>IF(DAY(AugVas1)=1,AugVas1+3,AugVas1+10)</f>
        <v>44412</v>
      </c>
      <c r="F4" s="58">
        <f>IF(DAY(AugVas1)=1,AugVas1+4,AugVas1+11)</f>
        <v>44413</v>
      </c>
      <c r="G4" s="58">
        <f>IF(DAY(AugVas1)=1,AugVas1+5,AugVas1+12)</f>
        <v>44414</v>
      </c>
      <c r="H4" s="58">
        <f>IF(DAY(AugVas1)=1,AugVas1+6,AugVas1+13)</f>
        <v>44415</v>
      </c>
      <c r="I4" s="58">
        <f>IF(DAY(AugVas1)=1,AugVas1+7,AugVas1+14)</f>
        <v>44416</v>
      </c>
      <c r="J4" s="16"/>
      <c r="K4" s="5"/>
      <c r="L4" s="10"/>
    </row>
    <row r="5" spans="1:12" ht="30" customHeight="1" x14ac:dyDescent="0.25">
      <c r="A5" s="19"/>
      <c r="C5" s="58">
        <f>IF(DAY(AugVas1)=1,AugVas1+8,AugVas1+15)</f>
        <v>44417</v>
      </c>
      <c r="D5" s="58">
        <f>IF(DAY(AugVas1)=1,AugVas1+9,AugVas1+16)</f>
        <v>44418</v>
      </c>
      <c r="E5" s="58">
        <f>IF(DAY(AugVas1)=1,AugVas1+10,AugVas1+17)</f>
        <v>44419</v>
      </c>
      <c r="F5" s="58">
        <f>IF(DAY(AugVas1)=1,AugVas1+11,AugVas1+18)</f>
        <v>44420</v>
      </c>
      <c r="G5" s="58">
        <f>IF(DAY(AugVas1)=1,AugVas1+12,AugVas1+19)</f>
        <v>44421</v>
      </c>
      <c r="H5" s="58">
        <f>IF(DAY(AugVas1)=1,AugVas1+13,AugVas1+20)</f>
        <v>44422</v>
      </c>
      <c r="I5" s="58">
        <f>IF(DAY(AugVas1)=1,AugVas1+14,AugVas1+21)</f>
        <v>44423</v>
      </c>
      <c r="J5" s="16"/>
      <c r="K5" s="5"/>
      <c r="L5" s="10"/>
    </row>
    <row r="6" spans="1:12" ht="30" customHeight="1" x14ac:dyDescent="0.25">
      <c r="A6" s="19"/>
      <c r="C6" s="58">
        <f>IF(DAY(AugVas1)=1,AugVas1+15,AugVas1+22)</f>
        <v>44424</v>
      </c>
      <c r="D6" s="58">
        <f>IF(DAY(AugVas1)=1,AugVas1+16,AugVas1+23)</f>
        <v>44425</v>
      </c>
      <c r="E6" s="58">
        <f>IF(DAY(AugVas1)=1,AugVas1+17,AugVas1+24)</f>
        <v>44426</v>
      </c>
      <c r="F6" s="58">
        <f>IF(DAY(AugVas1)=1,AugVas1+18,AugVas1+25)</f>
        <v>44427</v>
      </c>
      <c r="G6" s="58">
        <f>IF(DAY(AugVas1)=1,AugVas1+19,AugVas1+26)</f>
        <v>44428</v>
      </c>
      <c r="H6" s="58">
        <f>IF(DAY(AugVas1)=1,AugVas1+20,AugVas1+27)</f>
        <v>44429</v>
      </c>
      <c r="I6" s="58">
        <f>IF(DAY(AugVas1)=1,AugVas1+21,AugVas1+28)</f>
        <v>44430</v>
      </c>
      <c r="J6" s="16"/>
      <c r="K6" s="5"/>
      <c r="L6" s="10"/>
    </row>
    <row r="7" spans="1:12" ht="30" customHeight="1" x14ac:dyDescent="0.25">
      <c r="A7" s="19"/>
      <c r="C7" s="58">
        <f>IF(DAY(AugVas1)=1,AugVas1+22,AugVas1+29)</f>
        <v>44431</v>
      </c>
      <c r="D7" s="58">
        <f>IF(DAY(AugVas1)=1,AugVas1+23,AugVas1+30)</f>
        <v>44432</v>
      </c>
      <c r="E7" s="58">
        <f>IF(DAY(AugVas1)=1,AugVas1+24,AugVas1+31)</f>
        <v>44433</v>
      </c>
      <c r="F7" s="58">
        <f>IF(DAY(AugVas1)=1,AugVas1+25,AugVas1+32)</f>
        <v>44434</v>
      </c>
      <c r="G7" s="58">
        <f>IF(DAY(AugVas1)=1,AugVas1+26,AugVas1+33)</f>
        <v>44435</v>
      </c>
      <c r="H7" s="58">
        <f>IF(DAY(AugVas1)=1,AugVas1+27,AugVas1+34)</f>
        <v>44436</v>
      </c>
      <c r="I7" s="58">
        <f>IF(DAY(AugVas1)=1,AugVas1+28,AugVas1+35)</f>
        <v>44437</v>
      </c>
      <c r="J7" s="29"/>
      <c r="K7" s="31"/>
      <c r="L7" s="26"/>
    </row>
    <row r="8" spans="1:12" ht="30" customHeight="1" x14ac:dyDescent="0.25">
      <c r="A8" s="19"/>
      <c r="B8" s="25"/>
      <c r="C8" s="58">
        <f>IF(DAY(AugVas1)=1,AugVas1+29,AugVas1+36)</f>
        <v>44438</v>
      </c>
      <c r="D8" s="58">
        <f>IF(DAY(AugVas1)=1,AugVas1+30,AugVas1+37)</f>
        <v>44439</v>
      </c>
      <c r="E8" s="58">
        <f>IF(DAY(AugVas1)=1,AugVas1+31,AugVas1+38)</f>
        <v>44440</v>
      </c>
      <c r="F8" s="58">
        <f>IF(DAY(AugVas1)=1,AugVas1+32,AugVas1+39)</f>
        <v>44441</v>
      </c>
      <c r="G8" s="58">
        <f>IF(DAY(AugVas1)=1,AugVas1+33,AugVas1+40)</f>
        <v>44442</v>
      </c>
      <c r="H8" s="58">
        <f>IF(DAY(AugVas1)=1,AugVas1+34,AugVas1+41)</f>
        <v>44443</v>
      </c>
      <c r="I8" s="58">
        <f>IF(DAY(AugVas1)=1,AugVas1+35,AugVas1+42)</f>
        <v>44444</v>
      </c>
      <c r="J8" s="16" t="s">
        <v>13</v>
      </c>
      <c r="K8" s="4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5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5"/>
      <c r="L10" s="10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5"/>
      <c r="L11" s="10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4" t="s">
        <v>5</v>
      </c>
      <c r="J12" s="16"/>
      <c r="K12" s="5"/>
      <c r="L12" s="10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29"/>
      <c r="K13" s="31"/>
      <c r="L13" s="26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4"/>
      <c r="J14" s="16" t="s">
        <v>18</v>
      </c>
      <c r="K14" s="4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5"/>
      <c r="L15" s="10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5" t="s">
        <v>7</v>
      </c>
      <c r="J16" s="16"/>
      <c r="K16" s="5"/>
      <c r="L16" s="10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5"/>
      <c r="L17" s="10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4"/>
      <c r="J18" s="16"/>
      <c r="K18" s="5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29"/>
      <c r="K19" s="31"/>
      <c r="L19" s="32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4"/>
      <c r="J20" s="16" t="s">
        <v>19</v>
      </c>
      <c r="K20" s="4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5"/>
      <c r="L21" s="10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4"/>
      <c r="J22" s="16"/>
      <c r="K22" s="5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5"/>
      <c r="L23" s="10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4" t="s">
        <v>9</v>
      </c>
      <c r="J24" s="16"/>
      <c r="K24" s="5"/>
      <c r="L24" s="10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29"/>
      <c r="K25" s="31"/>
      <c r="L25" s="32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4"/>
      <c r="J26" s="16" t="s">
        <v>20</v>
      </c>
      <c r="K26" s="4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5"/>
      <c r="L27" s="10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4"/>
      <c r="J28" s="16"/>
      <c r="K28" s="5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5"/>
      <c r="L29" s="10"/>
    </row>
    <row r="30" spans="1:12" ht="30" customHeight="1" x14ac:dyDescent="0.25">
      <c r="A30" s="35" t="s">
        <v>1</v>
      </c>
      <c r="B30" s="60"/>
      <c r="C30" s="61"/>
      <c r="D30" s="61"/>
      <c r="E30" s="61"/>
      <c r="F30" s="61"/>
      <c r="G30" s="61"/>
      <c r="H30" s="61"/>
      <c r="I30" s="64"/>
      <c r="J30" s="16"/>
      <c r="K30" s="5"/>
      <c r="L30" s="10"/>
    </row>
    <row r="31" spans="1:12" ht="30" customHeight="1" x14ac:dyDescent="0.25">
      <c r="A31" s="35" t="s">
        <v>2</v>
      </c>
      <c r="B31" s="44"/>
      <c r="C31" s="57"/>
      <c r="D31" s="57"/>
      <c r="E31" s="57"/>
      <c r="F31" s="57"/>
      <c r="G31" s="57"/>
      <c r="H31" s="57"/>
      <c r="I31" s="45"/>
      <c r="J31" s="16"/>
      <c r="K31" s="6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36" priority="6" stopIfTrue="1">
      <formula>DAY(C3)&gt;8</formula>
    </cfRule>
  </conditionalFormatting>
  <conditionalFormatting sqref="C7:I8">
    <cfRule type="expression" dxfId="35" priority="5" stopIfTrue="1">
      <formula>AND(DAY(C7)&gt;=1,DAY(C7)&lt;=15)</formula>
    </cfRule>
  </conditionalFormatting>
  <conditionalFormatting sqref="C3:I8">
    <cfRule type="expression" dxfId="34" priority="7">
      <formula>VLOOKUP(DAY(C3),FeladatNapok,1,FALSE)=DAY(C3)</formula>
    </cfRule>
  </conditionalFormatting>
  <conditionalFormatting sqref="B12:I12 B14:I14 B16:I16 B18:I18 B20:I20 B22:I22 B24:I24 B26:I26 B28:I28 B30:I30">
    <cfRule type="expression" dxfId="33" priority="4">
      <formula>B12&lt;&gt;""</formula>
    </cfRule>
  </conditionalFormatting>
  <conditionalFormatting sqref="B13:I13 B15:I15 B17:I17 B19:I19 B21:I21 B23:I23 B25:I25 B27:I27 B29:I29 B31:I31">
    <cfRule type="expression" dxfId="32" priority="3">
      <formula>B12&lt;&gt;""</formula>
    </cfRule>
  </conditionalFormatting>
  <conditionalFormatting sqref="B13:I13 B15:I15 B17:I17 B19:I19 B21:I21 B23:I23 B25:I25 B27:I27 B29:I29">
    <cfRule type="expression" dxfId="31" priority="2">
      <formula>COLUMN(B13)&gt;=2</formula>
    </cfRule>
  </conditionalFormatting>
  <conditionalFormatting sqref="B12:I31">
    <cfRule type="expression" dxfId="30" priority="1">
      <formula>COLUMN(B12)&gt;2</formula>
    </cfRule>
  </conditionalFormatting>
  <dataValidations xWindow="132" yWindow="585" count="13">
    <dataValidation allowBlank="1" showInputMessage="1" showErrorMessage="1" prompt="Az Augusztus havi naptárban automatikusan ki vannak emelve a havi feladatlista bejegyzései. A sötétebb betűk jelzik a feladatokat. A világosabb betűkkel jelzett napok az előző vagy a következő hónaphoz tartoznak" sqref="B2" xr:uid="{00000000-0002-0000-0700-000000000000}"/>
    <dataValidation allowBlank="1" showInputMessage="1" showErrorMessage="1" prompt="Automatikusan frissülő naptári év. Az év módosításához frissítse a Január munkalap B1 celláját" sqref="B1" xr:uid="{00000000-0002-0000-0700-000001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700-000002000000}"/>
    <dataValidation allowBlank="1" showInputMessage="1" showErrorMessage="1" prompt="A C2:I2 cellatartományban a hétköznapok szerepelnek" sqref="C2" xr:uid="{00000000-0002-0000-0700-000003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700-000004000000}"/>
    <dataValidation allowBlank="1" showInputMessage="1" showErrorMessage="1" prompt="Ha ez a sor kisebb számot tartalmaz, mint az előző szám vagy számsor, akkor ez a sor a következő naptári hónap dátumait tartalmazza" sqref="C8" xr:uid="{00000000-0002-0000-0700-000005000000}"/>
    <dataValidation allowBlank="1" showInputMessage="1" showErrorMessage="1" prompt="Írja be az időpontokat a B-I oszloptartományból ebbe a sorba" sqref="B12" xr:uid="{00000000-0002-0000-0700-000006000000}"/>
    <dataValidation allowBlank="1" showInputMessage="1" showErrorMessage="1" prompt="Írja be a tantárgyakat a B-I oszloptartományból ebbe a sorba" sqref="B13" xr:uid="{00000000-0002-0000-07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7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7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700-00000A000000}"/>
    <dataValidation allowBlank="1" showInputMessage="1" showErrorMessage="1" prompt="Ebben a sorban szerepelnek a hétköznapok, hétfőtől péntekig" sqref="B11" xr:uid="{00000000-0002-0000-0700-00000B000000}"/>
    <dataValidation allowBlank="1" showInputMessage="1" showErrorMessage="1" prompt="Adja meg a tantárgyak időpontját, alatt, új sorban pedig adja meg a tantárgyak nevét minden hétköznaphoz a B-I oszloptartományban. A következő sorokban ismételje ezeket a lépéseket a további tantárgyakra vonatkozóan." sqref="B10" xr:uid="{00000000-0002-0000-07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xl/worksheets/sheet9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NaptáriÉv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36</v>
      </c>
      <c r="C2" s="13" t="s">
        <v>12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12</v>
      </c>
      <c r="K2" s="30"/>
      <c r="L2" s="7"/>
    </row>
    <row r="3" spans="1:12" ht="30" customHeight="1" x14ac:dyDescent="0.25">
      <c r="A3" s="19"/>
      <c r="C3" s="58">
        <f>IF(DAY(SzeptVas1)=1,SzeptVas1-6,SzeptVas1+1)</f>
        <v>44438</v>
      </c>
      <c r="D3" s="58">
        <f>IF(DAY(SzeptVas1)=1,SzeptVas1-5,SzeptVas1+2)</f>
        <v>44439</v>
      </c>
      <c r="E3" s="58">
        <f>IF(DAY(SzeptVas1)=1,SzeptVas1-4,SzeptVas1+3)</f>
        <v>44440</v>
      </c>
      <c r="F3" s="58">
        <f>IF(DAY(SzeptVas1)=1,SzeptVas1-3,SzeptVas1+4)</f>
        <v>44441</v>
      </c>
      <c r="G3" s="58">
        <f>IF(DAY(SzeptVas1)=1,SzeptVas1-2,SzeptVas1+5)</f>
        <v>44442</v>
      </c>
      <c r="H3" s="58">
        <f>IF(DAY(SzeptVas1)=1,SzeptVas1-1,SzeptVas1+6)</f>
        <v>44443</v>
      </c>
      <c r="I3" s="58">
        <f>IF(DAY(SzeptVas1)=1,SzeptVas1,SzeptVas1+7)</f>
        <v>44444</v>
      </c>
      <c r="J3" s="16"/>
      <c r="K3" s="3"/>
      <c r="L3" s="10"/>
    </row>
    <row r="4" spans="1:12" ht="30" customHeight="1" x14ac:dyDescent="0.25">
      <c r="A4" s="19"/>
      <c r="C4" s="58">
        <f>IF(DAY(SzeptVas1)=1,SzeptVas1+1,SzeptVas1+8)</f>
        <v>44445</v>
      </c>
      <c r="D4" s="58">
        <f>IF(DAY(SzeptVas1)=1,SzeptVas1+2,SzeptVas1+9)</f>
        <v>44446</v>
      </c>
      <c r="E4" s="58">
        <f>IF(DAY(SzeptVas1)=1,SzeptVas1+3,SzeptVas1+10)</f>
        <v>44447</v>
      </c>
      <c r="F4" s="58">
        <f>IF(DAY(SzeptVas1)=1,SzeptVas1+4,SzeptVas1+11)</f>
        <v>44448</v>
      </c>
      <c r="G4" s="58">
        <f>IF(DAY(SzeptVas1)=1,SzeptVas1+5,SzeptVas1+12)</f>
        <v>44449</v>
      </c>
      <c r="H4" s="58">
        <f>IF(DAY(SzeptVas1)=1,SzeptVas1+6,SzeptVas1+13)</f>
        <v>44450</v>
      </c>
      <c r="I4" s="58">
        <f>IF(DAY(SzeptVas1)=1,SzeptVas1+7,SzeptVas1+14)</f>
        <v>44451</v>
      </c>
      <c r="J4" s="16"/>
      <c r="K4" s="3"/>
      <c r="L4" s="10"/>
    </row>
    <row r="5" spans="1:12" ht="30" customHeight="1" x14ac:dyDescent="0.25">
      <c r="A5" s="19"/>
      <c r="C5" s="58">
        <f>IF(DAY(SzeptVas1)=1,SzeptVas1+8,SzeptVas1+15)</f>
        <v>44452</v>
      </c>
      <c r="D5" s="58">
        <f>IF(DAY(SzeptVas1)=1,SzeptVas1+9,SzeptVas1+16)</f>
        <v>44453</v>
      </c>
      <c r="E5" s="58">
        <f>IF(DAY(SzeptVas1)=1,SzeptVas1+10,SzeptVas1+17)</f>
        <v>44454</v>
      </c>
      <c r="F5" s="58">
        <f>IF(DAY(SzeptVas1)=1,SzeptVas1+11,SzeptVas1+18)</f>
        <v>44455</v>
      </c>
      <c r="G5" s="58">
        <f>IF(DAY(SzeptVas1)=1,SzeptVas1+12,SzeptVas1+19)</f>
        <v>44456</v>
      </c>
      <c r="H5" s="58">
        <f>IF(DAY(SzeptVas1)=1,SzeptVas1+13,SzeptVas1+20)</f>
        <v>44457</v>
      </c>
      <c r="I5" s="58">
        <f>IF(DAY(SzeptVas1)=1,SzeptVas1+14,SzeptVas1+21)</f>
        <v>44458</v>
      </c>
      <c r="J5" s="16"/>
      <c r="K5" s="3"/>
      <c r="L5" s="10"/>
    </row>
    <row r="6" spans="1:12" ht="30" customHeight="1" x14ac:dyDescent="0.25">
      <c r="A6" s="19"/>
      <c r="C6" s="58">
        <f>IF(DAY(SzeptVas1)=1,SzeptVas1+15,SzeptVas1+22)</f>
        <v>44459</v>
      </c>
      <c r="D6" s="58">
        <f>IF(DAY(SzeptVas1)=1,SzeptVas1+16,SzeptVas1+23)</f>
        <v>44460</v>
      </c>
      <c r="E6" s="58">
        <f>IF(DAY(SzeptVas1)=1,SzeptVas1+17,SzeptVas1+24)</f>
        <v>44461</v>
      </c>
      <c r="F6" s="58">
        <f>IF(DAY(SzeptVas1)=1,SzeptVas1+18,SzeptVas1+25)</f>
        <v>44462</v>
      </c>
      <c r="G6" s="58">
        <f>IF(DAY(SzeptVas1)=1,SzeptVas1+19,SzeptVas1+26)</f>
        <v>44463</v>
      </c>
      <c r="H6" s="58">
        <f>IF(DAY(SzeptVas1)=1,SzeptVas1+20,SzeptVas1+27)</f>
        <v>44464</v>
      </c>
      <c r="I6" s="58">
        <f>IF(DAY(SzeptVas1)=1,SzeptVas1+21,SzeptVas1+28)</f>
        <v>44465</v>
      </c>
      <c r="J6" s="16"/>
      <c r="K6" s="3"/>
      <c r="L6" s="10"/>
    </row>
    <row r="7" spans="1:12" ht="30" customHeight="1" x14ac:dyDescent="0.25">
      <c r="A7" s="19"/>
      <c r="C7" s="58">
        <f>IF(DAY(SzeptVas1)=1,SzeptVas1+22,SzeptVas1+29)</f>
        <v>44466</v>
      </c>
      <c r="D7" s="58">
        <f>IF(DAY(SzeptVas1)=1,SzeptVas1+23,SzeptVas1+30)</f>
        <v>44467</v>
      </c>
      <c r="E7" s="58">
        <f>IF(DAY(SzeptVas1)=1,SzeptVas1+24,SzeptVas1+31)</f>
        <v>44468</v>
      </c>
      <c r="F7" s="58">
        <f>IF(DAY(SzeptVas1)=1,SzeptVas1+25,SzeptVas1+32)</f>
        <v>44469</v>
      </c>
      <c r="G7" s="58">
        <f>IF(DAY(SzeptVas1)=1,SzeptVas1+26,SzeptVas1+33)</f>
        <v>44470</v>
      </c>
      <c r="H7" s="58">
        <f>IF(DAY(SzeptVas1)=1,SzeptVas1+27,SzeptVas1+34)</f>
        <v>44471</v>
      </c>
      <c r="I7" s="58">
        <f>IF(DAY(SzeptVas1)=1,SzeptVas1+28,SzeptVas1+35)</f>
        <v>44472</v>
      </c>
      <c r="J7" s="1"/>
      <c r="K7" s="31"/>
      <c r="L7" s="26"/>
    </row>
    <row r="8" spans="1:12" ht="30" customHeight="1" x14ac:dyDescent="0.25">
      <c r="A8" s="19"/>
      <c r="B8" s="25"/>
      <c r="C8" s="58">
        <f>IF(DAY(SzeptVas1)=1,SzeptVas1+29,SzeptVas1+36)</f>
        <v>44473</v>
      </c>
      <c r="D8" s="58">
        <f>IF(DAY(SzeptVas1)=1,SzeptVas1+30,SzeptVas1+37)</f>
        <v>44474</v>
      </c>
      <c r="E8" s="58">
        <f>IF(DAY(SzeptVas1)=1,SzeptVas1+31,SzeptVas1+38)</f>
        <v>44475</v>
      </c>
      <c r="F8" s="58">
        <f>IF(DAY(SzeptVas1)=1,SzeptVas1+32,SzeptVas1+39)</f>
        <v>44476</v>
      </c>
      <c r="G8" s="58">
        <f>IF(DAY(SzeptVas1)=1,SzeptVas1+33,SzeptVas1+40)</f>
        <v>44477</v>
      </c>
      <c r="H8" s="58">
        <f>IF(DAY(SzeptVas1)=1,SzeptVas1+34,SzeptVas1+41)</f>
        <v>44478</v>
      </c>
      <c r="I8" s="58">
        <f>IF(DAY(SzeptVas1)=1,SzeptVas1+35,SzeptVas1+42)</f>
        <v>44479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40</v>
      </c>
      <c r="C11" s="52" t="s">
        <v>13</v>
      </c>
      <c r="D11" s="53"/>
      <c r="E11" s="52" t="s">
        <v>18</v>
      </c>
      <c r="F11" s="53"/>
      <c r="G11" s="52" t="s">
        <v>41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60" t="s">
        <v>5</v>
      </c>
      <c r="C12" s="61"/>
      <c r="D12" s="61"/>
      <c r="E12" s="61" t="s">
        <v>5</v>
      </c>
      <c r="F12" s="61"/>
      <c r="G12" s="61"/>
      <c r="H12" s="61"/>
      <c r="I12" s="64" t="s">
        <v>5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6</v>
      </c>
      <c r="C13" s="54"/>
      <c r="D13" s="54"/>
      <c r="E13" s="54" t="s">
        <v>6</v>
      </c>
      <c r="F13" s="54"/>
      <c r="G13" s="54"/>
      <c r="H13" s="54"/>
      <c r="I13" s="41" t="s">
        <v>6</v>
      </c>
      <c r="J13" s="1"/>
      <c r="K13" s="31"/>
      <c r="L13" s="26"/>
    </row>
    <row r="14" spans="1:12" ht="30" customHeight="1" x14ac:dyDescent="0.25">
      <c r="A14" s="35" t="s">
        <v>1</v>
      </c>
      <c r="B14" s="60"/>
      <c r="C14" s="61" t="s">
        <v>14</v>
      </c>
      <c r="D14" s="61"/>
      <c r="E14" s="61"/>
      <c r="F14" s="61"/>
      <c r="G14" s="61" t="s">
        <v>14</v>
      </c>
      <c r="H14" s="61"/>
      <c r="I14" s="64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60" t="s">
        <v>7</v>
      </c>
      <c r="C16" s="61"/>
      <c r="D16" s="61"/>
      <c r="E16" s="61" t="s">
        <v>7</v>
      </c>
      <c r="F16" s="61"/>
      <c r="G16" s="61"/>
      <c r="H16" s="61"/>
      <c r="I16" s="65" t="s">
        <v>7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8</v>
      </c>
      <c r="C17" s="54"/>
      <c r="D17" s="54"/>
      <c r="E17" s="54" t="s">
        <v>8</v>
      </c>
      <c r="F17" s="54"/>
      <c r="G17" s="54"/>
      <c r="H17" s="54"/>
      <c r="I17" s="41" t="s">
        <v>8</v>
      </c>
      <c r="J17" s="16"/>
      <c r="K17" s="3"/>
      <c r="L17" s="10"/>
    </row>
    <row r="18" spans="1:12" ht="30" customHeight="1" x14ac:dyDescent="0.25">
      <c r="A18" s="35" t="s">
        <v>1</v>
      </c>
      <c r="B18" s="60"/>
      <c r="C18" s="61"/>
      <c r="D18" s="61"/>
      <c r="E18" s="61"/>
      <c r="F18" s="61"/>
      <c r="G18" s="61"/>
      <c r="H18" s="61"/>
      <c r="I18" s="64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60"/>
      <c r="C20" s="61"/>
      <c r="D20" s="61"/>
      <c r="E20" s="61"/>
      <c r="F20" s="61"/>
      <c r="G20" s="61"/>
      <c r="H20" s="61"/>
      <c r="I20" s="64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60"/>
      <c r="C22" s="61"/>
      <c r="D22" s="61"/>
      <c r="E22" s="61"/>
      <c r="F22" s="61"/>
      <c r="G22" s="61"/>
      <c r="H22" s="61"/>
      <c r="I22" s="64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60" t="s">
        <v>9</v>
      </c>
      <c r="C24" s="61"/>
      <c r="D24" s="61"/>
      <c r="E24" s="61" t="s">
        <v>9</v>
      </c>
      <c r="F24" s="61"/>
      <c r="G24" s="61"/>
      <c r="H24" s="61"/>
      <c r="I24" s="64" t="s">
        <v>9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10</v>
      </c>
      <c r="C25" s="54"/>
      <c r="D25" s="54"/>
      <c r="E25" s="54" t="s">
        <v>10</v>
      </c>
      <c r="F25" s="54"/>
      <c r="G25" s="54"/>
      <c r="H25" s="54"/>
      <c r="I25" s="41" t="s">
        <v>10</v>
      </c>
      <c r="J25" s="1"/>
      <c r="K25" s="31"/>
      <c r="L25" s="32"/>
    </row>
    <row r="26" spans="1:12" ht="30" customHeight="1" x14ac:dyDescent="0.25">
      <c r="A26" s="35" t="s">
        <v>1</v>
      </c>
      <c r="B26" s="60"/>
      <c r="C26" s="61"/>
      <c r="D26" s="61"/>
      <c r="E26" s="61"/>
      <c r="F26" s="61"/>
      <c r="G26" s="61"/>
      <c r="H26" s="61"/>
      <c r="I26" s="64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60"/>
      <c r="C28" s="61" t="s">
        <v>16</v>
      </c>
      <c r="D28" s="61"/>
      <c r="E28" s="61"/>
      <c r="F28" s="61"/>
      <c r="G28" s="61" t="s">
        <v>16</v>
      </c>
      <c r="H28" s="61"/>
      <c r="I28" s="64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60"/>
      <c r="C30" s="61"/>
      <c r="D30" s="61"/>
      <c r="E30" s="61"/>
      <c r="F30" s="61"/>
      <c r="G30" s="61"/>
      <c r="H30" s="61"/>
      <c r="I30" s="64"/>
      <c r="J30" s="16"/>
      <c r="K30" s="3"/>
      <c r="L30" s="10"/>
    </row>
    <row r="31" spans="1:12" ht="30" customHeight="1" x14ac:dyDescent="0.25">
      <c r="A31" s="35" t="s">
        <v>2</v>
      </c>
      <c r="B31" s="44"/>
      <c r="C31" s="57"/>
      <c r="D31" s="57"/>
      <c r="E31" s="57"/>
      <c r="F31" s="57"/>
      <c r="G31" s="57"/>
      <c r="H31" s="57"/>
      <c r="I31" s="45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9" priority="6" stopIfTrue="1">
      <formula>DAY(C3)&gt;8</formula>
    </cfRule>
  </conditionalFormatting>
  <conditionalFormatting sqref="C7:I8">
    <cfRule type="expression" dxfId="28" priority="5" stopIfTrue="1">
      <formula>AND(DAY(C7)&gt;=1,DAY(C7)&lt;=15)</formula>
    </cfRule>
  </conditionalFormatting>
  <conditionalFormatting sqref="C3:I8">
    <cfRule type="expression" dxfId="27" priority="7">
      <formula>VLOOKUP(DAY(C3),FeladatNapok,1,FALSE)=DAY(C3)</formula>
    </cfRule>
  </conditionalFormatting>
  <conditionalFormatting sqref="B13:I13 B15:I15 B17:I17 B19:I19 B21:I21 B23:I23 B25:I25 B27:I27 B29:I29 B31:I31">
    <cfRule type="expression" dxfId="26" priority="4">
      <formula>B13&lt;&gt;""</formula>
    </cfRule>
  </conditionalFormatting>
  <conditionalFormatting sqref="B12:I12 B14:I14 B16:I16 B18:I18 B20:I20 B22:I22 B24:I24 B26:I26 B28:I28 B30:I30">
    <cfRule type="expression" dxfId="25" priority="3">
      <formula>B12&lt;&gt;""</formula>
    </cfRule>
  </conditionalFormatting>
  <conditionalFormatting sqref="B13:I13 B15:I15 B17:I17 B19:I19 B21:I21 B23:I23 B25:I25 B27:I27 B29:I29">
    <cfRule type="expression" dxfId="24" priority="2">
      <formula>COLUMN(B13)&gt;=2</formula>
    </cfRule>
  </conditionalFormatting>
  <conditionalFormatting sqref="B12:I31">
    <cfRule type="expression" dxfId="23" priority="1">
      <formula>COLUMN(B12)&gt;2</formula>
    </cfRule>
  </conditionalFormatting>
  <dataValidations count="13">
    <dataValidation allowBlank="1" showInputMessage="1" showErrorMessage="1" prompt="Írja be a tantárgyakat a B-I oszloptartományból ebbe a sorba" sqref="B13" xr:uid="{00000000-0002-0000-0800-000000000000}"/>
    <dataValidation allowBlank="1" showInputMessage="1" showErrorMessage="1" prompt="Írja be az időpontokat a B-I oszloptartományból ebbe a sorba" sqref="B12" xr:uid="{00000000-0002-0000-0800-000001000000}"/>
    <dataValidation allowBlank="1" showInputMessage="1" showErrorMessage="1" prompt="Ha ez a sor kisebb számot tartalmaz, mint az előző szám vagy számsor, akkor ez a sor a következő naptári hónap dátumait tartalmazza" sqref="C8" xr:uid="{00000000-0002-0000-0800-000002000000}"/>
    <dataValidation allowBlank="1" showInputMessage="1" showErrorMessage="1" prompt="Ha ebben a cellában nem szerepel az 1-es szám, akkor ez az előző hónap egyik napja. A C3:I8 cellatartományban az aktuális hónap napjai szerepelnek" sqref="C3" xr:uid="{00000000-0002-0000-0800-000003000000}"/>
    <dataValidation allowBlank="1" showInputMessage="1" showErrorMessage="1" prompt="A C2:I2 cellatartományban a hétköznapok szerepelnek" sqref="C2" xr:uid="{00000000-0002-0000-0800-000004000000}"/>
    <dataValidation allowBlank="1" showInputMessage="1" showErrorMessage="1" prompt="Ebben a munkafüzetben heti ütemtervet készíthet elő, és feladatlistát hozhat létre. A feladatok automatikusan ki vannak emelve annak az évnek a havi naptárnézetben, amely a Január munkalap B1 cellájában meg van adva" sqref="A1" xr:uid="{00000000-0002-0000-0800-000005000000}"/>
    <dataValidation allowBlank="1" showInputMessage="1" showErrorMessage="1" prompt="Automatikusan frissülő naptári év. Az év módosításához frissítse a Január munkalap B1 celláját" sqref="B1" xr:uid="{00000000-0002-0000-0800-000006000000}"/>
    <dataValidation allowBlank="1" showInputMessage="1" showErrorMessage="1" prompt="A Szeptember havi naptárban automatikusan ki vannak emelve a havi feladatlista bejegyzései. A sötétebb betűk jelzik a feladatokat. A világosabb betűkkel jelzett napok az előző vagy a következő hónaphoz tartoznak" sqref="B2" xr:uid="{00000000-0002-0000-0800-000007000000}"/>
    <dataValidation allowBlank="1" showInputMessage="1" showErrorMessage="1" prompt="Ebben az oszlopban vannak csoportosítva a hét napjai, és a hónap mindegyik csoportosított napjához 6 feladatsor tartozik. További sorok beszúrásával újabb feladatokat adhat meg. A balra található naptár kiemelni az elemeket" sqref="J1" xr:uid="{00000000-0002-0000-0800-000008000000}"/>
    <dataValidation allowBlank="1" showInputMessage="1" showErrorMessage="1" prompt="Ebben az oszlopban adja meg a feladat részleteit, amelyek összhangban állnak a J oszlopban szereplő nappal és a K oszlopban szereplő nappal a bal oldali naptárban" sqref="L1" xr:uid="{00000000-0002-0000-0800-000009000000}"/>
    <dataValidation allowBlank="1" showInputMessage="1" showErrorMessage="1" prompt="Enter assignment day of the month in this column that corresponds to the weekday  in column J. This date will highlight the assigment in the calendar at left" sqref="K1" xr:uid="{00000000-0002-0000-0800-00000A000000}"/>
    <dataValidation allowBlank="1" showInputMessage="1" showErrorMessage="1" prompt="Ebben a sorban szerepelnek a hétköznapok, hétfőtől péntekig" sqref="B11" xr:uid="{00000000-0002-0000-0800-00000B000000}"/>
    <dataValidation allowBlank="1" showInputMessage="1" showErrorMessage="1" prompt="Adja meg a tantárgyak időpontját, alatt, új sorban pedig adja meg a tantárgyak nevét minden hétköznaphoz a B-I oszloptartományban. A következő sorokban ismételje ezeket a lépéseket a további tantárgyakra vonatkozóan." sqref="B10" xr:uid="{00000000-0002-0000-08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AB00EAF0-7D53-4F2E-A3F0-6ACE8DE5B762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E8598FAC-F6FB-41C1-A8B5-3788F9907361}">
  <ds:schemaRefs>
    <ds:schemaRef ds:uri="http://schemas.microsoft.com/office/2006/documentManagement/types"/>
    <ds:schemaRef ds:uri="16c05727-aa75-4e4a-9b5f-8a80a116589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71af3243-3dd4-4a8d-8c0d-dd76da1f02a5"/>
    <ds:schemaRef ds:uri="http://www.w3.org/XML/1998/namespace"/>
    <ds:schemaRef ds:uri="http://purl.org/dc/dcmitype/"/>
  </ds:schemaRefs>
</ds:datastoreItem>
</file>

<file path=customXml/itemProps33.xml><?xml version="1.0" encoding="utf-8"?>
<ds:datastoreItem xmlns:ds="http://schemas.openxmlformats.org/officeDocument/2006/customXml" ds:itemID="{22EC134D-EF26-4489-BF4F-D004AB4EA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TM03107663</ap:Template>
  <ap:ScaleCrop>false</ap:ScaleCrop>
  <ap:HeadingPairs>
    <vt:vector baseType="variant" size="4">
      <vt:variant>
        <vt:lpstr>Worksheets</vt:lpstr>
      </vt:variant>
      <vt:variant>
        <vt:i4>12</vt:i4>
      </vt:variant>
      <vt:variant>
        <vt:lpstr>Named Ranges</vt:lpstr>
      </vt:variant>
      <vt:variant>
        <vt:i4>61</vt:i4>
      </vt:variant>
    </vt:vector>
  </ap:HeadingPairs>
  <ap:TitlesOfParts>
    <vt:vector baseType="lpstr" size="73">
      <vt:lpstr>Jan.</vt:lpstr>
      <vt:lpstr>Febr.</vt:lpstr>
      <vt:lpstr>Márc.</vt:lpstr>
      <vt:lpstr>Ápr.</vt:lpstr>
      <vt:lpstr>Máj.</vt:lpstr>
      <vt:lpstr>Jún.</vt:lpstr>
      <vt:lpstr>Júl.</vt:lpstr>
      <vt:lpstr>Aug.</vt:lpstr>
      <vt:lpstr>Szept.</vt:lpstr>
      <vt:lpstr>Okt.</vt:lpstr>
      <vt:lpstr>Nov.</vt:lpstr>
      <vt:lpstr>Dec.</vt:lpstr>
      <vt:lpstr>ColumnTitleRegion1..I8.1</vt:lpstr>
      <vt:lpstr>ColumnTitleRegion1..I8.10</vt:lpstr>
      <vt:lpstr>ColumnTitleRegion1..I8.11</vt:lpstr>
      <vt:lpstr>ColumnTitleRegion1..I8.12</vt:lpstr>
      <vt:lpstr>ColumnTitleRegion1..I8.2</vt:lpstr>
      <vt:lpstr>ColumnTitleRegion1..I8.3</vt:lpstr>
      <vt:lpstr>ColumnTitleRegion1..I8.4</vt:lpstr>
      <vt:lpstr>ColumnTitleRegion1..I8.5</vt:lpstr>
      <vt:lpstr>ColumnTitleRegion1..I8.6</vt:lpstr>
      <vt:lpstr>ColumnTitleRegion1..I8.7</vt:lpstr>
      <vt:lpstr>ColumnTitleRegion1..I8.8</vt:lpstr>
      <vt:lpstr>ColumnTitleRegion1..I8.9</vt:lpstr>
      <vt:lpstr>Ápr.!FeladatNapok</vt:lpstr>
      <vt:lpstr>Aug.!FeladatNapok</vt:lpstr>
      <vt:lpstr>Dec.!FeladatNapok</vt:lpstr>
      <vt:lpstr>Febr.!FeladatNapok</vt:lpstr>
      <vt:lpstr>Júl.!FeladatNapok</vt:lpstr>
      <vt:lpstr>Jún.!FeladatNapok</vt:lpstr>
      <vt:lpstr>Máj.!FeladatNapok</vt:lpstr>
      <vt:lpstr>Márc.!FeladatNapok</vt:lpstr>
      <vt:lpstr>Nov.!FeladatNapok</vt:lpstr>
      <vt:lpstr>Okt.!FeladatNapok</vt:lpstr>
      <vt:lpstr>Szept.!FeladatNapok</vt:lpstr>
      <vt:lpstr>FeladatNapok</vt:lpstr>
      <vt:lpstr>Ápr.!FontosDátumokTáblázata</vt:lpstr>
      <vt:lpstr>Aug.!FontosDátumokTáblázata</vt:lpstr>
      <vt:lpstr>Dec.!FontosDátumokTáblázata</vt:lpstr>
      <vt:lpstr>Febr.!FontosDátumokTáblázata</vt:lpstr>
      <vt:lpstr>Júl.!FontosDátumokTáblázata</vt:lpstr>
      <vt:lpstr>Jún.!FontosDátumokTáblázata</vt:lpstr>
      <vt:lpstr>Máj.!FontosDátumokTáblázata</vt:lpstr>
      <vt:lpstr>Márc.!FontosDátumokTáblázata</vt:lpstr>
      <vt:lpstr>Nov.!FontosDátumokTáblázata</vt:lpstr>
      <vt:lpstr>Okt.!FontosDátumokTáblázata</vt:lpstr>
      <vt:lpstr>Szept.!FontosDátumokTáblázata</vt:lpstr>
      <vt:lpstr>FontosDátumokTáblázata</vt:lpstr>
      <vt:lpstr>NaptáriÉv</vt:lpstr>
      <vt:lpstr>Oszlopcím1</vt:lpstr>
      <vt:lpstr>Oszlopcím10</vt:lpstr>
      <vt:lpstr>Oszlopcím11</vt:lpstr>
      <vt:lpstr>Oszlopcím12</vt:lpstr>
      <vt:lpstr>Oszlopcím2</vt:lpstr>
      <vt:lpstr>Oszlopcím3</vt:lpstr>
      <vt:lpstr>Oszlopcím4</vt:lpstr>
      <vt:lpstr>Oszlopcím5</vt:lpstr>
      <vt:lpstr>Oszlopcím6</vt:lpstr>
      <vt:lpstr>Oszlopcím7</vt:lpstr>
      <vt:lpstr>Oszlopcím8</vt:lpstr>
      <vt:lpstr>Oszlopcím9</vt:lpstr>
      <vt:lpstr>TitleRegion2..I31.1</vt:lpstr>
      <vt:lpstr>TitleRegion2..I31.10</vt:lpstr>
      <vt:lpstr>TitleRegion2..I31.11</vt:lpstr>
      <vt:lpstr>TitleRegion2..I31.12</vt:lpstr>
      <vt:lpstr>TitleRegion2..I31.2</vt:lpstr>
      <vt:lpstr>TitleRegion2..I31.3</vt:lpstr>
      <vt:lpstr>TitleRegion2..I31.4</vt:lpstr>
      <vt:lpstr>TitleRegion2..I31.5</vt:lpstr>
      <vt:lpstr>TitleRegion2..I31.6</vt:lpstr>
      <vt:lpstr>TitleRegion2..I31.7</vt:lpstr>
      <vt:lpstr>TitleRegion2..I31.8</vt:lpstr>
      <vt:lpstr>TitleRegion2..I31.9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2020-07-08T21:07:10Z</dcterms:created>
  <dcterms:modified xsi:type="dcterms:W3CDTF">2020-10-28T07:20:29Z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