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16"/>
  <workbookPr/>
  <mc:AlternateContent xmlns:mc="http://schemas.openxmlformats.org/markup-compatibility/2006">
    <mc:Choice Requires="x15">
      <x15ac:absPath xmlns:x15ac="http://schemas.microsoft.com/office/spreadsheetml/2010/11/ac" url="C:\Users\admin\OneDrive - BCS Loc Test 5\WordTech_20190719_Excel_Word_Win32_Q1_P2\04_PreDTP_Done\hr-HR\"/>
    </mc:Choice>
  </mc:AlternateContent>
  <xr:revisionPtr revIDLastSave="0" documentId="13_ncr:3_{3AB6DECD-7EE2-4408-B01D-DB663F0B3FE9}" xr6:coauthVersionLast="43" xr6:coauthVersionMax="43" xr10:uidLastSave="{00000000-0000-0000-0000-000000000000}"/>
  <bookViews>
    <workbookView xWindow="-120" yWindow="-120" windowWidth="28530" windowHeight="14400" tabRatio="686" xr2:uid="{00000000-000D-0000-FFFF-FFFF00000000}"/>
  </bookViews>
  <sheets>
    <sheet name="Siječanj" sheetId="4" r:id="rId1"/>
    <sheet name="Veljača" sheetId="5" r:id="rId2"/>
    <sheet name="Ožujak" sheetId="17" r:id="rId3"/>
    <sheet name="Travanj" sheetId="18" r:id="rId4"/>
    <sheet name="Svibanj" sheetId="19" r:id="rId5"/>
    <sheet name="Lipanj" sheetId="20" r:id="rId6"/>
    <sheet name="Srpanj" sheetId="21" r:id="rId7"/>
    <sheet name="Kolovoz" sheetId="22" r:id="rId8"/>
    <sheet name="Rujan" sheetId="23" r:id="rId9"/>
    <sheet name="Listopad" sheetId="24" r:id="rId10"/>
    <sheet name="Studeni" sheetId="25" r:id="rId11"/>
    <sheet name="Prosinac" sheetId="15" r:id="rId12"/>
    <sheet name="Imena zaposlenika" sheetId="16" r:id="rId13"/>
  </sheets>
  <definedNames>
    <definedName name="_xlnm.Print_Titles" localSheetId="7">Kolovoz!$4:$6</definedName>
    <definedName name="_xlnm.Print_Titles" localSheetId="5">Lipanj!$4:$6</definedName>
    <definedName name="_xlnm.Print_Titles" localSheetId="9">Listopad!$4:$6</definedName>
    <definedName name="_xlnm.Print_Titles" localSheetId="2">Ožujak!$4:$6</definedName>
    <definedName name="_xlnm.Print_Titles" localSheetId="11">Prosinac!$4:$6</definedName>
    <definedName name="_xlnm.Print_Titles" localSheetId="8">Rujan!$4:$6</definedName>
    <definedName name="_xlnm.Print_Titles" localSheetId="0">Siječanj!$4:$6</definedName>
    <definedName name="_xlnm.Print_Titles" localSheetId="6">Srpanj!$4:$6</definedName>
    <definedName name="_xlnm.Print_Titles" localSheetId="10">Studeni!$4:$6</definedName>
    <definedName name="_xlnm.Print_Titles" localSheetId="4">Svibanj!$4:$6</definedName>
    <definedName name="_xlnm.Print_Titles" localSheetId="3">Travanj!$4:$6</definedName>
    <definedName name="_xlnm.Print_Titles" localSheetId="1">Veljača!$4:$6</definedName>
    <definedName name="KalendarskaGodina">Siječanj!$AH$4</definedName>
    <definedName name="Naslov_Izostanak_zaposlenika">Siječanj!$B$1</definedName>
    <definedName name="Naslov1">Siječanj[[#Headers],[Ime i prezime zaposlenika]]</definedName>
    <definedName name="Naslov10">Listopad[[#Headers],[Ime i prezime zaposlenika]]</definedName>
    <definedName name="Naslov11">Studeni[[#Headers],[Ime i prezime zaposlenika]]</definedName>
    <definedName name="Naslov12">Prosinac[[#Headers],[Ime i prezime zaposlenika]]</definedName>
    <definedName name="Naslov2">Veljača[[#Headers],[Ime i prezime zaposlenika]]</definedName>
    <definedName name="Naslov3">Ožujak[[#Headers],[Ime i prezime zaposlenika]]</definedName>
    <definedName name="Naslov4">Travanj[[#Headers],[Ime i prezime zaposlenika]]</definedName>
    <definedName name="Naslov5">Svibanj[[#Headers],[Ime i prezime zaposlenika]]</definedName>
    <definedName name="Naslov6">Lipanj[[#Headers],[Ime i prezime zaposlenika]]</definedName>
    <definedName name="Naslov7">Srpanj[[#Headers],[Ime i prezime zaposlenika]]</definedName>
    <definedName name="Naslov8">Kolovoz[[#Headers],[Ime i prezime zaposlenika]]</definedName>
    <definedName name="Naslov9">Rujan[[#Headers],[Ime i prezime zaposlenika]]</definedName>
    <definedName name="NazivMjeseca" localSheetId="7">Kolovoz!$B$4</definedName>
    <definedName name="NazivMjeseca" localSheetId="5">Lipanj!$B$4</definedName>
    <definedName name="NazivMjeseca" localSheetId="9">Listopad!$B$4</definedName>
    <definedName name="NazivMjeseca" localSheetId="2">Ožujak!$B$4</definedName>
    <definedName name="NazivMjeseca" localSheetId="11">Prosinac!$B$4</definedName>
    <definedName name="NazivMjeseca" localSheetId="8">Rujan!$B$4</definedName>
    <definedName name="NazivMjeseca" localSheetId="0">Siječanj!$B$4</definedName>
    <definedName name="NazivMjeseca" localSheetId="6">Srpanj!$B$4</definedName>
    <definedName name="NazivMjeseca" localSheetId="10">Studeni!$B$4</definedName>
    <definedName name="NazivMjeseca" localSheetId="4">Svibanj!$B$4</definedName>
    <definedName name="NazivMjeseca" localSheetId="3">Travanj!$B$4</definedName>
    <definedName name="NazivMjeseca" localSheetId="1">Veljača!$B$4</definedName>
    <definedName name="NazivStupca13">ImeIPrezimeZaposlenika[[#Headers],[Imena zaposlenika]]</definedName>
    <definedName name="Oznaka_ime">Siječanj!$B$2</definedName>
    <definedName name="OznakaBolovanje">Siječanj!$K$2</definedName>
    <definedName name="OznakaBolovanjeNatpis">Siječanj!$L$2</definedName>
    <definedName name="OznakaGodišnjiOdmor">Siječanj!$C$2</definedName>
    <definedName name="OznakaGodišnjiOdmorNatpis">Siječanj!$D$2</definedName>
    <definedName name="OznakaOsobniRazlozi">Siječanj!$G$2</definedName>
    <definedName name="OznakaOsobniRazloziNatpis">Siječanj!$H$2</definedName>
    <definedName name="OznakaPrilagođeno1">Siječanj!$N$2</definedName>
    <definedName name="OznakaPrilagođeno1Natpis">Siječanj!$O$2</definedName>
    <definedName name="OznakaPrilagođeno2">Siječanj!$R$2</definedName>
    <definedName name="OznakaPrilagođeno2Natpis">Siječanj!$S$2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5" l="1"/>
  <c r="B12" i="25"/>
  <c r="B12" i="24"/>
  <c r="B12" i="23"/>
  <c r="B12" i="22"/>
  <c r="B12" i="21"/>
  <c r="B12" i="20"/>
  <c r="B12" i="19"/>
  <c r="B12" i="18"/>
  <c r="B12" i="17"/>
  <c r="B12" i="5"/>
  <c r="B12" i="4"/>
  <c r="AH7" i="25" l="1"/>
  <c r="AH8" i="25"/>
  <c r="AH9" i="25"/>
  <c r="AH10" i="25"/>
  <c r="AH11" i="25"/>
  <c r="AH7" i="23"/>
  <c r="AH8" i="23"/>
  <c r="AH9" i="23"/>
  <c r="AH10" i="23"/>
  <c r="AH11" i="23"/>
  <c r="AH7" i="20"/>
  <c r="AH8" i="20"/>
  <c r="AH9" i="20"/>
  <c r="AH10" i="20"/>
  <c r="AH11" i="20"/>
  <c r="AH7" i="18"/>
  <c r="AH8" i="18"/>
  <c r="AH9" i="18"/>
  <c r="AH10" i="18"/>
  <c r="AH11" i="18"/>
  <c r="AD12" i="15"/>
  <c r="AE12" i="15"/>
  <c r="AF12" i="15"/>
  <c r="AG12" i="15"/>
  <c r="AE12" i="25"/>
  <c r="AF12" i="25"/>
  <c r="AG12" i="25"/>
  <c r="AE12" i="24"/>
  <c r="AF12" i="24"/>
  <c r="AG12" i="24"/>
  <c r="AE12" i="23"/>
  <c r="AF12" i="23"/>
  <c r="AG12" i="23"/>
  <c r="AF12" i="22"/>
  <c r="AG12" i="22"/>
  <c r="AF12" i="21"/>
  <c r="AG12" i="21"/>
  <c r="AF12" i="20"/>
  <c r="AG12" i="20"/>
  <c r="AF12" i="19"/>
  <c r="AG12" i="19"/>
  <c r="AG12" i="18"/>
  <c r="AF12" i="18"/>
  <c r="AF12" i="17"/>
  <c r="AG12" i="17"/>
  <c r="AH9" i="4" l="1"/>
  <c r="AH10" i="4"/>
  <c r="AF5" i="25" l="1"/>
  <c r="AE5" i="25"/>
  <c r="AD5" i="25"/>
  <c r="AC5" i="25"/>
  <c r="AB5" i="25"/>
  <c r="AA5" i="25"/>
  <c r="Z5" i="25"/>
  <c r="Y5" i="25"/>
  <c r="X5" i="25"/>
  <c r="W5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AD12" i="25"/>
  <c r="AC12" i="25"/>
  <c r="AB12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AH4" i="25"/>
  <c r="B1" i="25"/>
  <c r="AG5" i="24"/>
  <c r="AF5" i="24"/>
  <c r="AE5" i="24"/>
  <c r="AD5" i="24"/>
  <c r="AC5" i="24"/>
  <c r="AB5" i="24"/>
  <c r="AA5" i="24"/>
  <c r="Z5" i="24"/>
  <c r="Y5" i="24"/>
  <c r="X5" i="24"/>
  <c r="W5" i="24"/>
  <c r="V5" i="24"/>
  <c r="U5" i="24"/>
  <c r="T5" i="24"/>
  <c r="S5" i="24"/>
  <c r="R5" i="24"/>
  <c r="Q5" i="24"/>
  <c r="P5" i="24"/>
  <c r="O5" i="24"/>
  <c r="N5" i="24"/>
  <c r="M5" i="24"/>
  <c r="L5" i="24"/>
  <c r="K5" i="24"/>
  <c r="J5" i="24"/>
  <c r="I5" i="24"/>
  <c r="H5" i="24"/>
  <c r="G5" i="24"/>
  <c r="F5" i="24"/>
  <c r="E5" i="24"/>
  <c r="D5" i="24"/>
  <c r="C5" i="24"/>
  <c r="AD12" i="24"/>
  <c r="AC12" i="24"/>
  <c r="AB12" i="24"/>
  <c r="AA12" i="24"/>
  <c r="Z12" i="24"/>
  <c r="Y12" i="24"/>
  <c r="X12" i="24"/>
  <c r="W12" i="24"/>
  <c r="V12" i="24"/>
  <c r="U12" i="24"/>
  <c r="T12" i="24"/>
  <c r="S12" i="24"/>
  <c r="R12" i="24"/>
  <c r="Q12" i="24"/>
  <c r="P12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AH11" i="24"/>
  <c r="AH10" i="24"/>
  <c r="AH9" i="24"/>
  <c r="AH8" i="24"/>
  <c r="AH7" i="24"/>
  <c r="AH4" i="24"/>
  <c r="B1" i="24"/>
  <c r="AF5" i="23"/>
  <c r="AE5" i="23"/>
  <c r="AD5" i="23"/>
  <c r="AC5" i="23"/>
  <c r="AB5" i="23"/>
  <c r="AA5" i="23"/>
  <c r="Z5" i="23"/>
  <c r="Y5" i="23"/>
  <c r="X5" i="23"/>
  <c r="W5" i="23"/>
  <c r="V5" i="23"/>
  <c r="U5" i="23"/>
  <c r="T5" i="23"/>
  <c r="S5" i="23"/>
  <c r="R5" i="23"/>
  <c r="Q5" i="23"/>
  <c r="P5" i="23"/>
  <c r="O5" i="23"/>
  <c r="N5" i="23"/>
  <c r="M5" i="23"/>
  <c r="L5" i="23"/>
  <c r="K5" i="23"/>
  <c r="J5" i="23"/>
  <c r="I5" i="23"/>
  <c r="H5" i="23"/>
  <c r="G5" i="23"/>
  <c r="F5" i="23"/>
  <c r="E5" i="23"/>
  <c r="D5" i="23"/>
  <c r="C5" i="23"/>
  <c r="AD12" i="23"/>
  <c r="AC12" i="23"/>
  <c r="AB12" i="23"/>
  <c r="AA12" i="23"/>
  <c r="Z12" i="23"/>
  <c r="Y12" i="23"/>
  <c r="X12" i="23"/>
  <c r="W12" i="23"/>
  <c r="V12" i="23"/>
  <c r="U12" i="23"/>
  <c r="T12" i="23"/>
  <c r="S12" i="23"/>
  <c r="R12" i="23"/>
  <c r="Q12" i="23"/>
  <c r="P12" i="23"/>
  <c r="O12" i="23"/>
  <c r="N12" i="23"/>
  <c r="M12" i="23"/>
  <c r="L12" i="23"/>
  <c r="K12" i="23"/>
  <c r="J12" i="23"/>
  <c r="I12" i="23"/>
  <c r="H12" i="23"/>
  <c r="G12" i="23"/>
  <c r="F12" i="23"/>
  <c r="E12" i="23"/>
  <c r="D12" i="23"/>
  <c r="C12" i="23"/>
  <c r="AH12" i="23"/>
  <c r="AH4" i="23"/>
  <c r="B1" i="23"/>
  <c r="AG5" i="22"/>
  <c r="AF5" i="22"/>
  <c r="AE5" i="22"/>
  <c r="AD5" i="22"/>
  <c r="AC5" i="22"/>
  <c r="AB5" i="22"/>
  <c r="AA5" i="22"/>
  <c r="Z5" i="22"/>
  <c r="Y5" i="22"/>
  <c r="X5" i="22"/>
  <c r="W5" i="22"/>
  <c r="V5" i="22"/>
  <c r="U5" i="22"/>
  <c r="T5" i="22"/>
  <c r="S5" i="22"/>
  <c r="R5" i="22"/>
  <c r="Q5" i="22"/>
  <c r="P5" i="22"/>
  <c r="O5" i="22"/>
  <c r="N5" i="22"/>
  <c r="M5" i="22"/>
  <c r="L5" i="22"/>
  <c r="K5" i="22"/>
  <c r="J5" i="22"/>
  <c r="I5" i="22"/>
  <c r="H5" i="22"/>
  <c r="G5" i="22"/>
  <c r="F5" i="22"/>
  <c r="E5" i="22"/>
  <c r="D5" i="22"/>
  <c r="C5" i="22"/>
  <c r="AE12" i="22"/>
  <c r="AD12" i="22"/>
  <c r="AC12" i="22"/>
  <c r="AB12" i="22"/>
  <c r="AA12" i="22"/>
  <c r="Z12" i="22"/>
  <c r="Y12" i="22"/>
  <c r="X12" i="22"/>
  <c r="W12" i="22"/>
  <c r="V12" i="22"/>
  <c r="U12" i="22"/>
  <c r="T12" i="22"/>
  <c r="S12" i="22"/>
  <c r="R12" i="22"/>
  <c r="Q12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AH11" i="22"/>
  <c r="AH10" i="22"/>
  <c r="AH9" i="22"/>
  <c r="AH8" i="22"/>
  <c r="AH7" i="22"/>
  <c r="AH4" i="22"/>
  <c r="B1" i="22"/>
  <c r="AG5" i="21"/>
  <c r="AF5" i="21"/>
  <c r="AE5" i="21"/>
  <c r="AD5" i="21"/>
  <c r="AC5" i="21"/>
  <c r="AB5" i="21"/>
  <c r="AA5" i="21"/>
  <c r="Z5" i="21"/>
  <c r="Y5" i="21"/>
  <c r="X5" i="21"/>
  <c r="W5" i="21"/>
  <c r="V5" i="21"/>
  <c r="U5" i="21"/>
  <c r="T5" i="21"/>
  <c r="S5" i="21"/>
  <c r="R5" i="21"/>
  <c r="Q5" i="21"/>
  <c r="P5" i="21"/>
  <c r="O5" i="21"/>
  <c r="N5" i="21"/>
  <c r="M5" i="21"/>
  <c r="L5" i="21"/>
  <c r="K5" i="21"/>
  <c r="J5" i="21"/>
  <c r="I5" i="21"/>
  <c r="H5" i="21"/>
  <c r="G5" i="21"/>
  <c r="F5" i="21"/>
  <c r="E5" i="21"/>
  <c r="D5" i="21"/>
  <c r="C5" i="21"/>
  <c r="AE12" i="21"/>
  <c r="AD12" i="21"/>
  <c r="AC12" i="21"/>
  <c r="AB12" i="21"/>
  <c r="AA12" i="21"/>
  <c r="Z12" i="21"/>
  <c r="Y12" i="21"/>
  <c r="X12" i="21"/>
  <c r="W12" i="21"/>
  <c r="V12" i="21"/>
  <c r="U12" i="21"/>
  <c r="T12" i="21"/>
  <c r="S12" i="21"/>
  <c r="R12" i="21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AH11" i="21"/>
  <c r="AH10" i="21"/>
  <c r="AH9" i="21"/>
  <c r="AH8" i="21"/>
  <c r="AH7" i="21"/>
  <c r="AH4" i="21"/>
  <c r="B1" i="21"/>
  <c r="AF5" i="20"/>
  <c r="AE5" i="20"/>
  <c r="AD5" i="20"/>
  <c r="AC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M5" i="20"/>
  <c r="L5" i="20"/>
  <c r="K5" i="20"/>
  <c r="J5" i="20"/>
  <c r="I5" i="20"/>
  <c r="H5" i="20"/>
  <c r="G5" i="20"/>
  <c r="F5" i="20"/>
  <c r="E5" i="20"/>
  <c r="D5" i="20"/>
  <c r="C5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AH4" i="20"/>
  <c r="B1" i="20"/>
  <c r="AG5" i="19"/>
  <c r="AF5" i="19"/>
  <c r="AE5" i="19"/>
  <c r="AD5" i="19"/>
  <c r="AC5" i="19"/>
  <c r="AB5" i="19"/>
  <c r="AA5" i="19"/>
  <c r="Z5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E5" i="19"/>
  <c r="D5" i="19"/>
  <c r="C5" i="19"/>
  <c r="AE12" i="19"/>
  <c r="AD12" i="19"/>
  <c r="AC12" i="19"/>
  <c r="AB12" i="19"/>
  <c r="AA12" i="19"/>
  <c r="Z12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AH11" i="19"/>
  <c r="AH10" i="19"/>
  <c r="AH9" i="19"/>
  <c r="AH8" i="19"/>
  <c r="AH7" i="19"/>
  <c r="AH4" i="19"/>
  <c r="B1" i="19"/>
  <c r="AF5" i="18"/>
  <c r="AE5" i="18"/>
  <c r="AD5" i="18"/>
  <c r="AC5" i="18"/>
  <c r="AB5" i="18"/>
  <c r="AA5" i="18"/>
  <c r="Z5" i="18"/>
  <c r="Y5" i="18"/>
  <c r="X5" i="18"/>
  <c r="W5" i="18"/>
  <c r="V5" i="18"/>
  <c r="U5" i="18"/>
  <c r="T5" i="18"/>
  <c r="S5" i="18"/>
  <c r="R5" i="18"/>
  <c r="Q5" i="18"/>
  <c r="P5" i="18"/>
  <c r="O5" i="18"/>
  <c r="N5" i="18"/>
  <c r="M5" i="18"/>
  <c r="L5" i="18"/>
  <c r="K5" i="18"/>
  <c r="J5" i="18"/>
  <c r="I5" i="18"/>
  <c r="H5" i="18"/>
  <c r="G5" i="18"/>
  <c r="F5" i="18"/>
  <c r="E5" i="18"/>
  <c r="D5" i="18"/>
  <c r="C5" i="18"/>
  <c r="AE12" i="18"/>
  <c r="AD12" i="18"/>
  <c r="AC12" i="18"/>
  <c r="AB12" i="18"/>
  <c r="AA12" i="18"/>
  <c r="Z12" i="18"/>
  <c r="Y12" i="18"/>
  <c r="X12" i="18"/>
  <c r="W12" i="18"/>
  <c r="V12" i="18"/>
  <c r="U12" i="18"/>
  <c r="T12" i="18"/>
  <c r="S12" i="18"/>
  <c r="R12" i="18"/>
  <c r="Q12" i="18"/>
  <c r="P12" i="18"/>
  <c r="O12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AH12" i="18"/>
  <c r="AH4" i="18"/>
  <c r="B1" i="18"/>
  <c r="AG5" i="17"/>
  <c r="AF5" i="17"/>
  <c r="AE5" i="17"/>
  <c r="AD5" i="17"/>
  <c r="AC5" i="17"/>
  <c r="AB5" i="17"/>
  <c r="AA5" i="17"/>
  <c r="Z5" i="17"/>
  <c r="Y5" i="17"/>
  <c r="X5" i="17"/>
  <c r="W5" i="17"/>
  <c r="V5" i="17"/>
  <c r="U5" i="17"/>
  <c r="T5" i="17"/>
  <c r="S5" i="17"/>
  <c r="R5" i="17"/>
  <c r="Q5" i="17"/>
  <c r="P5" i="17"/>
  <c r="O5" i="17"/>
  <c r="N5" i="17"/>
  <c r="M5" i="17"/>
  <c r="L5" i="17"/>
  <c r="K5" i="17"/>
  <c r="J5" i="17"/>
  <c r="I5" i="17"/>
  <c r="H5" i="17"/>
  <c r="G5" i="17"/>
  <c r="F5" i="17"/>
  <c r="E5" i="17"/>
  <c r="D5" i="17"/>
  <c r="C5" i="17"/>
  <c r="AE12" i="17"/>
  <c r="AD12" i="17"/>
  <c r="AC12" i="17"/>
  <c r="AB12" i="17"/>
  <c r="AA12" i="17"/>
  <c r="Z12" i="17"/>
  <c r="Y12" i="17"/>
  <c r="X12" i="17"/>
  <c r="W12" i="17"/>
  <c r="V12" i="17"/>
  <c r="U12" i="17"/>
  <c r="T12" i="17"/>
  <c r="S12" i="17"/>
  <c r="R12" i="17"/>
  <c r="Q12" i="17"/>
  <c r="P12" i="17"/>
  <c r="O12" i="17"/>
  <c r="N12" i="17"/>
  <c r="M12" i="17"/>
  <c r="L12" i="17"/>
  <c r="K12" i="17"/>
  <c r="J12" i="17"/>
  <c r="I12" i="17"/>
  <c r="H12" i="17"/>
  <c r="G12" i="17"/>
  <c r="F12" i="17"/>
  <c r="E12" i="17"/>
  <c r="D12" i="17"/>
  <c r="C12" i="17"/>
  <c r="AH11" i="17"/>
  <c r="AH10" i="17"/>
  <c r="AH9" i="17"/>
  <c r="AH8" i="17"/>
  <c r="AH7" i="17"/>
  <c r="AH4" i="17"/>
  <c r="B1" i="17"/>
  <c r="B1" i="15"/>
  <c r="B1" i="5"/>
  <c r="AH12" i="21" l="1"/>
  <c r="AH12" i="17"/>
  <c r="AH12" i="22"/>
  <c r="AH12" i="25"/>
  <c r="AH12" i="20"/>
  <c r="AH12" i="19"/>
  <c r="AH12" i="24"/>
  <c r="AB5" i="5"/>
  <c r="AH4" i="5" l="1"/>
  <c r="AH4" i="15" l="1"/>
  <c r="C12" i="4" l="1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Z12" i="4"/>
  <c r="AA12" i="4"/>
  <c r="AB12" i="4"/>
  <c r="AC12" i="4"/>
  <c r="AD12" i="4"/>
  <c r="AE12" i="4"/>
  <c r="AF12" i="4"/>
  <c r="AG12" i="4"/>
  <c r="AH7" i="15" l="1"/>
  <c r="AH8" i="15"/>
  <c r="AH9" i="15"/>
  <c r="AH10" i="15"/>
  <c r="AH11" i="15"/>
  <c r="AH12" i="15" l="1"/>
  <c r="C12" i="15"/>
  <c r="D12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Q12" i="15"/>
  <c r="R12" i="15"/>
  <c r="S12" i="15"/>
  <c r="T12" i="15"/>
  <c r="U12" i="15"/>
  <c r="V12" i="15"/>
  <c r="W12" i="15"/>
  <c r="X12" i="15"/>
  <c r="Y12" i="15"/>
  <c r="Z12" i="15"/>
  <c r="AA12" i="15"/>
  <c r="AB12" i="15"/>
  <c r="AC12" i="15"/>
  <c r="AG5" i="15" l="1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AH11" i="5" l="1"/>
  <c r="AH10" i="5"/>
  <c r="AH9" i="5"/>
  <c r="AH11" i="4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AH8" i="5"/>
  <c r="AH7" i="5"/>
  <c r="AE5" i="5"/>
  <c r="AD5" i="5"/>
  <c r="AC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AH12" i="5" l="1"/>
  <c r="AH7" i="4"/>
  <c r="AH8" i="4"/>
  <c r="AH12" i="4" l="1"/>
  <c r="AE5" i="4"/>
  <c r="AA5" i="4"/>
  <c r="W5" i="4"/>
  <c r="O5" i="4"/>
  <c r="G5" i="4"/>
  <c r="AD5" i="4"/>
  <c r="Z5" i="4"/>
  <c r="R5" i="4"/>
  <c r="N5" i="4"/>
  <c r="F5" i="4"/>
  <c r="M5" i="4"/>
  <c r="AG5" i="4"/>
  <c r="AC5" i="4"/>
  <c r="Y5" i="4"/>
  <c r="S5" i="4"/>
  <c r="K5" i="4"/>
  <c r="E5" i="4"/>
  <c r="AF5" i="4"/>
  <c r="AB5" i="4"/>
  <c r="X5" i="4"/>
  <c r="T5" i="4"/>
  <c r="P5" i="4"/>
  <c r="L5" i="4"/>
  <c r="H5" i="4"/>
  <c r="D5" i="4"/>
  <c r="Q5" i="4"/>
  <c r="I5" i="4"/>
  <c r="C5" i="4"/>
  <c r="V5" i="4"/>
  <c r="J5" i="4"/>
  <c r="U5" i="4"/>
</calcChain>
</file>

<file path=xl/sharedStrings.xml><?xml version="1.0" encoding="utf-8"?>
<sst xmlns="http://schemas.openxmlformats.org/spreadsheetml/2006/main" count="643" uniqueCount="66">
  <si>
    <t>Raspored izostanaka zaposlenika</t>
  </si>
  <si>
    <t>Oznaka vrste izostanka</t>
  </si>
  <si>
    <t>Siječanj</t>
  </si>
  <si>
    <t>Ime i prezime zaposlenika</t>
  </si>
  <si>
    <t>Zaposlenik 1</t>
  </si>
  <si>
    <t>Zaposlenik 2</t>
  </si>
  <si>
    <t>Zaposlenik 3</t>
  </si>
  <si>
    <t>Zaposlenik 4</t>
  </si>
  <si>
    <t>Zaposlenik 5</t>
  </si>
  <si>
    <t>G</t>
  </si>
  <si>
    <t>Datumi izostanaka</t>
  </si>
  <si>
    <t>1</t>
  </si>
  <si>
    <t>Godišnji odmor</t>
  </si>
  <si>
    <t>2</t>
  </si>
  <si>
    <t>O</t>
  </si>
  <si>
    <t>4</t>
  </si>
  <si>
    <t>B</t>
  </si>
  <si>
    <t>5</t>
  </si>
  <si>
    <t>Osobne potrebe</t>
  </si>
  <si>
    <t>6</t>
  </si>
  <si>
    <t>9</t>
  </si>
  <si>
    <t>Bolovanje</t>
  </si>
  <si>
    <t>10</t>
  </si>
  <si>
    <t>11</t>
  </si>
  <si>
    <t>12</t>
  </si>
  <si>
    <t>Prilagođeno 1</t>
  </si>
  <si>
    <t>13</t>
  </si>
  <si>
    <t>14</t>
  </si>
  <si>
    <t>15</t>
  </si>
  <si>
    <t>16</t>
  </si>
  <si>
    <t>Prilagođeno 2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</si>
  <si>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</si>
  <si>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</si>
  <si>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</si>
  <si>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</si>
  <si>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</si>
  <si>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</si>
  <si>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</si>
  <si>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</si>
  <si>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</si>
  <si>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</si>
  <si>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</si>
  <si>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</si>
  <si>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</si>
  <si>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</si>
  <si>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</si>
  <si>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Unesite godinu:</t>
  </si>
  <si>
    <t>UkupnoDana</t>
  </si>
  <si>
    <t>Veljača</t>
  </si>
  <si>
    <t xml:space="preserve"> </t>
  </si>
  <si>
    <t xml:space="preserve">  </t>
  </si>
  <si>
    <t>Ožujak</t>
  </si>
  <si>
    <t>Travanj</t>
  </si>
  <si>
    <t>Ukupno dana</t>
  </si>
  <si>
    <t>Lipanj</t>
  </si>
  <si>
    <t>Srpanj</t>
  </si>
  <si>
    <t>Kolovoz</t>
  </si>
  <si>
    <t>Rujan</t>
  </si>
  <si>
    <t>Listopad</t>
  </si>
  <si>
    <t>Studeni</t>
  </si>
  <si>
    <t>Prosinac</t>
  </si>
  <si>
    <t>Imena zaposlenika</t>
  </si>
  <si>
    <t>Svibanj</t>
  </si>
  <si>
    <t>3</t>
  </si>
  <si>
    <t>7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</si>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</sst>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(* #,##0_);_(* \(#,##0\);_(* &quot;-&quot;_);_(@_)"/>
    <numFmt numFmtId="165" formatCode="_(* #,##0.00_);_(* \(#,##0.00\);_(* &quot;-&quot;??_);_(@_)"/>
    <numFmt numFmtId="166" formatCode="0;0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3" tint="-0.24994659260841701"/>
      <name val="Calibri"/>
      <family val="2"/>
      <scheme val="major"/>
    </font>
    <font>
      <b/>
      <sz val="18"/>
      <color theme="4" tint="-0.24994659260841701"/>
      <name val="Calibri"/>
      <family val="2"/>
      <scheme val="minor"/>
    </font>
    <font>
      <b/>
      <sz val="26"/>
      <color theme="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8E3E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horizontal="left" vertical="center"/>
    </xf>
    <xf numFmtId="0" fontId="6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vertical="top"/>
    </xf>
    <xf numFmtId="0" fontId="5" fillId="2" borderId="0" applyNumberFormat="0" applyBorder="0" applyProtection="0">
      <alignment horizontal="center" vertical="center"/>
    </xf>
    <xf numFmtId="0" fontId="2" fillId="20" borderId="0" applyNumberFormat="0" applyProtection="0">
      <alignment horizontal="right" vertical="center" indent="1"/>
    </xf>
    <xf numFmtId="0" fontId="1" fillId="0" borderId="0" applyNumberFormat="0" applyFill="0" applyBorder="0" applyProtection="0">
      <alignment horizontal="left" vertical="center" indent="2"/>
    </xf>
    <xf numFmtId="0" fontId="3" fillId="3" borderId="0" applyNumberFormat="0" applyBorder="0" applyAlignment="0" applyProtection="0"/>
    <xf numFmtId="0" fontId="1" fillId="4" borderId="0" applyNumberFormat="0" applyBorder="0" applyProtection="0">
      <alignment horizontal="center" vertical="center"/>
    </xf>
    <xf numFmtId="0" fontId="2" fillId="9" borderId="0" applyNumberFormat="0" applyBorder="0" applyAlignment="0" applyProtection="0"/>
    <xf numFmtId="0" fontId="1" fillId="5" borderId="0" applyNumberFormat="0" applyBorder="0" applyAlignment="0" applyProtection="0"/>
    <xf numFmtId="0" fontId="3" fillId="7" borderId="0" applyNumberFormat="0" applyBorder="0" applyAlignment="0" applyProtection="0"/>
    <xf numFmtId="0" fontId="1" fillId="6" borderId="0" applyNumberFormat="0" applyBorder="0" applyAlignment="0" applyProtection="0"/>
    <xf numFmtId="0" fontId="2" fillId="15" borderId="0" applyNumberFormat="0" applyBorder="0" applyAlignment="0" applyProtection="0"/>
    <xf numFmtId="0" fontId="1" fillId="8" borderId="0" applyNumberFormat="0" applyBorder="0" applyAlignment="0" applyProtection="0"/>
    <xf numFmtId="0" fontId="3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2" fillId="10" borderId="0" applyNumberFormat="0" applyBorder="0" applyAlignment="0" applyProtection="0"/>
    <xf numFmtId="0" fontId="3" fillId="11" borderId="0" applyNumberFormat="0" applyBorder="0" applyAlignment="0" applyProtection="0"/>
    <xf numFmtId="0" fontId="1" fillId="2" borderId="0" applyNumberFormat="0" applyBorder="0" applyAlignment="0" applyProtection="0"/>
    <xf numFmtId="0" fontId="2" fillId="12" borderId="0" applyNumberFormat="0" applyBorder="0" applyProtection="0">
      <alignment horizontal="left" vertical="center" indent="1"/>
    </xf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1" fontId="1" fillId="0" borderId="0" applyFill="0" applyBorder="0" applyProtection="0">
      <alignment horizontal="center" vertical="center"/>
    </xf>
    <xf numFmtId="0" fontId="1" fillId="0" borderId="0" applyNumberFormat="0" applyFill="0" applyBorder="0">
      <alignment horizontal="left" vertical="center" wrapText="1" indent="2"/>
    </xf>
    <xf numFmtId="0" fontId="7" fillId="0" borderId="0">
      <alignment horizont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1" applyNumberFormat="0" applyAlignment="0" applyProtection="0"/>
    <xf numFmtId="0" fontId="13" fillId="25" borderId="2" applyNumberFormat="0" applyAlignment="0" applyProtection="0"/>
    <xf numFmtId="0" fontId="14" fillId="25" borderId="1" applyNumberFormat="0" applyAlignment="0" applyProtection="0"/>
    <xf numFmtId="0" fontId="15" fillId="0" borderId="3" applyNumberFormat="0" applyFill="0" applyAlignment="0" applyProtection="0"/>
    <xf numFmtId="0" fontId="16" fillId="26" borderId="4" applyNumberFormat="0" applyAlignment="0" applyProtection="0"/>
    <xf numFmtId="0" fontId="17" fillId="0" borderId="0" applyNumberFormat="0" applyFill="0" applyBorder="0" applyAlignment="0" applyProtection="0"/>
    <xf numFmtId="0" fontId="1" fillId="27" borderId="5" applyNumberFormat="0" applyFont="0" applyAlignment="0" applyProtection="0"/>
    <xf numFmtId="0" fontId="18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>
      <alignment horizontal="left" vertical="center"/>
    </xf>
    <xf numFmtId="0" fontId="1" fillId="0" borderId="0" xfId="26">
      <alignment horizontal="left" vertical="center" wrapText="1" indent="2"/>
    </xf>
    <xf numFmtId="0" fontId="0" fillId="0" borderId="0" xfId="0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2" fillId="15" borderId="0" xfId="12" applyAlignment="1" applyProtection="1">
      <alignment horizontal="center" vertical="center"/>
    </xf>
    <xf numFmtId="0" fontId="2" fillId="10" borderId="0" xfId="19" applyAlignment="1" applyProtection="1">
      <alignment horizontal="center" vertical="center"/>
    </xf>
    <xf numFmtId="0" fontId="2" fillId="13" borderId="0" xfId="23" applyFont="1" applyAlignment="1" applyProtection="1">
      <alignment horizontal="center" vertical="center"/>
    </xf>
    <xf numFmtId="166" fontId="2" fillId="9" borderId="0" xfId="8" applyNumberFormat="1" applyFont="1" applyAlignment="1" applyProtection="1">
      <alignment horizontal="center" vertical="center"/>
    </xf>
    <xf numFmtId="166" fontId="2" fillId="14" borderId="0" xfId="24" applyNumberFormat="1" applyFont="1" applyAlignment="1" applyProtection="1">
      <alignment horizontal="center" vertical="center"/>
    </xf>
    <xf numFmtId="0" fontId="1" fillId="0" borderId="0" xfId="26" applyFill="1" applyBorder="1">
      <alignment horizontal="left" vertical="center" wrapText="1" indent="2"/>
    </xf>
    <xf numFmtId="1" fontId="1" fillId="0" borderId="0" xfId="25" applyFill="1" applyBorder="1" applyProtection="1">
      <alignment horizontal="center" vertical="center"/>
    </xf>
    <xf numFmtId="0" fontId="0" fillId="0" borderId="0" xfId="0" applyProtection="1">
      <alignment horizontal="left" vertical="center"/>
    </xf>
    <xf numFmtId="0" fontId="5" fillId="2" borderId="0" xfId="3" applyProtection="1">
      <alignment horizontal="center" vertical="center"/>
    </xf>
    <xf numFmtId="166" fontId="0" fillId="0" borderId="0" xfId="0" applyNumberFormat="1" applyFont="1" applyFill="1" applyBorder="1" applyAlignment="1" applyProtection="1">
      <alignment horizontal="center" vertical="center"/>
    </xf>
    <xf numFmtId="0" fontId="6" fillId="0" borderId="0" xfId="1" applyAlignment="1" applyProtection="1">
      <alignment vertical="top"/>
    </xf>
    <xf numFmtId="0" fontId="1" fillId="2" borderId="0" xfId="21" applyBorder="1" applyAlignment="1" applyProtection="1">
      <alignment horizontal="left" vertical="center" indent="1"/>
    </xf>
    <xf numFmtId="0" fontId="0" fillId="0" borderId="0" xfId="21" applyFont="1" applyFill="1" applyBorder="1" applyAlignment="1" applyProtection="1">
      <alignment horizontal="center" vertical="center"/>
    </xf>
    <xf numFmtId="0" fontId="1" fillId="0" borderId="0" xfId="26" applyFill="1" applyBorder="1" applyProtection="1">
      <alignment horizontal="left" vertical="center" wrapText="1" indent="2"/>
    </xf>
    <xf numFmtId="0" fontId="0" fillId="0" borderId="0" xfId="0" applyAlignment="1" applyProtection="1">
      <alignment horizontal="left" vertical="center" wrapText="1"/>
    </xf>
    <xf numFmtId="0" fontId="2" fillId="20" borderId="0" xfId="4" applyProtection="1">
      <alignment horizontal="right" vertical="center" indent="1"/>
    </xf>
    <xf numFmtId="0" fontId="7" fillId="0" borderId="0" xfId="27" applyProtection="1">
      <alignment horizontal="center"/>
    </xf>
    <xf numFmtId="0" fontId="0" fillId="0" borderId="0" xfId="0" applyFont="1" applyFill="1" applyBorder="1" applyAlignment="1" applyProtection="1">
      <alignment horizontal="left" vertical="center" indent="1"/>
    </xf>
    <xf numFmtId="0" fontId="6" fillId="0" borderId="0" xfId="1">
      <alignment vertical="top"/>
    </xf>
    <xf numFmtId="0" fontId="8" fillId="0" borderId="0" xfId="0" applyFont="1" applyFill="1" applyBorder="1" applyAlignment="1" applyProtection="1">
      <alignment horizontal="center" vertical="center"/>
    </xf>
    <xf numFmtId="0" fontId="5" fillId="2" borderId="0" xfId="3" applyProtection="1">
      <alignment horizontal="center" vertical="center"/>
    </xf>
    <xf numFmtId="0" fontId="1" fillId="2" borderId="0" xfId="21" applyAlignment="1" applyProtection="1">
      <alignment horizontal="left" vertical="center"/>
    </xf>
  </cellXfs>
  <cellStyles count="49">
    <cellStyle name="20% - Isticanje1" xfId="15" builtinId="30" customBuiltin="1"/>
    <cellStyle name="20% - Isticanje2" xfId="44" builtinId="34" customBuiltin="1"/>
    <cellStyle name="20% - Isticanje3" xfId="21" builtinId="38" customBuiltin="1"/>
    <cellStyle name="20% - Isticanje4" xfId="7" builtinId="42" customBuiltin="1"/>
    <cellStyle name="20% - Isticanje5" xfId="47" builtinId="46" customBuiltin="1"/>
    <cellStyle name="20% - Isticanje6" xfId="11" builtinId="50" customBuiltin="1"/>
    <cellStyle name="40% - Isticanje1" xfId="16" builtinId="31" customBuiltin="1"/>
    <cellStyle name="40% - Isticanje2" xfId="19" builtinId="35" customBuiltin="1"/>
    <cellStyle name="40% - Isticanje3" xfId="22" builtinId="39" customBuiltin="1"/>
    <cellStyle name="40% - Isticanje4" xfId="8" builtinId="43" customBuiltin="1"/>
    <cellStyle name="40% - Isticanje5" xfId="24" builtinId="47" customBuiltin="1"/>
    <cellStyle name="40% - Isticanje6" xfId="12" builtinId="51" customBuiltin="1"/>
    <cellStyle name="60% - Isticanje1" xfId="17" builtinId="32" customBuiltin="1"/>
    <cellStyle name="60% - Isticanje2" xfId="45" builtinId="36" customBuiltin="1"/>
    <cellStyle name="60% - Isticanje3" xfId="23" builtinId="40" customBuiltin="1"/>
    <cellStyle name="60% - Isticanje4" xfId="9" builtinId="44" customBuiltin="1"/>
    <cellStyle name="60% - Isticanje5" xfId="48" builtinId="48" customBuiltin="1"/>
    <cellStyle name="60% - Isticanje6" xfId="13" builtinId="52" customBuiltin="1"/>
    <cellStyle name="Bilješka" xfId="42" builtinId="10" customBuiltin="1"/>
    <cellStyle name="Dobro" xfId="33" builtinId="26" customBuiltin="1"/>
    <cellStyle name="Isticanje1" xfId="14" builtinId="29" customBuiltin="1"/>
    <cellStyle name="Isticanje2" xfId="18" builtinId="33" customBuiltin="1"/>
    <cellStyle name="Isticanje3" xfId="20" builtinId="37" customBuiltin="1"/>
    <cellStyle name="Isticanje4" xfId="6" builtinId="41" customBuiltin="1"/>
    <cellStyle name="Isticanje5" xfId="46" builtinId="45" customBuiltin="1"/>
    <cellStyle name="Isticanje6" xfId="10" builtinId="49" customBuiltin="1"/>
    <cellStyle name="Izlaz" xfId="37" builtinId="21" customBuiltin="1"/>
    <cellStyle name="Izračun" xfId="38" builtinId="22" customBuiltin="1"/>
    <cellStyle name="Loše" xfId="34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tpis" xfId="27" xr:uid="{00000000-0005-0000-0000-000018000000}"/>
    <cellStyle name="Neutralno" xfId="35" builtinId="28" customBuiltin="1"/>
    <cellStyle name="Normalno" xfId="0" builtinId="0" customBuiltin="1"/>
    <cellStyle name="Postotak" xfId="32" builtinId="5" customBuiltin="1"/>
    <cellStyle name="Povezana ćelija" xfId="39" builtinId="24" customBuiltin="1"/>
    <cellStyle name="Provjera ćelije" xfId="40" builtinId="23" customBuiltin="1"/>
    <cellStyle name="Tekst objašnjenja" xfId="43" builtinId="53" customBuiltin="1"/>
    <cellStyle name="Tekst upozorenja" xfId="41" builtinId="11" customBuiltin="1"/>
    <cellStyle name="Ukupni zbroj" xfId="25" builtinId="25" customBuiltin="1"/>
    <cellStyle name="Unos" xfId="36" builtinId="20" customBuiltin="1"/>
    <cellStyle name="Valuta" xfId="30" builtinId="4" customBuiltin="1"/>
    <cellStyle name="Valuta [0]" xfId="31" builtinId="7" customBuiltin="1"/>
    <cellStyle name="Zaposlenik" xfId="26" xr:uid="{00000000-0005-0000-0000-000013000000}"/>
    <cellStyle name="Zarez" xfId="28" builtinId="3" customBuiltin="1"/>
    <cellStyle name="Zarez [0]" xfId="29" builtinId="6" customBuiltin="1"/>
  </cellStyles>
  <dxfs count="90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6" formatCode="0;0;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0"/>
      </font>
      <border>
        <vertical/>
        <horizontal/>
      </border>
    </dxf>
    <dxf>
      <font>
        <b val="0"/>
        <i val="0"/>
        <color theme="3"/>
      </font>
      <border>
        <vertical/>
        <horizontal/>
      </border>
    </dxf>
    <dxf>
      <font>
        <color theme="1"/>
      </font>
      <fill>
        <patternFill>
          <bgColor theme="4" tint="0.39994506668294322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6" tint="0.39994506668294322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numFmt numFmtId="1" formatCode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numFmt numFmtId="1" formatCode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numFmt numFmtId="1" formatCode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numFmt numFmtId="1" formatCode="0"/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ill>
        <patternFill patternType="none">
          <fgColor indexed="64"/>
          <bgColor indexed="65"/>
        </patternFill>
      </fill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fill>
        <patternFill patternType="none">
          <fgColor indexed="64"/>
          <bgColor indexed="65"/>
        </patternFill>
      </fill>
    </dxf>
    <dxf>
      <protection locked="1" hidden="0"/>
    </dxf>
    <dxf>
      <protection locked="1" hidden="0"/>
    </dxf>
    <dxf>
      <protection locked="1" hidden="0"/>
    </dxf>
    <dxf>
      <fill>
        <patternFill patternType="solid">
          <bgColor theme="6" tint="0.79998168889431442"/>
        </patternFill>
      </fill>
      <border diagonalUp="0" diagonalDown="0">
        <left/>
        <right/>
        <top style="thin">
          <color theme="0" tint="-0.14996795556505021"/>
        </top>
        <bottom style="medium">
          <color theme="2" tint="-0.499984740745262"/>
        </bottom>
        <vertical/>
        <horizontal/>
      </border>
    </dxf>
    <dxf>
      <font>
        <color theme="1"/>
      </font>
      <fill>
        <patternFill patternType="solid">
          <bgColor theme="6" tint="0.79998168889431442"/>
        </patternFill>
      </fill>
      <border diagonalUp="0" diagonalDown="0">
        <left/>
        <right/>
        <top style="thin">
          <color theme="0" tint="-0.14993743705557422"/>
        </top>
        <bottom style="medium">
          <color theme="2" tint="-0.499984740745262"/>
        </bottom>
        <vertical/>
        <horizontal style="thin">
          <color theme="0" tint="-0.14993743705557422"/>
        </horizontal>
      </border>
    </dxf>
    <dxf>
      <font>
        <color theme="1"/>
      </font>
      <fill>
        <patternFill patternType="solid">
          <bgColor theme="2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/>
      </border>
    </dxf>
    <dxf>
      <font>
        <color theme="1"/>
      </font>
      <fill>
        <patternFill patternType="none">
          <bgColor auto="1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3743705557422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>
          <bgColor theme="0" tint="-4.9989318521683403E-2"/>
        </patternFill>
      </fill>
      <border>
        <left style="thin">
          <color theme="0"/>
        </left>
        <right style="thin">
          <color theme="0"/>
        </right>
        <vertical style="thin">
          <color theme="0"/>
        </vertical>
      </border>
    </dxf>
    <dxf>
      <fill>
        <patternFill>
          <bgColor theme="0" tint="-0.14996795556505021"/>
        </patternFill>
      </fill>
    </dxf>
    <dxf>
      <fill>
        <patternFill patternType="solid">
          <fgColor theme="4" tint="0.79992065187536243"/>
          <bgColor theme="0" tint="-4.9989318521683403E-2"/>
        </patternFill>
      </fill>
    </dxf>
    <dxf>
      <font>
        <color theme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color theme="1"/>
      </font>
      <fill>
        <patternFill patternType="none">
          <bgColor auto="1"/>
        </patternFill>
      </fill>
      <border>
        <left/>
        <right/>
        <top style="thin">
          <color theme="2" tint="-9.9917600024414813E-2"/>
        </top>
        <bottom style="thin">
          <color theme="2" tint="-9.9948118533890809E-2"/>
        </bottom>
        <vertical/>
        <horizontal style="thin">
          <color theme="2" tint="-9.9917600024414813E-2"/>
        </horizontal>
      </border>
    </dxf>
    <dxf>
      <font>
        <color theme="1"/>
      </font>
      <fill>
        <patternFill>
          <bgColor theme="6" tint="0.79998168889431442"/>
        </patternFill>
      </fill>
      <border diagonalUp="0" diagonalDown="0">
        <left style="thin">
          <color theme="0"/>
        </left>
        <right style="thin">
          <color theme="0"/>
        </right>
        <top/>
        <bottom style="medium">
          <color theme="2" tint="-0.499984740745262"/>
        </bottom>
        <vertical style="thin">
          <color theme="0"/>
        </vertical>
        <horizontal/>
      </border>
    </dxf>
    <dxf>
      <font>
        <color theme="0"/>
      </font>
      <fill>
        <patternFill>
          <bgColor theme="3"/>
        </patternFill>
      </fill>
    </dxf>
    <dxf>
      <font>
        <color theme="1"/>
      </font>
      <border diagonalUp="0" diagonalDown="0">
        <left/>
        <right/>
        <top/>
        <bottom/>
        <vertical style="thin">
          <color theme="0"/>
        </vertical>
        <horizontal/>
      </border>
    </dxf>
  </dxfs>
  <tableStyles count="1" defaultPivotStyle="PivotStyleLight16">
    <tableStyle name="Tablica izostanaka zaposlenika" pivot="0" count="13" xr9:uid="{00000000-0011-0000-FFFF-FFFF00000000}">
      <tableStyleElement type="wholeTable" dxfId="901"/>
      <tableStyleElement type="headerRow" dxfId="900"/>
      <tableStyleElement type="totalRow" dxfId="899"/>
      <tableStyleElement type="firstColumn" dxfId="898"/>
      <tableStyleElement type="lastColumn" dxfId="897"/>
      <tableStyleElement type="firstRowStripe" dxfId="896"/>
      <tableStyleElement type="secondRowStripe" dxfId="895"/>
      <tableStyleElement type="firstColumnStripe" dxfId="894"/>
      <tableStyleElement type="secondColumnStripe" dxfId="893"/>
      <tableStyleElement type="firstHeaderCell" dxfId="892"/>
      <tableStyleElement type="lastHeaderCell" dxfId="891"/>
      <tableStyleElement type="firstTotalCell" dxfId="890"/>
      <tableStyleElement type="lastTotalCell" dxfId="88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Siječanj" displayName="Siječanj" ref="B6:AH12" totalsRowCount="1" headerRowDxfId="888" dataDxfId="887" totalsRowDxfId="886">
  <autoFilter ref="B6:AH11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</autoFilter>
  <tableColumns count="33">
    <tableColumn id="1" xr3:uid="{00000000-0010-0000-0000-000001000000}" name="Ime i prezime zaposlenika" totalsRowFunction="custom" dataDxfId="885" totalsRowDxfId="395" dataCellStyle="Zaposlenik">
      <totalsRowFormula>NazivMjeseca&amp;" Ukupno"</totalsRowFormula>
    </tableColumn>
    <tableColumn id="2" xr3:uid="{00000000-0010-0000-0000-000002000000}" name="1" totalsRowFunction="custom" dataDxfId="884" totalsRowDxfId="394">
      <totalsRowFormula>SUBTOTAL(103,Siječanj!$C$7:$C$11)</totalsRowFormula>
    </tableColumn>
    <tableColumn id="3" xr3:uid="{00000000-0010-0000-0000-000003000000}" name="2" totalsRowFunction="custom" dataDxfId="883" totalsRowDxfId="393">
      <totalsRowFormula>SUBTOTAL(103,Siječanj!$D$7:$D$11)</totalsRowFormula>
    </tableColumn>
    <tableColumn id="4" xr3:uid="{00000000-0010-0000-0000-000004000000}" name="3" totalsRowFunction="custom" dataDxfId="882" totalsRowDxfId="392">
      <totalsRowFormula>SUBTOTAL(103,Siječanj!$E$7:$E$11)</totalsRowFormula>
    </tableColumn>
    <tableColumn id="5" xr3:uid="{00000000-0010-0000-0000-000005000000}" name="4" totalsRowFunction="custom" dataDxfId="881" totalsRowDxfId="391">
      <totalsRowFormula>SUBTOTAL(103,Siječanj!$F$7:$F$11)</totalsRowFormula>
    </tableColumn>
    <tableColumn id="6" xr3:uid="{00000000-0010-0000-0000-000006000000}" name="5" totalsRowFunction="custom" totalsRowDxfId="390">
      <totalsRowFormula>SUBTOTAL(103,Siječanj!$G$7:$G$11)</totalsRowFormula>
    </tableColumn>
    <tableColumn id="7" xr3:uid="{00000000-0010-0000-0000-000007000000}" name="6" totalsRowFunction="custom" dataDxfId="880" totalsRowDxfId="389">
      <totalsRowFormula>SUBTOTAL(103,Siječanj!$H$7:$H$11)</totalsRowFormula>
    </tableColumn>
    <tableColumn id="8" xr3:uid="{00000000-0010-0000-0000-000008000000}" name="7" totalsRowFunction="custom" dataDxfId="879" totalsRowDxfId="388">
      <totalsRowFormula>SUBTOTAL(103,Siječanj!$I$7:$I$11)</totalsRowFormula>
    </tableColumn>
    <tableColumn id="9" xr3:uid="{00000000-0010-0000-0000-000009000000}" name="8" totalsRowFunction="custom" dataDxfId="878" totalsRowDxfId="387">
      <totalsRowFormula>SUBTOTAL(103,Siječanj!$J$7:$J$11)</totalsRowFormula>
    </tableColumn>
    <tableColumn id="10" xr3:uid="{00000000-0010-0000-0000-00000A000000}" name="9" totalsRowFunction="custom" dataDxfId="877" totalsRowDxfId="386">
      <totalsRowFormula>SUBTOTAL(103,Siječanj!$K$7:$K$11)</totalsRowFormula>
    </tableColumn>
    <tableColumn id="11" xr3:uid="{00000000-0010-0000-0000-00000B000000}" name="10" totalsRowFunction="custom" dataDxfId="876" totalsRowDxfId="385">
      <totalsRowFormula>SUBTOTAL(103,Siječanj!$L$7:$L$11)</totalsRowFormula>
    </tableColumn>
    <tableColumn id="12" xr3:uid="{00000000-0010-0000-0000-00000C000000}" name="11" totalsRowFunction="custom" dataDxfId="875" totalsRowDxfId="384">
      <totalsRowFormula>SUBTOTAL(103,Siječanj!$M$7:$M$11)</totalsRowFormula>
    </tableColumn>
    <tableColumn id="13" xr3:uid="{00000000-0010-0000-0000-00000D000000}" name="12" totalsRowFunction="custom" dataDxfId="874" totalsRowDxfId="383">
      <totalsRowFormula>SUBTOTAL(103,Siječanj!$N$7:$N$11)</totalsRowFormula>
    </tableColumn>
    <tableColumn id="14" xr3:uid="{00000000-0010-0000-0000-00000E000000}" name="13" totalsRowFunction="custom" dataDxfId="873" totalsRowDxfId="382">
      <totalsRowFormula>SUBTOTAL(103,Siječanj!$O$7:$O$11)</totalsRowFormula>
    </tableColumn>
    <tableColumn id="15" xr3:uid="{00000000-0010-0000-0000-00000F000000}" name="14" totalsRowFunction="custom" dataDxfId="872" totalsRowDxfId="381">
      <totalsRowFormula>SUBTOTAL(103,Siječanj!$P$7:$P$11)</totalsRowFormula>
    </tableColumn>
    <tableColumn id="16" xr3:uid="{00000000-0010-0000-0000-000010000000}" name="15" totalsRowFunction="custom" dataDxfId="871" totalsRowDxfId="380">
      <totalsRowFormula>SUBTOTAL(103,Siječanj!$Q$7:$Q$11)</totalsRowFormula>
    </tableColumn>
    <tableColumn id="17" xr3:uid="{00000000-0010-0000-0000-000011000000}" name="16" totalsRowFunction="custom" dataDxfId="870" totalsRowDxfId="379">
      <totalsRowFormula>SUBTOTAL(103,Siječanj!$R$7:$R$11)</totalsRowFormula>
    </tableColumn>
    <tableColumn id="18" xr3:uid="{00000000-0010-0000-0000-000012000000}" name="17" totalsRowFunction="custom" dataDxfId="869" totalsRowDxfId="378">
      <totalsRowFormula>SUBTOTAL(103,Siječanj!$S$7:$S$11)</totalsRowFormula>
    </tableColumn>
    <tableColumn id="19" xr3:uid="{00000000-0010-0000-0000-000013000000}" name="18" totalsRowFunction="custom" dataDxfId="868" totalsRowDxfId="377">
      <totalsRowFormula>SUBTOTAL(103,Siječanj!$T$7:$T$11)</totalsRowFormula>
    </tableColumn>
    <tableColumn id="20" xr3:uid="{00000000-0010-0000-0000-000014000000}" name="19" totalsRowFunction="custom" dataDxfId="867" totalsRowDxfId="376">
      <totalsRowFormula>SUBTOTAL(103,Siječanj!$U$7:$U$11)</totalsRowFormula>
    </tableColumn>
    <tableColumn id="21" xr3:uid="{00000000-0010-0000-0000-000015000000}" name="20" totalsRowFunction="custom" dataDxfId="866" totalsRowDxfId="375">
      <totalsRowFormula>SUBTOTAL(103,Siječanj!$V$7:$V$11)</totalsRowFormula>
    </tableColumn>
    <tableColumn id="22" xr3:uid="{00000000-0010-0000-0000-000016000000}" name="21" totalsRowFunction="custom" dataDxfId="865" totalsRowDxfId="374">
      <totalsRowFormula>SUBTOTAL(103,Siječanj!$W$7:$W$11)</totalsRowFormula>
    </tableColumn>
    <tableColumn id="23" xr3:uid="{00000000-0010-0000-0000-000017000000}" name="22" totalsRowFunction="custom" dataDxfId="864" totalsRowDxfId="373">
      <totalsRowFormula>SUBTOTAL(103,Siječanj!$X$7:$X$11)</totalsRowFormula>
    </tableColumn>
    <tableColumn id="24" xr3:uid="{00000000-0010-0000-0000-000018000000}" name="23" totalsRowFunction="custom" dataDxfId="863" totalsRowDxfId="372">
      <totalsRowFormula>SUBTOTAL(103,Siječanj!$Y$7:$Y$11)</totalsRowFormula>
    </tableColumn>
    <tableColumn id="25" xr3:uid="{00000000-0010-0000-0000-000019000000}" name="24" totalsRowFunction="custom" dataDxfId="862" totalsRowDxfId="371">
      <totalsRowFormula>SUBTOTAL(103,Siječanj!$Z$7:$Z$11)</totalsRowFormula>
    </tableColumn>
    <tableColumn id="26" xr3:uid="{00000000-0010-0000-0000-00001A000000}" name="25" totalsRowFunction="custom" dataDxfId="861" totalsRowDxfId="370">
      <totalsRowFormula>SUBTOTAL(103,Siječanj!$AA$7:$AA$11)</totalsRowFormula>
    </tableColumn>
    <tableColumn id="27" xr3:uid="{00000000-0010-0000-0000-00001B000000}" name="26" totalsRowFunction="custom" dataDxfId="860" totalsRowDxfId="369">
      <totalsRowFormula>SUBTOTAL(103,Siječanj!$AB$7:$AB$11)</totalsRowFormula>
    </tableColumn>
    <tableColumn id="28" xr3:uid="{00000000-0010-0000-0000-00001C000000}" name="27" totalsRowFunction="custom" dataDxfId="859" totalsRowDxfId="368">
      <totalsRowFormula>SUBTOTAL(103,Siječanj!$AC$7:$AC$11)</totalsRowFormula>
    </tableColumn>
    <tableColumn id="29" xr3:uid="{00000000-0010-0000-0000-00001D000000}" name="28" totalsRowFunction="custom" dataDxfId="858" totalsRowDxfId="367">
      <totalsRowFormula>SUBTOTAL(103,Siječanj!$AD$7:$AD$11)</totalsRowFormula>
    </tableColumn>
    <tableColumn id="30" xr3:uid="{00000000-0010-0000-0000-00001E000000}" name="29" totalsRowFunction="custom" dataDxfId="857" totalsRowDxfId="366">
      <totalsRowFormula>SUBTOTAL(103,Siječanj!$AE$7:$AE$11)</totalsRowFormula>
    </tableColumn>
    <tableColumn id="31" xr3:uid="{00000000-0010-0000-0000-00001F000000}" name="30" totalsRowFunction="custom" dataDxfId="856" totalsRowDxfId="365">
      <totalsRowFormula>SUBTOTAL(103,Siječanj!$AF$7:$AF$11)</totalsRowFormula>
    </tableColumn>
    <tableColumn id="32" xr3:uid="{00000000-0010-0000-0000-000020000000}" name="31" totalsRowFunction="custom" dataDxfId="855" totalsRowDxfId="364">
      <totalsRowFormula>SUBTOTAL(103,Siječanj!$AG$7:$AG$11)</totalsRowFormula>
    </tableColumn>
    <tableColumn id="33" xr3:uid="{00000000-0010-0000-0000-000021000000}" name="UkupnoDana" totalsRowFunction="sum" dataDxfId="854" totalsRowDxfId="363">
      <calculatedColumnFormula>COUNTA(Siječanj!$C7:$AG7)</calculatedColumnFormula>
    </tableColumn>
  </tableColumns>
  <tableStyleInfo name="Tablica izostanaka zaposlenika" showFirstColumn="1" showLastColumn="1" showRowStripes="1" showColumnStripes="0"/>
  <extLst>
    <ext xmlns:x14="http://schemas.microsoft.com/office/spreadsheetml/2009/9/main" uri="{504A1905-F514-4f6f-8877-14C23A59335A}">
      <x14:table altTextSummary="Navedite imena i datume izostanka zaposlenika. Zabilježite vrstu izostanka u skladu s legendom u retku 12: G = godišnji odmor, B = bolovanje, P = osobni razlozi i dva rezervirana mjesta za prilagođene stavke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9000000}" name="Listopad" displayName="Listopad" ref="B6:AH12" totalsRowCount="1" headerRowDxfId="565" dataDxfId="564" totalsRowDxfId="563">
  <tableColumns count="33">
    <tableColumn id="1" xr3:uid="{00000000-0010-0000-0900-000001000000}" name="Ime i prezime zaposlenika" totalsRowFunction="custom" dataDxfId="562" totalsRowDxfId="98" dataCellStyle="Zaposlenik">
      <totalsRowFormula>NazivMjeseca&amp;" Ukupno"</totalsRowFormula>
    </tableColumn>
    <tableColumn id="2" xr3:uid="{00000000-0010-0000-0900-000002000000}" name="1" totalsRowFunction="count" dataDxfId="561" totalsRowDxfId="97"/>
    <tableColumn id="3" xr3:uid="{00000000-0010-0000-0900-000003000000}" name="2" totalsRowFunction="count" dataDxfId="560" totalsRowDxfId="96"/>
    <tableColumn id="4" xr3:uid="{00000000-0010-0000-0900-000004000000}" name="3" totalsRowFunction="count" dataDxfId="559" totalsRowDxfId="95"/>
    <tableColumn id="5" xr3:uid="{00000000-0010-0000-0900-000005000000}" name="4" totalsRowFunction="count" dataDxfId="558" totalsRowDxfId="94"/>
    <tableColumn id="6" xr3:uid="{00000000-0010-0000-0900-000006000000}" name="5" totalsRowFunction="count" dataDxfId="557" totalsRowDxfId="93"/>
    <tableColumn id="7" xr3:uid="{00000000-0010-0000-0900-000007000000}" name="6" totalsRowFunction="count" dataDxfId="556" totalsRowDxfId="92"/>
    <tableColumn id="8" xr3:uid="{00000000-0010-0000-0900-000008000000}" name="7" totalsRowFunction="count" dataDxfId="555" totalsRowDxfId="91"/>
    <tableColumn id="9" xr3:uid="{00000000-0010-0000-0900-000009000000}" name="8" totalsRowFunction="count" dataDxfId="554" totalsRowDxfId="90"/>
    <tableColumn id="10" xr3:uid="{00000000-0010-0000-0900-00000A000000}" name="9" totalsRowFunction="count" dataDxfId="553" totalsRowDxfId="89"/>
    <tableColumn id="11" xr3:uid="{00000000-0010-0000-0900-00000B000000}" name="10" totalsRowFunction="count" dataDxfId="552" totalsRowDxfId="88"/>
    <tableColumn id="12" xr3:uid="{00000000-0010-0000-0900-00000C000000}" name="11" totalsRowFunction="count" dataDxfId="551" totalsRowDxfId="87"/>
    <tableColumn id="13" xr3:uid="{00000000-0010-0000-0900-00000D000000}" name="12" totalsRowFunction="count" dataDxfId="550" totalsRowDxfId="86"/>
    <tableColumn id="14" xr3:uid="{00000000-0010-0000-0900-00000E000000}" name="13" totalsRowFunction="count" dataDxfId="549" totalsRowDxfId="85"/>
    <tableColumn id="15" xr3:uid="{00000000-0010-0000-0900-00000F000000}" name="14" totalsRowFunction="count" dataDxfId="548" totalsRowDxfId="84"/>
    <tableColumn id="16" xr3:uid="{00000000-0010-0000-0900-000010000000}" name="15" totalsRowFunction="count" dataDxfId="547" totalsRowDxfId="83"/>
    <tableColumn id="17" xr3:uid="{00000000-0010-0000-0900-000011000000}" name="16" totalsRowFunction="count" dataDxfId="546" totalsRowDxfId="82"/>
    <tableColumn id="18" xr3:uid="{00000000-0010-0000-0900-000012000000}" name="17" totalsRowFunction="count" dataDxfId="545" totalsRowDxfId="81"/>
    <tableColumn id="19" xr3:uid="{00000000-0010-0000-0900-000013000000}" name="18" totalsRowFunction="count" dataDxfId="544" totalsRowDxfId="80"/>
    <tableColumn id="20" xr3:uid="{00000000-0010-0000-0900-000014000000}" name="19" totalsRowFunction="count" dataDxfId="543" totalsRowDxfId="79"/>
    <tableColumn id="21" xr3:uid="{00000000-0010-0000-0900-000015000000}" name="20" totalsRowFunction="count" dataDxfId="542" totalsRowDxfId="78"/>
    <tableColumn id="22" xr3:uid="{00000000-0010-0000-0900-000016000000}" name="21" totalsRowFunction="count" dataDxfId="541" totalsRowDxfId="77"/>
    <tableColumn id="23" xr3:uid="{00000000-0010-0000-0900-000017000000}" name="22" totalsRowFunction="count" dataDxfId="540" totalsRowDxfId="76"/>
    <tableColumn id="24" xr3:uid="{00000000-0010-0000-0900-000018000000}" name="23" totalsRowFunction="count" dataDxfId="539" totalsRowDxfId="75"/>
    <tableColumn id="25" xr3:uid="{00000000-0010-0000-0900-000019000000}" name="24" totalsRowFunction="count" dataDxfId="538" totalsRowDxfId="74"/>
    <tableColumn id="26" xr3:uid="{00000000-0010-0000-0900-00001A000000}" name="25" totalsRowFunction="count" dataDxfId="537" totalsRowDxfId="73"/>
    <tableColumn id="27" xr3:uid="{00000000-0010-0000-0900-00001B000000}" name="26" totalsRowFunction="count" dataDxfId="536" totalsRowDxfId="72"/>
    <tableColumn id="28" xr3:uid="{00000000-0010-0000-0900-00001C000000}" name="27" totalsRowFunction="count" dataDxfId="535" totalsRowDxfId="71"/>
    <tableColumn id="29" xr3:uid="{00000000-0010-0000-0900-00001D000000}" name="28" totalsRowFunction="count" dataDxfId="534" totalsRowDxfId="70"/>
    <tableColumn id="30" xr3:uid="{00000000-0010-0000-0900-00001E000000}" name="29" totalsRowFunction="count" dataDxfId="533" totalsRowDxfId="69"/>
    <tableColumn id="31" xr3:uid="{00000000-0010-0000-0900-00001F000000}" name="30" totalsRowFunction="count" dataDxfId="532" totalsRowDxfId="68"/>
    <tableColumn id="32" xr3:uid="{00000000-0010-0000-0900-000020000000}" name="31" totalsRowFunction="count" dataDxfId="531" totalsRowDxfId="67"/>
    <tableColumn id="33" xr3:uid="{00000000-0010-0000-0900-000021000000}" name="UkupnoDana" totalsRowFunction="sum" dataDxfId="530" totalsRowDxfId="66">
      <calculatedColumnFormula>COUNTA(Listopad[[#This Row],[1]:[31]])</calculatedColumnFormula>
    </tableColumn>
  </tableColumns>
  <tableStyleInfo name="Tablica izostanaka zaposlenika" showFirstColumn="1" showLastColumn="1" showRowStripes="1" showColumnStripes="0"/>
  <extLst>
    <ext xmlns:x14="http://schemas.microsoft.com/office/spreadsheetml/2009/9/main" uri="{504A1905-F514-4f6f-8877-14C23A59335A}">
      <x14:table altTextSummary="Navedite imena i datume izostanka zaposlenika. Zabilježite vrstu izostanka u skladu s legendom u retku 12: G = godišnji odmor, B = bolovanje, P = osobni razlozi i dva rezervirana mjesta za prilagođene stavke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A000000}" name="Studeni" displayName="Studeni" ref="B6:AH12" totalsRowCount="1" headerRowDxfId="529" dataDxfId="528" totalsRowDxfId="527">
  <tableColumns count="33">
    <tableColumn id="1" xr3:uid="{00000000-0010-0000-0A00-000001000000}" name="Ime i prezime zaposlenika" totalsRowFunction="custom" dataDxfId="526" totalsRowDxfId="65" dataCellStyle="Zaposlenik">
      <totalsRowFormula>NazivMjeseca&amp;" Ukupno"</totalsRowFormula>
    </tableColumn>
    <tableColumn id="2" xr3:uid="{00000000-0010-0000-0A00-000002000000}" name="1" totalsRowFunction="count" dataDxfId="525" totalsRowDxfId="64"/>
    <tableColumn id="3" xr3:uid="{00000000-0010-0000-0A00-000003000000}" name="2" totalsRowFunction="count" dataDxfId="524" totalsRowDxfId="63"/>
    <tableColumn id="4" xr3:uid="{00000000-0010-0000-0A00-000004000000}" name="3" totalsRowFunction="count" dataDxfId="523" totalsRowDxfId="62"/>
    <tableColumn id="5" xr3:uid="{00000000-0010-0000-0A00-000005000000}" name="4" totalsRowFunction="count" dataDxfId="522" totalsRowDxfId="61"/>
    <tableColumn id="6" xr3:uid="{00000000-0010-0000-0A00-000006000000}" name="5" totalsRowFunction="count" dataDxfId="521" totalsRowDxfId="60"/>
    <tableColumn id="7" xr3:uid="{00000000-0010-0000-0A00-000007000000}" name="6" totalsRowFunction="count" dataDxfId="520" totalsRowDxfId="59"/>
    <tableColumn id="8" xr3:uid="{00000000-0010-0000-0A00-000008000000}" name="7" totalsRowFunction="count" dataDxfId="519" totalsRowDxfId="58"/>
    <tableColumn id="9" xr3:uid="{00000000-0010-0000-0A00-000009000000}" name="8" totalsRowFunction="count" dataDxfId="518" totalsRowDxfId="57"/>
    <tableColumn id="10" xr3:uid="{00000000-0010-0000-0A00-00000A000000}" name="9" totalsRowFunction="count" dataDxfId="517" totalsRowDxfId="56"/>
    <tableColumn id="11" xr3:uid="{00000000-0010-0000-0A00-00000B000000}" name="10" totalsRowFunction="count" dataDxfId="516" totalsRowDxfId="55"/>
    <tableColumn id="12" xr3:uid="{00000000-0010-0000-0A00-00000C000000}" name="11" totalsRowFunction="count" dataDxfId="515" totalsRowDxfId="54"/>
    <tableColumn id="13" xr3:uid="{00000000-0010-0000-0A00-00000D000000}" name="12" totalsRowFunction="count" dataDxfId="514" totalsRowDxfId="53"/>
    <tableColumn id="14" xr3:uid="{00000000-0010-0000-0A00-00000E000000}" name="13" totalsRowFunction="count" dataDxfId="513" totalsRowDxfId="52"/>
    <tableColumn id="15" xr3:uid="{00000000-0010-0000-0A00-00000F000000}" name="14" totalsRowFunction="count" dataDxfId="512" totalsRowDxfId="51"/>
    <tableColumn id="16" xr3:uid="{00000000-0010-0000-0A00-000010000000}" name="15" totalsRowFunction="count" dataDxfId="511" totalsRowDxfId="50"/>
    <tableColumn id="17" xr3:uid="{00000000-0010-0000-0A00-000011000000}" name="16" totalsRowFunction="count" dataDxfId="510" totalsRowDxfId="49"/>
    <tableColumn id="18" xr3:uid="{00000000-0010-0000-0A00-000012000000}" name="17" totalsRowFunction="count" dataDxfId="509" totalsRowDxfId="48"/>
    <tableColumn id="19" xr3:uid="{00000000-0010-0000-0A00-000013000000}" name="18" totalsRowFunction="count" dataDxfId="508" totalsRowDxfId="47"/>
    <tableColumn id="20" xr3:uid="{00000000-0010-0000-0A00-000014000000}" name="19" totalsRowFunction="count" dataDxfId="507" totalsRowDxfId="46"/>
    <tableColumn id="21" xr3:uid="{00000000-0010-0000-0A00-000015000000}" name="20" totalsRowFunction="count" dataDxfId="506" totalsRowDxfId="45"/>
    <tableColumn id="22" xr3:uid="{00000000-0010-0000-0A00-000016000000}" name="21" totalsRowFunction="count" dataDxfId="505" totalsRowDxfId="44"/>
    <tableColumn id="23" xr3:uid="{00000000-0010-0000-0A00-000017000000}" name="22" totalsRowFunction="count" dataDxfId="504" totalsRowDxfId="43"/>
    <tableColumn id="24" xr3:uid="{00000000-0010-0000-0A00-000018000000}" name="23" totalsRowFunction="count" dataDxfId="503" totalsRowDxfId="42"/>
    <tableColumn id="25" xr3:uid="{00000000-0010-0000-0A00-000019000000}" name="24" totalsRowFunction="count" dataDxfId="502" totalsRowDxfId="41"/>
    <tableColumn id="26" xr3:uid="{00000000-0010-0000-0A00-00001A000000}" name="25" totalsRowFunction="count" dataDxfId="501" totalsRowDxfId="40"/>
    <tableColumn id="27" xr3:uid="{00000000-0010-0000-0A00-00001B000000}" name="26" totalsRowFunction="count" dataDxfId="500" totalsRowDxfId="39"/>
    <tableColumn id="28" xr3:uid="{00000000-0010-0000-0A00-00001C000000}" name="27" totalsRowFunction="count" dataDxfId="499" totalsRowDxfId="38"/>
    <tableColumn id="29" xr3:uid="{00000000-0010-0000-0A00-00001D000000}" name="28" totalsRowFunction="count" dataDxfId="498" totalsRowDxfId="37"/>
    <tableColumn id="30" xr3:uid="{00000000-0010-0000-0A00-00001E000000}" name="29" totalsRowFunction="count" dataDxfId="497" totalsRowDxfId="36"/>
    <tableColumn id="31" xr3:uid="{00000000-0010-0000-0A00-00001F000000}" name="30" totalsRowFunction="count" dataDxfId="496" totalsRowDxfId="35"/>
    <tableColumn id="32" xr3:uid="{00000000-0010-0000-0A00-000020000000}" name=" " totalsRowFunction="count" dataDxfId="495" totalsRowDxfId="34"/>
    <tableColumn id="33" xr3:uid="{00000000-0010-0000-0A00-000021000000}" name="Ukupno dana" totalsRowFunction="sum" dataDxfId="494" totalsRowDxfId="33">
      <calculatedColumnFormula>COUNTA(Studeni[[#This Row],[1]:[30]])</calculatedColumnFormula>
    </tableColumn>
  </tableColumns>
  <tableStyleInfo name="Tablica izostanaka zaposlenika" showFirstColumn="1" showLastColumn="1" showRowStripes="1" showColumnStripes="0"/>
  <extLst>
    <ext xmlns:x14="http://schemas.microsoft.com/office/spreadsheetml/2009/9/main" uri="{504A1905-F514-4f6f-8877-14C23A59335A}">
      <x14:table altTextSummary="Navedite imena i datume izostanka zaposlenika. Zabilježite vrstu izostanka u skladu s legendom u retku 12: G = godišnji odmor, B = bolovanje, P = osobni razlozi i dva rezervirana mjesta za prilagođene stavke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Prosinac" displayName="Prosinac" ref="B6:AH12" totalsRowCount="1" headerRowDxfId="493" dataDxfId="492" totalsRowDxfId="491">
  <tableColumns count="33">
    <tableColumn id="1" xr3:uid="{00000000-0010-0000-0B00-000001000000}" name="Ime i prezime zaposlenika" totalsRowFunction="custom" dataDxfId="490" totalsRowDxfId="32" dataCellStyle="Zaposlenik">
      <totalsRowFormula>NazivMjeseca&amp;" Ukupno"</totalsRowFormula>
    </tableColumn>
    <tableColumn id="2" xr3:uid="{00000000-0010-0000-0B00-000002000000}" name="1" totalsRowFunction="count" dataDxfId="489" totalsRowDxfId="31"/>
    <tableColumn id="3" xr3:uid="{00000000-0010-0000-0B00-000003000000}" name="2" totalsRowFunction="count" dataDxfId="488" totalsRowDxfId="30"/>
    <tableColumn id="4" xr3:uid="{00000000-0010-0000-0B00-000004000000}" name="3" totalsRowFunction="count" dataDxfId="487" totalsRowDxfId="29"/>
    <tableColumn id="5" xr3:uid="{00000000-0010-0000-0B00-000005000000}" name="4" totalsRowFunction="count" dataDxfId="486" totalsRowDxfId="28"/>
    <tableColumn id="6" xr3:uid="{00000000-0010-0000-0B00-000006000000}" name="5" totalsRowFunction="count" dataDxfId="485" totalsRowDxfId="27"/>
    <tableColumn id="7" xr3:uid="{00000000-0010-0000-0B00-000007000000}" name="6" totalsRowFunction="count" dataDxfId="484" totalsRowDxfId="26"/>
    <tableColumn id="8" xr3:uid="{00000000-0010-0000-0B00-000008000000}" name="7" totalsRowFunction="count" dataDxfId="483" totalsRowDxfId="25"/>
    <tableColumn id="9" xr3:uid="{00000000-0010-0000-0B00-000009000000}" name="8" totalsRowFunction="count" dataDxfId="482" totalsRowDxfId="24"/>
    <tableColumn id="10" xr3:uid="{00000000-0010-0000-0B00-00000A000000}" name="9" totalsRowFunction="count" dataDxfId="481" totalsRowDxfId="23"/>
    <tableColumn id="11" xr3:uid="{00000000-0010-0000-0B00-00000B000000}" name="10" totalsRowFunction="count" dataDxfId="480" totalsRowDxfId="22"/>
    <tableColumn id="12" xr3:uid="{00000000-0010-0000-0B00-00000C000000}" name="11" totalsRowFunction="count" dataDxfId="479" totalsRowDxfId="21"/>
    <tableColumn id="13" xr3:uid="{00000000-0010-0000-0B00-00000D000000}" name="12" totalsRowFunction="count" dataDxfId="478" totalsRowDxfId="20"/>
    <tableColumn id="14" xr3:uid="{00000000-0010-0000-0B00-00000E000000}" name="13" totalsRowFunction="count" dataDxfId="477" totalsRowDxfId="19"/>
    <tableColumn id="15" xr3:uid="{00000000-0010-0000-0B00-00000F000000}" name="14" totalsRowFunction="count" dataDxfId="476" totalsRowDxfId="18"/>
    <tableColumn id="16" xr3:uid="{00000000-0010-0000-0B00-000010000000}" name="15" totalsRowFunction="count" dataDxfId="475" totalsRowDxfId="17"/>
    <tableColumn id="17" xr3:uid="{00000000-0010-0000-0B00-000011000000}" name="16" totalsRowFunction="count" dataDxfId="474" totalsRowDxfId="16"/>
    <tableColumn id="18" xr3:uid="{00000000-0010-0000-0B00-000012000000}" name="17" totalsRowFunction="count" dataDxfId="473" totalsRowDxfId="15"/>
    <tableColumn id="19" xr3:uid="{00000000-0010-0000-0B00-000013000000}" name="18" totalsRowFunction="count" dataDxfId="472" totalsRowDxfId="14"/>
    <tableColumn id="20" xr3:uid="{00000000-0010-0000-0B00-000014000000}" name="19" totalsRowFunction="count" dataDxfId="471" totalsRowDxfId="13"/>
    <tableColumn id="21" xr3:uid="{00000000-0010-0000-0B00-000015000000}" name="20" totalsRowFunction="count" dataDxfId="470" totalsRowDxfId="12"/>
    <tableColumn id="22" xr3:uid="{00000000-0010-0000-0B00-000016000000}" name="21" totalsRowFunction="count" dataDxfId="469" totalsRowDxfId="11"/>
    <tableColumn id="23" xr3:uid="{00000000-0010-0000-0B00-000017000000}" name="22" totalsRowFunction="count" dataDxfId="468" totalsRowDxfId="10"/>
    <tableColumn id="24" xr3:uid="{00000000-0010-0000-0B00-000018000000}" name="23" totalsRowFunction="count" dataDxfId="467" totalsRowDxfId="9"/>
    <tableColumn id="25" xr3:uid="{00000000-0010-0000-0B00-000019000000}" name="24" totalsRowFunction="count" dataDxfId="466" totalsRowDxfId="8"/>
    <tableColumn id="26" xr3:uid="{00000000-0010-0000-0B00-00001A000000}" name="25" totalsRowFunction="count" dataDxfId="465" totalsRowDxfId="7"/>
    <tableColumn id="27" xr3:uid="{00000000-0010-0000-0B00-00001B000000}" name="26" totalsRowFunction="count" dataDxfId="464" totalsRowDxfId="6"/>
    <tableColumn id="28" xr3:uid="{00000000-0010-0000-0B00-00001C000000}" name="27" totalsRowFunction="count" dataDxfId="463" totalsRowDxfId="5"/>
    <tableColumn id="29" xr3:uid="{00000000-0010-0000-0B00-00001D000000}" name="28" totalsRowFunction="count" dataDxfId="462" totalsRowDxfId="4"/>
    <tableColumn id="30" xr3:uid="{00000000-0010-0000-0B00-00001E000000}" name="29" totalsRowFunction="count" dataDxfId="461" totalsRowDxfId="3"/>
    <tableColumn id="31" xr3:uid="{00000000-0010-0000-0B00-00001F000000}" name="30" totalsRowFunction="count" dataDxfId="460" totalsRowDxfId="2"/>
    <tableColumn id="32" xr3:uid="{00000000-0010-0000-0B00-000020000000}" name="31" totalsRowFunction="count" dataDxfId="459" totalsRowDxfId="1"/>
    <tableColumn id="33" xr3:uid="{00000000-0010-0000-0B00-000021000000}" name="UkupnoDana" totalsRowFunction="sum" dataDxfId="458" totalsRowDxfId="0">
      <calculatedColumnFormula>COUNTA(Prosinac[[#This Row],[1]:[31]])</calculatedColumnFormula>
    </tableColumn>
  </tableColumns>
  <tableStyleInfo name="Tablica izostanaka zaposlenika" showFirstColumn="1" showLastColumn="1" showRowStripes="1" showColumnStripes="0"/>
  <extLst>
    <ext xmlns:x14="http://schemas.microsoft.com/office/spreadsheetml/2009/9/main" uri="{504A1905-F514-4f6f-8877-14C23A59335A}">
      <x14:table altTextSummary="Nudi popis imena i kalendarske datume za bilježenje izostanaka zaposlenika i vrste izostanka, kao što su G = godišnji odmor, B = bolovanje, O = osobni razlozi i dva rezervirana mjesta za prilagođene stavke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ImeIPrezimeZaposlenika" displayName="ImeIPrezimeZaposlenika" ref="B3:B8" totalsRowShown="0">
  <autoFilter ref="B3:B8" xr:uid="{00000000-0009-0000-0100-00000D000000}"/>
  <tableColumns count="1">
    <tableColumn id="1" xr3:uid="{00000000-0010-0000-0C00-000001000000}" name="Imena zaposlenika" dataCellStyle="Zaposlenik"/>
  </tableColumns>
  <tableStyleInfo name="Tablica izostanaka zaposlenika" showFirstColumn="1" showLastColumn="1" showRowStripes="1" showColumnStripes="0"/>
  <extLst>
    <ext xmlns:x14="http://schemas.microsoft.com/office/spreadsheetml/2009/9/main" uri="{504A1905-F514-4f6f-8877-14C23A59335A}">
      <x14:table altTextSummary="U ovu tablicu unesite imena zaposlenika. Ta se imena koriste kao mogućnosti u stupcu B rasporeda izostanaka za svaki mjesec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Veljača" displayName="Veljača" ref="B6:AH12" totalsRowCount="1" headerRowDxfId="853" dataDxfId="852" totalsRowDxfId="851">
  <tableColumns count="33">
    <tableColumn id="1" xr3:uid="{00000000-0010-0000-0100-000001000000}" name="Ime i prezime zaposlenika" totalsRowFunction="custom" dataDxfId="850" totalsRowDxfId="362" dataCellStyle="Zaposlenik">
      <totalsRowFormula>NazivMjeseca&amp;" Ukupno"</totalsRowFormula>
    </tableColumn>
    <tableColumn id="2" xr3:uid="{00000000-0010-0000-0100-000002000000}" name="1" totalsRowFunction="count" dataDxfId="849" totalsRowDxfId="361"/>
    <tableColumn id="3" xr3:uid="{00000000-0010-0000-0100-000003000000}" name="2" totalsRowFunction="count" dataDxfId="848" totalsRowDxfId="360"/>
    <tableColumn id="4" xr3:uid="{00000000-0010-0000-0100-000004000000}" name="3" totalsRowFunction="count" dataDxfId="847" totalsRowDxfId="359"/>
    <tableColumn id="5" xr3:uid="{00000000-0010-0000-0100-000005000000}" name="4" totalsRowFunction="count" dataDxfId="846" totalsRowDxfId="358"/>
    <tableColumn id="6" xr3:uid="{00000000-0010-0000-0100-000006000000}" name="5" totalsRowFunction="count" dataDxfId="845" totalsRowDxfId="357"/>
    <tableColumn id="7" xr3:uid="{00000000-0010-0000-0100-000007000000}" name="6" totalsRowFunction="count" dataDxfId="844" totalsRowDxfId="356"/>
    <tableColumn id="8" xr3:uid="{00000000-0010-0000-0100-000008000000}" name="7" totalsRowFunction="count" dataDxfId="843" totalsRowDxfId="355"/>
    <tableColumn id="9" xr3:uid="{00000000-0010-0000-0100-000009000000}" name="8" totalsRowFunction="count" dataDxfId="842" totalsRowDxfId="354"/>
    <tableColumn id="10" xr3:uid="{00000000-0010-0000-0100-00000A000000}" name="9" totalsRowFunction="count" dataDxfId="841" totalsRowDxfId="353"/>
    <tableColumn id="11" xr3:uid="{00000000-0010-0000-0100-00000B000000}" name="10" totalsRowFunction="count" dataDxfId="840" totalsRowDxfId="352"/>
    <tableColumn id="12" xr3:uid="{00000000-0010-0000-0100-00000C000000}" name="11" totalsRowFunction="count" dataDxfId="839" totalsRowDxfId="351"/>
    <tableColumn id="13" xr3:uid="{00000000-0010-0000-0100-00000D000000}" name="12" totalsRowFunction="count" dataDxfId="838" totalsRowDxfId="350"/>
    <tableColumn id="14" xr3:uid="{00000000-0010-0000-0100-00000E000000}" name="13" totalsRowFunction="count" dataDxfId="837" totalsRowDxfId="349"/>
    <tableColumn id="15" xr3:uid="{00000000-0010-0000-0100-00000F000000}" name="14" totalsRowFunction="count" dataDxfId="836" totalsRowDxfId="348"/>
    <tableColumn id="16" xr3:uid="{00000000-0010-0000-0100-000010000000}" name="15" totalsRowFunction="count" dataDxfId="835" totalsRowDxfId="347"/>
    <tableColumn id="17" xr3:uid="{00000000-0010-0000-0100-000011000000}" name="16" totalsRowFunction="count" dataDxfId="834" totalsRowDxfId="346"/>
    <tableColumn id="18" xr3:uid="{00000000-0010-0000-0100-000012000000}" name="17" totalsRowFunction="count" dataDxfId="833" totalsRowDxfId="345"/>
    <tableColumn id="19" xr3:uid="{00000000-0010-0000-0100-000013000000}" name="18" totalsRowFunction="count" dataDxfId="832" totalsRowDxfId="344"/>
    <tableColumn id="20" xr3:uid="{00000000-0010-0000-0100-000014000000}" name="19" totalsRowFunction="count" dataDxfId="831" totalsRowDxfId="343"/>
    <tableColumn id="21" xr3:uid="{00000000-0010-0000-0100-000015000000}" name="20" totalsRowFunction="count" dataDxfId="830" totalsRowDxfId="342"/>
    <tableColumn id="22" xr3:uid="{00000000-0010-0000-0100-000016000000}" name="21" totalsRowFunction="count" dataDxfId="829" totalsRowDxfId="341"/>
    <tableColumn id="23" xr3:uid="{00000000-0010-0000-0100-000017000000}" name="22" totalsRowFunction="count" dataDxfId="828" totalsRowDxfId="340"/>
    <tableColumn id="24" xr3:uid="{00000000-0010-0000-0100-000018000000}" name="23" totalsRowFunction="count" dataDxfId="827" totalsRowDxfId="339"/>
    <tableColumn id="25" xr3:uid="{00000000-0010-0000-0100-000019000000}" name="24" totalsRowFunction="count" dataDxfId="826" totalsRowDxfId="338"/>
    <tableColumn id="26" xr3:uid="{00000000-0010-0000-0100-00001A000000}" name="25" totalsRowFunction="count" dataDxfId="825" totalsRowDxfId="337"/>
    <tableColumn id="27" xr3:uid="{00000000-0010-0000-0100-00001B000000}" name="26" totalsRowFunction="count" dataDxfId="824" totalsRowDxfId="336"/>
    <tableColumn id="28" xr3:uid="{00000000-0010-0000-0100-00001C000000}" name="27" totalsRowFunction="count" dataDxfId="823" totalsRowDxfId="335"/>
    <tableColumn id="29" xr3:uid="{00000000-0010-0000-0100-00001D000000}" name="28" totalsRowFunction="count" dataDxfId="822" totalsRowDxfId="334"/>
    <tableColumn id="30" xr3:uid="{00000000-0010-0000-0100-00001E000000}" name="29" totalsRowFunction="count" dataDxfId="821" totalsRowDxfId="333"/>
    <tableColumn id="31" xr3:uid="{00000000-0010-0000-0100-00001F000000}" name=" " dataDxfId="820" totalsRowDxfId="332"/>
    <tableColumn id="32" xr3:uid="{00000000-0010-0000-0100-000020000000}" name="  " dataDxfId="819" totalsRowDxfId="331"/>
    <tableColumn id="33" xr3:uid="{00000000-0010-0000-0100-000021000000}" name="UkupnoDana" totalsRowFunction="sum" dataDxfId="818" totalsRowDxfId="330">
      <calculatedColumnFormula>COUNTA(Veljača[[#This Row],[1]:[29]])</calculatedColumnFormula>
    </tableColumn>
  </tableColumns>
  <tableStyleInfo name="Tablica izostanaka zaposlenika" showFirstColumn="1" showLastColumn="1" showRowStripes="1" showColumnStripes="0"/>
  <extLst>
    <ext xmlns:x14="http://schemas.microsoft.com/office/spreadsheetml/2009/9/main" uri="{504A1905-F514-4f6f-8877-14C23A59335A}">
      <x14:table altTextSummary="Navedite imena i datume izostanka zaposlenika. Zabilježite vrstu izostanka u skladu s legendom u retku 12: G = godišnji odmor, B = bolovanje, P = osobni razlozi i dva rezervirana mjesta za prilagođene stavke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2000000}" name="Ožujak" displayName="Ožujak" ref="B6:AH12" totalsRowCount="1" headerRowDxfId="817" dataDxfId="816" totalsRowDxfId="815">
  <tableColumns count="33">
    <tableColumn id="1" xr3:uid="{00000000-0010-0000-0200-000001000000}" name="Ime i prezime zaposlenika" totalsRowFunction="custom" dataDxfId="814" totalsRowDxfId="329" dataCellStyle="Zaposlenik">
      <totalsRowFormula>NazivMjeseca&amp;" Ukupno"</totalsRowFormula>
    </tableColumn>
    <tableColumn id="2" xr3:uid="{00000000-0010-0000-0200-000002000000}" name="1" totalsRowFunction="count" dataDxfId="813" totalsRowDxfId="328"/>
    <tableColumn id="3" xr3:uid="{00000000-0010-0000-0200-000003000000}" name="2" totalsRowFunction="count" dataDxfId="812" totalsRowDxfId="327"/>
    <tableColumn id="4" xr3:uid="{00000000-0010-0000-0200-000004000000}" name="3" totalsRowFunction="count" dataDxfId="811" totalsRowDxfId="326"/>
    <tableColumn id="5" xr3:uid="{00000000-0010-0000-0200-000005000000}" name="4" totalsRowFunction="count" dataDxfId="810" totalsRowDxfId="325"/>
    <tableColumn id="6" xr3:uid="{00000000-0010-0000-0200-000006000000}" name="5" totalsRowFunction="count" dataDxfId="809" totalsRowDxfId="324"/>
    <tableColumn id="7" xr3:uid="{00000000-0010-0000-0200-000007000000}" name="6" totalsRowFunction="count" dataDxfId="808" totalsRowDxfId="323"/>
    <tableColumn id="8" xr3:uid="{00000000-0010-0000-0200-000008000000}" name="7" totalsRowFunction="count" dataDxfId="807" totalsRowDxfId="322"/>
    <tableColumn id="9" xr3:uid="{00000000-0010-0000-0200-000009000000}" name="8" totalsRowFunction="count" dataDxfId="806" totalsRowDxfId="321"/>
    <tableColumn id="10" xr3:uid="{00000000-0010-0000-0200-00000A000000}" name="9" totalsRowFunction="count" dataDxfId="805" totalsRowDxfId="320"/>
    <tableColumn id="11" xr3:uid="{00000000-0010-0000-0200-00000B000000}" name="10" totalsRowFunction="count" dataDxfId="804" totalsRowDxfId="319"/>
    <tableColumn id="12" xr3:uid="{00000000-0010-0000-0200-00000C000000}" name="11" totalsRowFunction="count" dataDxfId="803" totalsRowDxfId="318"/>
    <tableColumn id="13" xr3:uid="{00000000-0010-0000-0200-00000D000000}" name="12" totalsRowFunction="count" dataDxfId="802" totalsRowDxfId="317"/>
    <tableColumn id="14" xr3:uid="{00000000-0010-0000-0200-00000E000000}" name="13" totalsRowFunction="count" dataDxfId="801" totalsRowDxfId="316"/>
    <tableColumn id="15" xr3:uid="{00000000-0010-0000-0200-00000F000000}" name="14" totalsRowFunction="count" dataDxfId="800" totalsRowDxfId="315"/>
    <tableColumn id="16" xr3:uid="{00000000-0010-0000-0200-000010000000}" name="15" totalsRowFunction="count" dataDxfId="799" totalsRowDxfId="314"/>
    <tableColumn id="17" xr3:uid="{00000000-0010-0000-0200-000011000000}" name="16" totalsRowFunction="count" dataDxfId="798" totalsRowDxfId="313"/>
    <tableColumn id="18" xr3:uid="{00000000-0010-0000-0200-000012000000}" name="17" totalsRowFunction="count" dataDxfId="797" totalsRowDxfId="312"/>
    <tableColumn id="19" xr3:uid="{00000000-0010-0000-0200-000013000000}" name="18" totalsRowFunction="count" dataDxfId="796" totalsRowDxfId="311"/>
    <tableColumn id="20" xr3:uid="{00000000-0010-0000-0200-000014000000}" name="19" totalsRowFunction="count" dataDxfId="795" totalsRowDxfId="310"/>
    <tableColumn id="21" xr3:uid="{00000000-0010-0000-0200-000015000000}" name="20" totalsRowFunction="count" dataDxfId="794" totalsRowDxfId="309"/>
    <tableColumn id="22" xr3:uid="{00000000-0010-0000-0200-000016000000}" name="21" totalsRowFunction="count" dataDxfId="793" totalsRowDxfId="308"/>
    <tableColumn id="23" xr3:uid="{00000000-0010-0000-0200-000017000000}" name="22" totalsRowFunction="count" dataDxfId="792" totalsRowDxfId="307"/>
    <tableColumn id="24" xr3:uid="{00000000-0010-0000-0200-000018000000}" name="23" totalsRowFunction="count" dataDxfId="791" totalsRowDxfId="306"/>
    <tableColumn id="25" xr3:uid="{00000000-0010-0000-0200-000019000000}" name="24" totalsRowFunction="count" dataDxfId="790" totalsRowDxfId="305"/>
    <tableColumn id="26" xr3:uid="{00000000-0010-0000-0200-00001A000000}" name="25" totalsRowFunction="count" dataDxfId="789" totalsRowDxfId="304"/>
    <tableColumn id="27" xr3:uid="{00000000-0010-0000-0200-00001B000000}" name="26" totalsRowFunction="count" dataDxfId="788" totalsRowDxfId="303"/>
    <tableColumn id="28" xr3:uid="{00000000-0010-0000-0200-00001C000000}" name="27" totalsRowFunction="count" dataDxfId="787" totalsRowDxfId="302"/>
    <tableColumn id="29" xr3:uid="{00000000-0010-0000-0200-00001D000000}" name="28" totalsRowFunction="count" dataDxfId="786" totalsRowDxfId="301"/>
    <tableColumn id="30" xr3:uid="{00000000-0010-0000-0200-00001E000000}" name="29" totalsRowFunction="count" dataDxfId="785" totalsRowDxfId="300"/>
    <tableColumn id="31" xr3:uid="{00000000-0010-0000-0200-00001F000000}" name="30" totalsRowFunction="count" dataDxfId="784" totalsRowDxfId="299"/>
    <tableColumn id="32" xr3:uid="{00000000-0010-0000-0200-000020000000}" name="31" totalsRowFunction="count" dataDxfId="783" totalsRowDxfId="298"/>
    <tableColumn id="33" xr3:uid="{00000000-0010-0000-0200-000021000000}" name="UkupnoDana" totalsRowFunction="sum" dataDxfId="782" totalsRowDxfId="297">
      <calculatedColumnFormula>COUNTA(Ožujak[[#This Row],[1]:[31]])</calculatedColumnFormula>
    </tableColumn>
  </tableColumns>
  <tableStyleInfo name="Tablica izostanaka zaposlenika" showFirstColumn="1" showLastColumn="1" showRowStripes="1" showColumnStripes="0"/>
  <extLst>
    <ext xmlns:x14="http://schemas.microsoft.com/office/spreadsheetml/2009/9/main" uri="{504A1905-F514-4f6f-8877-14C23A59335A}">
      <x14:table altTextSummary="Navedite imena i datume izostanka zaposlenika. Zabilježite vrstu izostanka u skladu s legendom u retku 12: G = godišnji odmor, B = bolovanje, P = osobni razlozi i dva rezervirana mjesta za prilagođene stavke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3000000}" name="Travanj" displayName="Travanj" ref="B6:AH12" totalsRowCount="1" headerRowDxfId="781" dataDxfId="780" totalsRowDxfId="779">
  <tableColumns count="33">
    <tableColumn id="1" xr3:uid="{00000000-0010-0000-0300-000001000000}" name="Ime i prezime zaposlenika" totalsRowFunction="custom" dataDxfId="778" totalsRowDxfId="296" dataCellStyle="Zaposlenik">
      <totalsRowFormula>NazivMjeseca&amp;" Ukupno"</totalsRowFormula>
    </tableColumn>
    <tableColumn id="2" xr3:uid="{00000000-0010-0000-0300-000002000000}" name="1" totalsRowFunction="count" dataDxfId="777" totalsRowDxfId="295"/>
    <tableColumn id="3" xr3:uid="{00000000-0010-0000-0300-000003000000}" name="2" totalsRowFunction="count" dataDxfId="776" totalsRowDxfId="294"/>
    <tableColumn id="4" xr3:uid="{00000000-0010-0000-0300-000004000000}" name="3" totalsRowFunction="count" dataDxfId="775" totalsRowDxfId="293"/>
    <tableColumn id="5" xr3:uid="{00000000-0010-0000-0300-000005000000}" name="4" totalsRowFunction="count" dataDxfId="774" totalsRowDxfId="292"/>
    <tableColumn id="6" xr3:uid="{00000000-0010-0000-0300-000006000000}" name="5" totalsRowFunction="count" dataDxfId="773" totalsRowDxfId="291"/>
    <tableColumn id="7" xr3:uid="{00000000-0010-0000-0300-000007000000}" name="6" totalsRowFunction="count" dataDxfId="772" totalsRowDxfId="290"/>
    <tableColumn id="8" xr3:uid="{00000000-0010-0000-0300-000008000000}" name="7" totalsRowFunction="count" dataDxfId="771" totalsRowDxfId="289"/>
    <tableColumn id="9" xr3:uid="{00000000-0010-0000-0300-000009000000}" name="8" totalsRowFunction="count" dataDxfId="770" totalsRowDxfId="288"/>
    <tableColumn id="10" xr3:uid="{00000000-0010-0000-0300-00000A000000}" name="9" totalsRowFunction="count" dataDxfId="769" totalsRowDxfId="287"/>
    <tableColumn id="11" xr3:uid="{00000000-0010-0000-0300-00000B000000}" name="10" totalsRowFunction="count" dataDxfId="768" totalsRowDxfId="286"/>
    <tableColumn id="12" xr3:uid="{00000000-0010-0000-0300-00000C000000}" name="11" totalsRowFunction="count" dataDxfId="767" totalsRowDxfId="285"/>
    <tableColumn id="13" xr3:uid="{00000000-0010-0000-0300-00000D000000}" name="12" totalsRowFunction="count" dataDxfId="766" totalsRowDxfId="284"/>
    <tableColumn id="14" xr3:uid="{00000000-0010-0000-0300-00000E000000}" name="13" totalsRowFunction="count" dataDxfId="765" totalsRowDxfId="283"/>
    <tableColumn id="15" xr3:uid="{00000000-0010-0000-0300-00000F000000}" name="14" totalsRowFunction="count" dataDxfId="764" totalsRowDxfId="282"/>
    <tableColumn id="16" xr3:uid="{00000000-0010-0000-0300-000010000000}" name="15" totalsRowFunction="count" dataDxfId="763" totalsRowDxfId="281"/>
    <tableColumn id="17" xr3:uid="{00000000-0010-0000-0300-000011000000}" name="16" totalsRowFunction="count" dataDxfId="762" totalsRowDxfId="280"/>
    <tableColumn id="18" xr3:uid="{00000000-0010-0000-0300-000012000000}" name="17" totalsRowFunction="count" dataDxfId="761" totalsRowDxfId="279"/>
    <tableColumn id="19" xr3:uid="{00000000-0010-0000-0300-000013000000}" name="18" totalsRowFunction="count" dataDxfId="760" totalsRowDxfId="278"/>
    <tableColumn id="20" xr3:uid="{00000000-0010-0000-0300-000014000000}" name="19" totalsRowFunction="count" dataDxfId="759" totalsRowDxfId="277"/>
    <tableColumn id="21" xr3:uid="{00000000-0010-0000-0300-000015000000}" name="20" totalsRowFunction="count" dataDxfId="758" totalsRowDxfId="276"/>
    <tableColumn id="22" xr3:uid="{00000000-0010-0000-0300-000016000000}" name="21" totalsRowFunction="count" dataDxfId="757" totalsRowDxfId="275"/>
    <tableColumn id="23" xr3:uid="{00000000-0010-0000-0300-000017000000}" name="22" totalsRowFunction="count" dataDxfId="756" totalsRowDxfId="274"/>
    <tableColumn id="24" xr3:uid="{00000000-0010-0000-0300-000018000000}" name="23" totalsRowFunction="count" dataDxfId="755" totalsRowDxfId="273"/>
    <tableColumn id="25" xr3:uid="{00000000-0010-0000-0300-000019000000}" name="24" totalsRowFunction="count" dataDxfId="754" totalsRowDxfId="272"/>
    <tableColumn id="26" xr3:uid="{00000000-0010-0000-0300-00001A000000}" name="25" totalsRowFunction="count" dataDxfId="753" totalsRowDxfId="271"/>
    <tableColumn id="27" xr3:uid="{00000000-0010-0000-0300-00001B000000}" name="26" totalsRowFunction="count" dataDxfId="752" totalsRowDxfId="270"/>
    <tableColumn id="28" xr3:uid="{00000000-0010-0000-0300-00001C000000}" name="27" totalsRowFunction="count" dataDxfId="751" totalsRowDxfId="269"/>
    <tableColumn id="29" xr3:uid="{00000000-0010-0000-0300-00001D000000}" name="28" totalsRowFunction="count" dataDxfId="750" totalsRowDxfId="268"/>
    <tableColumn id="30" xr3:uid="{00000000-0010-0000-0300-00001E000000}" name="29" totalsRowFunction="count" dataDxfId="749" totalsRowDxfId="267"/>
    <tableColumn id="31" xr3:uid="{00000000-0010-0000-0300-00001F000000}" name="30" totalsRowFunction="count" dataDxfId="748" totalsRowDxfId="266"/>
    <tableColumn id="32" xr3:uid="{00000000-0010-0000-0300-000020000000}" name=" " totalsRowFunction="custom" dataDxfId="747" totalsRowDxfId="265">
      <totalsRowFormula>SUBTOTAL(103,Travanj[30])</totalsRowFormula>
    </tableColumn>
    <tableColumn id="33" xr3:uid="{00000000-0010-0000-0300-000021000000}" name="Ukupno dana" totalsRowFunction="sum" dataDxfId="746" totalsRowDxfId="264">
      <calculatedColumnFormula>COUNTA(Travanj[[#This Row],[1]:[30]])</calculatedColumnFormula>
    </tableColumn>
  </tableColumns>
  <tableStyleInfo name="Tablica izostanaka zaposlenika" showFirstColumn="1" showLastColumn="1" showRowStripes="1" showColumnStripes="0"/>
  <extLst>
    <ext xmlns:x14="http://schemas.microsoft.com/office/spreadsheetml/2009/9/main" uri="{504A1905-F514-4f6f-8877-14C23A59335A}">
      <x14:table altTextSummary="Navedite imena i datume izostanka zaposlenika. Zabilježite vrstu izostanka u skladu s legendom u retku 12: G = godišnji odmor, B = bolovanje, P = osobni razlozi i dva rezervirana mjesta za prilagođene stavke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4000000}" name="Svibanj" displayName="Svibanj" ref="B6:AH12" totalsRowCount="1" headerRowDxfId="745" dataDxfId="744" totalsRowDxfId="743">
  <tableColumns count="33">
    <tableColumn id="1" xr3:uid="{00000000-0010-0000-0400-000001000000}" name="Ime i prezime zaposlenika" totalsRowFunction="custom" dataDxfId="742" totalsRowDxfId="263" dataCellStyle="Zaposlenik">
      <totalsRowFormula>NazivMjeseca&amp;" Ukupno"</totalsRowFormula>
    </tableColumn>
    <tableColumn id="2" xr3:uid="{00000000-0010-0000-0400-000002000000}" name="1" totalsRowFunction="count" dataDxfId="741" totalsRowDxfId="262"/>
    <tableColumn id="3" xr3:uid="{00000000-0010-0000-0400-000003000000}" name="2" totalsRowFunction="count" dataDxfId="740" totalsRowDxfId="261"/>
    <tableColumn id="4" xr3:uid="{00000000-0010-0000-0400-000004000000}" name="3" totalsRowFunction="count" dataDxfId="739" totalsRowDxfId="260"/>
    <tableColumn id="5" xr3:uid="{00000000-0010-0000-0400-000005000000}" name="4" totalsRowFunction="count" dataDxfId="738" totalsRowDxfId="259"/>
    <tableColumn id="6" xr3:uid="{00000000-0010-0000-0400-000006000000}" name="5" totalsRowFunction="count" dataDxfId="737" totalsRowDxfId="258"/>
    <tableColumn id="7" xr3:uid="{00000000-0010-0000-0400-000007000000}" name="6" totalsRowFunction="count" dataDxfId="736" totalsRowDxfId="257"/>
    <tableColumn id="8" xr3:uid="{00000000-0010-0000-0400-000008000000}" name="7" totalsRowFunction="count" dataDxfId="735" totalsRowDxfId="256"/>
    <tableColumn id="9" xr3:uid="{00000000-0010-0000-0400-000009000000}" name="8" totalsRowFunction="count" dataDxfId="734" totalsRowDxfId="255"/>
    <tableColumn id="10" xr3:uid="{00000000-0010-0000-0400-00000A000000}" name="9" totalsRowFunction="count" dataDxfId="733" totalsRowDxfId="254"/>
    <tableColumn id="11" xr3:uid="{00000000-0010-0000-0400-00000B000000}" name="10" totalsRowFunction="count" dataDxfId="732" totalsRowDxfId="253"/>
    <tableColumn id="12" xr3:uid="{00000000-0010-0000-0400-00000C000000}" name="11" totalsRowFunction="count" dataDxfId="731" totalsRowDxfId="252"/>
    <tableColumn id="13" xr3:uid="{00000000-0010-0000-0400-00000D000000}" name="12" totalsRowFunction="count" dataDxfId="730" totalsRowDxfId="251"/>
    <tableColumn id="14" xr3:uid="{00000000-0010-0000-0400-00000E000000}" name="13" totalsRowFunction="count" dataDxfId="729" totalsRowDxfId="250"/>
    <tableColumn id="15" xr3:uid="{00000000-0010-0000-0400-00000F000000}" name="14" totalsRowFunction="count" dataDxfId="728" totalsRowDxfId="249"/>
    <tableColumn id="16" xr3:uid="{00000000-0010-0000-0400-000010000000}" name="15" totalsRowFunction="count" dataDxfId="727" totalsRowDxfId="248"/>
    <tableColumn id="17" xr3:uid="{00000000-0010-0000-0400-000011000000}" name="16" totalsRowFunction="count" dataDxfId="726" totalsRowDxfId="247"/>
    <tableColumn id="18" xr3:uid="{00000000-0010-0000-0400-000012000000}" name="17" totalsRowFunction="count" dataDxfId="725" totalsRowDxfId="246"/>
    <tableColumn id="19" xr3:uid="{00000000-0010-0000-0400-000013000000}" name="18" totalsRowFunction="count" dataDxfId="724" totalsRowDxfId="245"/>
    <tableColumn id="20" xr3:uid="{00000000-0010-0000-0400-000014000000}" name="19" totalsRowFunction="count" dataDxfId="723" totalsRowDxfId="244"/>
    <tableColumn id="21" xr3:uid="{00000000-0010-0000-0400-000015000000}" name="20" totalsRowFunction="count" dataDxfId="722" totalsRowDxfId="243"/>
    <tableColumn id="22" xr3:uid="{00000000-0010-0000-0400-000016000000}" name="21" totalsRowFunction="count" dataDxfId="721" totalsRowDxfId="242"/>
    <tableColumn id="23" xr3:uid="{00000000-0010-0000-0400-000017000000}" name="22" totalsRowFunction="count" dataDxfId="720" totalsRowDxfId="241"/>
    <tableColumn id="24" xr3:uid="{00000000-0010-0000-0400-000018000000}" name="23" totalsRowFunction="count" dataDxfId="719" totalsRowDxfId="240"/>
    <tableColumn id="25" xr3:uid="{00000000-0010-0000-0400-000019000000}" name="24" totalsRowFunction="count" dataDxfId="718" totalsRowDxfId="239"/>
    <tableColumn id="26" xr3:uid="{00000000-0010-0000-0400-00001A000000}" name="25" totalsRowFunction="count" dataDxfId="717" totalsRowDxfId="238"/>
    <tableColumn id="27" xr3:uid="{00000000-0010-0000-0400-00001B000000}" name="26" totalsRowFunction="count" dataDxfId="716" totalsRowDxfId="237"/>
    <tableColumn id="28" xr3:uid="{00000000-0010-0000-0400-00001C000000}" name="27" totalsRowFunction="count" dataDxfId="715" totalsRowDxfId="236"/>
    <tableColumn id="29" xr3:uid="{00000000-0010-0000-0400-00001D000000}" name="28" totalsRowFunction="count" dataDxfId="714" totalsRowDxfId="235"/>
    <tableColumn id="30" xr3:uid="{00000000-0010-0000-0400-00001E000000}" name="29" totalsRowFunction="count" dataDxfId="713" totalsRowDxfId="234"/>
    <tableColumn id="31" xr3:uid="{00000000-0010-0000-0400-00001F000000}" name="30" totalsRowFunction="count" dataDxfId="712" totalsRowDxfId="233"/>
    <tableColumn id="32" xr3:uid="{00000000-0010-0000-0400-000020000000}" name="31" totalsRowFunction="count" dataDxfId="711" totalsRowDxfId="232"/>
    <tableColumn id="33" xr3:uid="{00000000-0010-0000-0400-000021000000}" name="UkupnoDana" totalsRowFunction="sum" dataDxfId="710" totalsRowDxfId="231">
      <calculatedColumnFormula>COUNTA(Svibanj[[#This Row],[1]:[31]])</calculatedColumnFormula>
    </tableColumn>
  </tableColumns>
  <tableStyleInfo name="Tablica izostanaka zaposlenika" showFirstColumn="1" showLastColumn="1" showRowStripes="1" showColumnStripes="0"/>
  <extLst>
    <ext xmlns:x14="http://schemas.microsoft.com/office/spreadsheetml/2009/9/main" uri="{504A1905-F514-4f6f-8877-14C23A59335A}">
      <x14:table altTextSummary="Navedite imena i datume izostanka zaposlenika. Zabilježite vrstu izostanka u skladu s legendom u retku 12: G = godišnji odmor, B = bolovanje, P = osobni razlozi i dva rezervirana mjesta za prilagođene stavke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5000000}" name="Lipanj" displayName="Lipanj" ref="B6:AH12" totalsRowCount="1" headerRowDxfId="709" dataDxfId="708" totalsRowDxfId="707">
  <tableColumns count="33">
    <tableColumn id="1" xr3:uid="{00000000-0010-0000-0500-000001000000}" name="Ime i prezime zaposlenika" totalsRowFunction="custom" dataDxfId="706" totalsRowDxfId="230" dataCellStyle="Zaposlenik">
      <totalsRowFormula>NazivMjeseca&amp;" Ukupno"</totalsRowFormula>
    </tableColumn>
    <tableColumn id="2" xr3:uid="{00000000-0010-0000-0500-000002000000}" name="1" totalsRowFunction="count" dataDxfId="705" totalsRowDxfId="229"/>
    <tableColumn id="3" xr3:uid="{00000000-0010-0000-0500-000003000000}" name="2" totalsRowFunction="count" dataDxfId="704" totalsRowDxfId="228"/>
    <tableColumn id="4" xr3:uid="{00000000-0010-0000-0500-000004000000}" name="3" totalsRowFunction="count" dataDxfId="703" totalsRowDxfId="227"/>
    <tableColumn id="5" xr3:uid="{00000000-0010-0000-0500-000005000000}" name="4" totalsRowFunction="count" dataDxfId="702" totalsRowDxfId="226"/>
    <tableColumn id="6" xr3:uid="{00000000-0010-0000-0500-000006000000}" name="5" totalsRowFunction="count" dataDxfId="701" totalsRowDxfId="225"/>
    <tableColumn id="7" xr3:uid="{00000000-0010-0000-0500-000007000000}" name="6" totalsRowFunction="count" dataDxfId="700" totalsRowDxfId="224"/>
    <tableColumn id="8" xr3:uid="{00000000-0010-0000-0500-000008000000}" name="7" totalsRowFunction="count" dataDxfId="699" totalsRowDxfId="223"/>
    <tableColumn id="9" xr3:uid="{00000000-0010-0000-0500-000009000000}" name="8" totalsRowFunction="count" dataDxfId="698" totalsRowDxfId="222"/>
    <tableColumn id="10" xr3:uid="{00000000-0010-0000-0500-00000A000000}" name="9" totalsRowFunction="count" dataDxfId="697" totalsRowDxfId="221"/>
    <tableColumn id="11" xr3:uid="{00000000-0010-0000-0500-00000B000000}" name="10" totalsRowFunction="count" dataDxfId="696" totalsRowDxfId="220"/>
    <tableColumn id="12" xr3:uid="{00000000-0010-0000-0500-00000C000000}" name="11" totalsRowFunction="count" dataDxfId="695" totalsRowDxfId="219"/>
    <tableColumn id="13" xr3:uid="{00000000-0010-0000-0500-00000D000000}" name="12" totalsRowFunction="count" dataDxfId="694" totalsRowDxfId="218"/>
    <tableColumn id="14" xr3:uid="{00000000-0010-0000-0500-00000E000000}" name="13" totalsRowFunction="count" dataDxfId="693" totalsRowDxfId="217"/>
    <tableColumn id="15" xr3:uid="{00000000-0010-0000-0500-00000F000000}" name="14" totalsRowFunction="count" dataDxfId="692" totalsRowDxfId="216"/>
    <tableColumn id="16" xr3:uid="{00000000-0010-0000-0500-000010000000}" name="15" totalsRowFunction="count" dataDxfId="691" totalsRowDxfId="215"/>
    <tableColumn id="17" xr3:uid="{00000000-0010-0000-0500-000011000000}" name="16" totalsRowFunction="count" dataDxfId="690" totalsRowDxfId="214"/>
    <tableColumn id="18" xr3:uid="{00000000-0010-0000-0500-000012000000}" name="17" totalsRowFunction="count" dataDxfId="689" totalsRowDxfId="213"/>
    <tableColumn id="19" xr3:uid="{00000000-0010-0000-0500-000013000000}" name="18" totalsRowFunction="count" dataDxfId="688" totalsRowDxfId="212"/>
    <tableColumn id="20" xr3:uid="{00000000-0010-0000-0500-000014000000}" name="19" totalsRowFunction="count" dataDxfId="687" totalsRowDxfId="211"/>
    <tableColumn id="21" xr3:uid="{00000000-0010-0000-0500-000015000000}" name="20" totalsRowFunction="count" dataDxfId="686" totalsRowDxfId="210"/>
    <tableColumn id="22" xr3:uid="{00000000-0010-0000-0500-000016000000}" name="21" totalsRowFunction="count" dataDxfId="685" totalsRowDxfId="209"/>
    <tableColumn id="23" xr3:uid="{00000000-0010-0000-0500-000017000000}" name="22" totalsRowFunction="count" dataDxfId="684" totalsRowDxfId="208"/>
    <tableColumn id="24" xr3:uid="{00000000-0010-0000-0500-000018000000}" name="23" totalsRowFunction="count" dataDxfId="683" totalsRowDxfId="207"/>
    <tableColumn id="25" xr3:uid="{00000000-0010-0000-0500-000019000000}" name="24" totalsRowFunction="count" dataDxfId="682" totalsRowDxfId="206"/>
    <tableColumn id="26" xr3:uid="{00000000-0010-0000-0500-00001A000000}" name="25" totalsRowFunction="count" dataDxfId="681" totalsRowDxfId="205"/>
    <tableColumn id="27" xr3:uid="{00000000-0010-0000-0500-00001B000000}" name="26" totalsRowFunction="count" dataDxfId="680" totalsRowDxfId="204"/>
    <tableColumn id="28" xr3:uid="{00000000-0010-0000-0500-00001C000000}" name="27" totalsRowFunction="count" dataDxfId="679" totalsRowDxfId="203"/>
    <tableColumn id="29" xr3:uid="{00000000-0010-0000-0500-00001D000000}" name="28" totalsRowFunction="count" dataDxfId="678" totalsRowDxfId="202"/>
    <tableColumn id="30" xr3:uid="{00000000-0010-0000-0500-00001E000000}" name="29" totalsRowFunction="count" dataDxfId="677" totalsRowDxfId="201"/>
    <tableColumn id="31" xr3:uid="{00000000-0010-0000-0500-00001F000000}" name="30" totalsRowFunction="count" dataDxfId="676" totalsRowDxfId="200"/>
    <tableColumn id="32" xr3:uid="{00000000-0010-0000-0500-000020000000}" name=" " totalsRowFunction="count" dataDxfId="675" totalsRowDxfId="199"/>
    <tableColumn id="33" xr3:uid="{00000000-0010-0000-0500-000021000000}" name="Ukupno dana" totalsRowFunction="sum" dataDxfId="674" totalsRowDxfId="198">
      <calculatedColumnFormula>COUNTA(Lipanj[[#This Row],[1]:[30]])</calculatedColumnFormula>
    </tableColumn>
  </tableColumns>
  <tableStyleInfo name="Tablica izostanaka zaposlenika" showFirstColumn="1" showLastColumn="1" showRowStripes="1" showColumnStripes="0"/>
  <extLst>
    <ext xmlns:x14="http://schemas.microsoft.com/office/spreadsheetml/2009/9/main" uri="{504A1905-F514-4f6f-8877-14C23A59335A}">
      <x14:table altTextSummary="Navedite imena i datume izostanka zaposlenika. Zabilježite vrstu izostanka u skladu s legendom u retku 12: G = godišnji odmor, B = bolovanje, P = osobni razlozi i dva rezervirana mjesta za prilagođene stavke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06000000}" name="Srpanj" displayName="Srpanj" ref="B6:AH12" totalsRowCount="1" headerRowDxfId="673" dataDxfId="672" totalsRowDxfId="671">
  <tableColumns count="33">
    <tableColumn id="1" xr3:uid="{00000000-0010-0000-0600-000001000000}" name="Ime i prezime zaposlenika" totalsRowFunction="custom" dataDxfId="670" totalsRowDxfId="197" dataCellStyle="Zaposlenik">
      <totalsRowFormula>NazivMjeseca&amp;" Ukupno"</totalsRowFormula>
    </tableColumn>
    <tableColumn id="2" xr3:uid="{00000000-0010-0000-0600-000002000000}" name="1" totalsRowFunction="count" dataDxfId="669" totalsRowDxfId="196"/>
    <tableColumn id="3" xr3:uid="{00000000-0010-0000-0600-000003000000}" name="2" totalsRowFunction="count" dataDxfId="668" totalsRowDxfId="195"/>
    <tableColumn id="4" xr3:uid="{00000000-0010-0000-0600-000004000000}" name="3" totalsRowFunction="count" dataDxfId="667" totalsRowDxfId="194"/>
    <tableColumn id="5" xr3:uid="{00000000-0010-0000-0600-000005000000}" name="4" totalsRowFunction="count" dataDxfId="666" totalsRowDxfId="193"/>
    <tableColumn id="6" xr3:uid="{00000000-0010-0000-0600-000006000000}" name="5" totalsRowFunction="count" dataDxfId="665" totalsRowDxfId="192"/>
    <tableColumn id="7" xr3:uid="{00000000-0010-0000-0600-000007000000}" name="6" totalsRowFunction="count" dataDxfId="664" totalsRowDxfId="191"/>
    <tableColumn id="8" xr3:uid="{00000000-0010-0000-0600-000008000000}" name="7" totalsRowFunction="count" dataDxfId="663" totalsRowDxfId="190"/>
    <tableColumn id="9" xr3:uid="{00000000-0010-0000-0600-000009000000}" name="8" totalsRowFunction="count" dataDxfId="662" totalsRowDxfId="189"/>
    <tableColumn id="10" xr3:uid="{00000000-0010-0000-0600-00000A000000}" name="9" totalsRowFunction="count" dataDxfId="661" totalsRowDxfId="188"/>
    <tableColumn id="11" xr3:uid="{00000000-0010-0000-0600-00000B000000}" name="10" totalsRowFunction="count" dataDxfId="660" totalsRowDxfId="187"/>
    <tableColumn id="12" xr3:uid="{00000000-0010-0000-0600-00000C000000}" name="11" totalsRowFunction="count" dataDxfId="659" totalsRowDxfId="186"/>
    <tableColumn id="13" xr3:uid="{00000000-0010-0000-0600-00000D000000}" name="12" totalsRowFunction="count" dataDxfId="658" totalsRowDxfId="185"/>
    <tableColumn id="14" xr3:uid="{00000000-0010-0000-0600-00000E000000}" name="13" totalsRowFunction="count" dataDxfId="657" totalsRowDxfId="184"/>
    <tableColumn id="15" xr3:uid="{00000000-0010-0000-0600-00000F000000}" name="14" totalsRowFunction="count" dataDxfId="656" totalsRowDxfId="183"/>
    <tableColumn id="16" xr3:uid="{00000000-0010-0000-0600-000010000000}" name="15" totalsRowFunction="count" dataDxfId="655" totalsRowDxfId="182"/>
    <tableColumn id="17" xr3:uid="{00000000-0010-0000-0600-000011000000}" name="16" totalsRowFunction="count" dataDxfId="654" totalsRowDxfId="181"/>
    <tableColumn id="18" xr3:uid="{00000000-0010-0000-0600-000012000000}" name="17" totalsRowFunction="count" dataDxfId="653" totalsRowDxfId="180"/>
    <tableColumn id="19" xr3:uid="{00000000-0010-0000-0600-000013000000}" name="18" totalsRowFunction="count" dataDxfId="652" totalsRowDxfId="179"/>
    <tableColumn id="20" xr3:uid="{00000000-0010-0000-0600-000014000000}" name="19" totalsRowFunction="count" dataDxfId="651" totalsRowDxfId="178"/>
    <tableColumn id="21" xr3:uid="{00000000-0010-0000-0600-000015000000}" name="20" totalsRowFunction="count" dataDxfId="650" totalsRowDxfId="177"/>
    <tableColumn id="22" xr3:uid="{00000000-0010-0000-0600-000016000000}" name="21" totalsRowFunction="count" dataDxfId="649" totalsRowDxfId="176"/>
    <tableColumn id="23" xr3:uid="{00000000-0010-0000-0600-000017000000}" name="22" totalsRowFunction="count" dataDxfId="648" totalsRowDxfId="175"/>
    <tableColumn id="24" xr3:uid="{00000000-0010-0000-0600-000018000000}" name="23" totalsRowFunction="count" dataDxfId="647" totalsRowDxfId="174"/>
    <tableColumn id="25" xr3:uid="{00000000-0010-0000-0600-000019000000}" name="24" totalsRowFunction="count" dataDxfId="646" totalsRowDxfId="173"/>
    <tableColumn id="26" xr3:uid="{00000000-0010-0000-0600-00001A000000}" name="25" totalsRowFunction="count" dataDxfId="645" totalsRowDxfId="172"/>
    <tableColumn id="27" xr3:uid="{00000000-0010-0000-0600-00001B000000}" name="26" totalsRowFunction="count" dataDxfId="644" totalsRowDxfId="171"/>
    <tableColumn id="28" xr3:uid="{00000000-0010-0000-0600-00001C000000}" name="27" totalsRowFunction="count" dataDxfId="643" totalsRowDxfId="170"/>
    <tableColumn id="29" xr3:uid="{00000000-0010-0000-0600-00001D000000}" name="28" totalsRowFunction="count" dataDxfId="642" totalsRowDxfId="169"/>
    <tableColumn id="30" xr3:uid="{00000000-0010-0000-0600-00001E000000}" name="29" totalsRowFunction="count" dataDxfId="641" totalsRowDxfId="168"/>
    <tableColumn id="31" xr3:uid="{00000000-0010-0000-0600-00001F000000}" name="30" totalsRowFunction="count" dataDxfId="640" totalsRowDxfId="167"/>
    <tableColumn id="32" xr3:uid="{00000000-0010-0000-0600-000020000000}" name="31" totalsRowFunction="count" dataDxfId="639" totalsRowDxfId="166"/>
    <tableColumn id="33" xr3:uid="{00000000-0010-0000-0600-000021000000}" name="UkupnoDana" totalsRowFunction="sum" dataDxfId="638" totalsRowDxfId="165">
      <calculatedColumnFormula>COUNTA(Srpanj[[#This Row],[1]:[31]])</calculatedColumnFormula>
    </tableColumn>
  </tableColumns>
  <tableStyleInfo name="Tablica izostanaka zaposlenika" showFirstColumn="1" showLastColumn="1" showRowStripes="1" showColumnStripes="0"/>
  <extLst>
    <ext xmlns:x14="http://schemas.microsoft.com/office/spreadsheetml/2009/9/main" uri="{504A1905-F514-4f6f-8877-14C23A59335A}">
      <x14:table altTextSummary="Navedite imena i datume izostanka zaposlenika. Zabilježite vrstu izostanka u skladu s legendom u retku 12: G = godišnji odmor, B = bolovanje, P = osobni razlozi i dva rezervirana mjesta za prilagođene stavke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07000000}" name="Kolovoz" displayName="Kolovoz" ref="B6:AH12" totalsRowCount="1" headerRowDxfId="637" dataDxfId="636" totalsRowDxfId="635">
  <tableColumns count="33">
    <tableColumn id="1" xr3:uid="{00000000-0010-0000-0700-000001000000}" name="Ime i prezime zaposlenika" totalsRowFunction="custom" dataDxfId="634" totalsRowDxfId="164" dataCellStyle="Zaposlenik">
      <totalsRowFormula>NazivMjeseca&amp;" Ukupno"</totalsRowFormula>
    </tableColumn>
    <tableColumn id="2" xr3:uid="{00000000-0010-0000-0700-000002000000}" name="1" totalsRowFunction="count" dataDxfId="633" totalsRowDxfId="163"/>
    <tableColumn id="3" xr3:uid="{00000000-0010-0000-0700-000003000000}" name="2" totalsRowFunction="count" dataDxfId="632" totalsRowDxfId="162"/>
    <tableColumn id="4" xr3:uid="{00000000-0010-0000-0700-000004000000}" name="3" totalsRowFunction="count" dataDxfId="631" totalsRowDxfId="161"/>
    <tableColumn id="5" xr3:uid="{00000000-0010-0000-0700-000005000000}" name="4" totalsRowFunction="count" dataDxfId="630" totalsRowDxfId="160"/>
    <tableColumn id="6" xr3:uid="{00000000-0010-0000-0700-000006000000}" name="5" totalsRowFunction="count" dataDxfId="629" totalsRowDxfId="159"/>
    <tableColumn id="7" xr3:uid="{00000000-0010-0000-0700-000007000000}" name="6" totalsRowFunction="count" dataDxfId="628" totalsRowDxfId="158"/>
    <tableColumn id="8" xr3:uid="{00000000-0010-0000-0700-000008000000}" name="7" totalsRowFunction="count" dataDxfId="627" totalsRowDxfId="157"/>
    <tableColumn id="9" xr3:uid="{00000000-0010-0000-0700-000009000000}" name="8" totalsRowFunction="count" dataDxfId="626" totalsRowDxfId="156"/>
    <tableColumn id="10" xr3:uid="{00000000-0010-0000-0700-00000A000000}" name="9" totalsRowFunction="count" dataDxfId="625" totalsRowDxfId="155"/>
    <tableColumn id="11" xr3:uid="{00000000-0010-0000-0700-00000B000000}" name="10" totalsRowFunction="count" dataDxfId="624" totalsRowDxfId="154"/>
    <tableColumn id="12" xr3:uid="{00000000-0010-0000-0700-00000C000000}" name="11" totalsRowFunction="count" dataDxfId="623" totalsRowDxfId="153"/>
    <tableColumn id="13" xr3:uid="{00000000-0010-0000-0700-00000D000000}" name="12" totalsRowFunction="count" dataDxfId="622" totalsRowDxfId="152"/>
    <tableColumn id="14" xr3:uid="{00000000-0010-0000-0700-00000E000000}" name="13" totalsRowFunction="count" dataDxfId="621" totalsRowDxfId="151"/>
    <tableColumn id="15" xr3:uid="{00000000-0010-0000-0700-00000F000000}" name="14" totalsRowFunction="count" dataDxfId="620" totalsRowDxfId="150"/>
    <tableColumn id="16" xr3:uid="{00000000-0010-0000-0700-000010000000}" name="15" totalsRowFunction="count" dataDxfId="619" totalsRowDxfId="149"/>
    <tableColumn id="17" xr3:uid="{00000000-0010-0000-0700-000011000000}" name="16" totalsRowFunction="count" dataDxfId="618" totalsRowDxfId="148"/>
    <tableColumn id="18" xr3:uid="{00000000-0010-0000-0700-000012000000}" name="17" totalsRowFunction="count" dataDxfId="617" totalsRowDxfId="147"/>
    <tableColumn id="19" xr3:uid="{00000000-0010-0000-0700-000013000000}" name="18" totalsRowFunction="count" dataDxfId="616" totalsRowDxfId="146"/>
    <tableColumn id="20" xr3:uid="{00000000-0010-0000-0700-000014000000}" name="19" totalsRowFunction="count" dataDxfId="615" totalsRowDxfId="145"/>
    <tableColumn id="21" xr3:uid="{00000000-0010-0000-0700-000015000000}" name="20" totalsRowFunction="count" dataDxfId="614" totalsRowDxfId="144"/>
    <tableColumn id="22" xr3:uid="{00000000-0010-0000-0700-000016000000}" name="21" totalsRowFunction="count" dataDxfId="613" totalsRowDxfId="143"/>
    <tableColumn id="23" xr3:uid="{00000000-0010-0000-0700-000017000000}" name="22" totalsRowFunction="count" dataDxfId="612" totalsRowDxfId="142"/>
    <tableColumn id="24" xr3:uid="{00000000-0010-0000-0700-000018000000}" name="23" totalsRowFunction="count" dataDxfId="611" totalsRowDxfId="141"/>
    <tableColumn id="25" xr3:uid="{00000000-0010-0000-0700-000019000000}" name="24" totalsRowFunction="count" dataDxfId="610" totalsRowDxfId="140"/>
    <tableColumn id="26" xr3:uid="{00000000-0010-0000-0700-00001A000000}" name="25" totalsRowFunction="count" dataDxfId="609" totalsRowDxfId="139"/>
    <tableColumn id="27" xr3:uid="{00000000-0010-0000-0700-00001B000000}" name="26" totalsRowFunction="count" dataDxfId="608" totalsRowDxfId="138"/>
    <tableColumn id="28" xr3:uid="{00000000-0010-0000-0700-00001C000000}" name="27" totalsRowFunction="count" dataDxfId="607" totalsRowDxfId="137"/>
    <tableColumn id="29" xr3:uid="{00000000-0010-0000-0700-00001D000000}" name="28" totalsRowFunction="count" dataDxfId="606" totalsRowDxfId="136"/>
    <tableColumn id="30" xr3:uid="{00000000-0010-0000-0700-00001E000000}" name="29" totalsRowFunction="count" dataDxfId="605" totalsRowDxfId="135"/>
    <tableColumn id="31" xr3:uid="{00000000-0010-0000-0700-00001F000000}" name="30" totalsRowFunction="count" dataDxfId="604" totalsRowDxfId="134"/>
    <tableColumn id="32" xr3:uid="{00000000-0010-0000-0700-000020000000}" name="31" totalsRowFunction="count" dataDxfId="603" totalsRowDxfId="133"/>
    <tableColumn id="33" xr3:uid="{00000000-0010-0000-0700-000021000000}" name="UkupnoDana" totalsRowFunction="sum" dataDxfId="602" totalsRowDxfId="132">
      <calculatedColumnFormula>COUNTA(Kolovoz[[#This Row],[1]:[31]])</calculatedColumnFormula>
    </tableColumn>
  </tableColumns>
  <tableStyleInfo name="Tablica izostanaka zaposlenika" showFirstColumn="1" showLastColumn="1" showRowStripes="1" showColumnStripes="0"/>
  <extLst>
    <ext xmlns:x14="http://schemas.microsoft.com/office/spreadsheetml/2009/9/main" uri="{504A1905-F514-4f6f-8877-14C23A59335A}">
      <x14:table altTextSummary="Navedite imena i datume izostanka zaposlenika. Zabilježite vrstu izostanka u skladu s legendom u retku 12: G = godišnji odmor, B = bolovanje, P = osobni razlozi i dva rezervirana mjesta za prilagođene stavke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08000000}" name="Rujan" displayName="Rujan" ref="B6:AH12" totalsRowCount="1" headerRowDxfId="601" dataDxfId="600" totalsRowDxfId="599">
  <tableColumns count="33">
    <tableColumn id="1" xr3:uid="{00000000-0010-0000-0800-000001000000}" name="Ime i prezime zaposlenika" totalsRowFunction="custom" dataDxfId="598" totalsRowDxfId="131" dataCellStyle="Zaposlenik">
      <totalsRowFormula>NazivMjeseca&amp;" Ukupno"</totalsRowFormula>
    </tableColumn>
    <tableColumn id="2" xr3:uid="{00000000-0010-0000-0800-000002000000}" name="1" totalsRowFunction="count" dataDxfId="597" totalsRowDxfId="130"/>
    <tableColumn id="3" xr3:uid="{00000000-0010-0000-0800-000003000000}" name="2" totalsRowFunction="count" dataDxfId="596" totalsRowDxfId="129"/>
    <tableColumn id="4" xr3:uid="{00000000-0010-0000-0800-000004000000}" name="3" totalsRowFunction="count" dataDxfId="595" totalsRowDxfId="128"/>
    <tableColumn id="5" xr3:uid="{00000000-0010-0000-0800-000005000000}" name="4" totalsRowFunction="count" dataDxfId="594" totalsRowDxfId="127"/>
    <tableColumn id="6" xr3:uid="{00000000-0010-0000-0800-000006000000}" name="5" totalsRowFunction="count" dataDxfId="593" totalsRowDxfId="126"/>
    <tableColumn id="7" xr3:uid="{00000000-0010-0000-0800-000007000000}" name="6" totalsRowFunction="count" dataDxfId="592" totalsRowDxfId="125"/>
    <tableColumn id="8" xr3:uid="{00000000-0010-0000-0800-000008000000}" name="7" totalsRowFunction="count" dataDxfId="591" totalsRowDxfId="124"/>
    <tableColumn id="9" xr3:uid="{00000000-0010-0000-0800-000009000000}" name="8" totalsRowFunction="count" dataDxfId="590" totalsRowDxfId="123"/>
    <tableColumn id="10" xr3:uid="{00000000-0010-0000-0800-00000A000000}" name="9" totalsRowFunction="count" dataDxfId="589" totalsRowDxfId="122"/>
    <tableColumn id="11" xr3:uid="{00000000-0010-0000-0800-00000B000000}" name="10" totalsRowFunction="count" dataDxfId="588" totalsRowDxfId="121"/>
    <tableColumn id="12" xr3:uid="{00000000-0010-0000-0800-00000C000000}" name="11" totalsRowFunction="count" dataDxfId="587" totalsRowDxfId="120"/>
    <tableColumn id="13" xr3:uid="{00000000-0010-0000-0800-00000D000000}" name="12" totalsRowFunction="count" dataDxfId="586" totalsRowDxfId="119"/>
    <tableColumn id="14" xr3:uid="{00000000-0010-0000-0800-00000E000000}" name="13" totalsRowFunction="count" dataDxfId="585" totalsRowDxfId="118"/>
    <tableColumn id="15" xr3:uid="{00000000-0010-0000-0800-00000F000000}" name="14" totalsRowFunction="count" dataDxfId="584" totalsRowDxfId="117"/>
    <tableColumn id="16" xr3:uid="{00000000-0010-0000-0800-000010000000}" name="15" totalsRowFunction="count" dataDxfId="583" totalsRowDxfId="116"/>
    <tableColumn id="17" xr3:uid="{00000000-0010-0000-0800-000011000000}" name="16" totalsRowFunction="count" dataDxfId="582" totalsRowDxfId="115"/>
    <tableColumn id="18" xr3:uid="{00000000-0010-0000-0800-000012000000}" name="17" totalsRowFunction="count" dataDxfId="581" totalsRowDxfId="114"/>
    <tableColumn id="19" xr3:uid="{00000000-0010-0000-0800-000013000000}" name="18" totalsRowFunction="count" dataDxfId="580" totalsRowDxfId="113"/>
    <tableColumn id="20" xr3:uid="{00000000-0010-0000-0800-000014000000}" name="19" totalsRowFunction="count" dataDxfId="579" totalsRowDxfId="112"/>
    <tableColumn id="21" xr3:uid="{00000000-0010-0000-0800-000015000000}" name="20" totalsRowFunction="count" dataDxfId="578" totalsRowDxfId="111"/>
    <tableColumn id="22" xr3:uid="{00000000-0010-0000-0800-000016000000}" name="21" totalsRowFunction="count" dataDxfId="577" totalsRowDxfId="110"/>
    <tableColumn id="23" xr3:uid="{00000000-0010-0000-0800-000017000000}" name="22" totalsRowFunction="count" dataDxfId="576" totalsRowDxfId="109"/>
    <tableColumn id="24" xr3:uid="{00000000-0010-0000-0800-000018000000}" name="23" totalsRowFunction="count" dataDxfId="575" totalsRowDxfId="108"/>
    <tableColumn id="25" xr3:uid="{00000000-0010-0000-0800-000019000000}" name="24" totalsRowFunction="count" dataDxfId="574" totalsRowDxfId="107"/>
    <tableColumn id="26" xr3:uid="{00000000-0010-0000-0800-00001A000000}" name="25" totalsRowFunction="count" dataDxfId="573" totalsRowDxfId="106"/>
    <tableColumn id="27" xr3:uid="{00000000-0010-0000-0800-00001B000000}" name="26" totalsRowFunction="count" dataDxfId="572" totalsRowDxfId="105"/>
    <tableColumn id="28" xr3:uid="{00000000-0010-0000-0800-00001C000000}" name="27" totalsRowFunction="count" dataDxfId="571" totalsRowDxfId="104"/>
    <tableColumn id="29" xr3:uid="{00000000-0010-0000-0800-00001D000000}" name="28" totalsRowFunction="count" dataDxfId="570" totalsRowDxfId="103"/>
    <tableColumn id="30" xr3:uid="{00000000-0010-0000-0800-00001E000000}" name="29" totalsRowFunction="count" dataDxfId="569" totalsRowDxfId="102"/>
    <tableColumn id="31" xr3:uid="{00000000-0010-0000-0800-00001F000000}" name="30" totalsRowFunction="count" dataDxfId="568" totalsRowDxfId="101"/>
    <tableColumn id="32" xr3:uid="{00000000-0010-0000-0800-000020000000}" name=" " totalsRowFunction="count" dataDxfId="567" totalsRowDxfId="100"/>
    <tableColumn id="33" xr3:uid="{00000000-0010-0000-0800-000021000000}" name="Ukupno dana" totalsRowFunction="sum" dataDxfId="566" totalsRowDxfId="99">
      <calculatedColumnFormula>COUNTA(Rujan[[#This Row],[1]:[30]])</calculatedColumnFormula>
    </tableColumn>
  </tableColumns>
  <tableStyleInfo name="Tablica izostanaka zaposlenika" showFirstColumn="1" showLastColumn="1" showRowStripes="1" showColumnStripes="0"/>
  <extLst>
    <ext xmlns:x14="http://schemas.microsoft.com/office/spreadsheetml/2009/9/main" uri="{504A1905-F514-4f6f-8877-14C23A59335A}">
      <x14:table altTextSummary="Navedite imena i datume izostanka zaposlenika. Zabilježite vrstu izostanka u skladu s legendom u retku 12: G = godišnji odmor, B = bolovanje, P = osobni razlozi i dva rezervirana mjesta za prilagođene stavke"/>
    </ext>
  </extLst>
</table>
</file>

<file path=xl/theme/theme1.xml><?xml version="1.0" encoding="utf-8"?>
<a:theme xmlns:a="http://schemas.openxmlformats.org/drawingml/2006/main" name="Office Theme">
  <a:themeElements>
    <a:clrScheme name="Employee Absense Schedule">
      <a:dk1>
        <a:sysClr val="windowText" lastClr="000000"/>
      </a:dk1>
      <a:lt1>
        <a:sysClr val="window" lastClr="FFFFFF"/>
      </a:lt1>
      <a:dk2>
        <a:srgbClr val="4B180E"/>
      </a:dk2>
      <a:lt2>
        <a:srgbClr val="F1F2E8"/>
      </a:lt2>
      <a:accent1>
        <a:srgbClr val="A53423"/>
      </a:accent1>
      <a:accent2>
        <a:srgbClr val="E68130"/>
      </a:accent2>
      <a:accent3>
        <a:srgbClr val="9BB05D"/>
      </a:accent3>
      <a:accent4>
        <a:srgbClr val="CC9900"/>
      </a:accent4>
      <a:accent5>
        <a:srgbClr val="4F66AF"/>
      </a:accent5>
      <a:accent6>
        <a:srgbClr val="D0D2D3"/>
      </a:accent6>
      <a:hlink>
        <a:srgbClr val="4F66AF"/>
      </a:hlink>
      <a:folHlink>
        <a:srgbClr val="6B9AC6"/>
      </a:folHlink>
    </a:clrScheme>
    <a:fontScheme name="Employee Absence Schedul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2" tint="-0.89999084444715716"/>
    <pageSetUpPr fitToPage="1"/>
  </sheetPr>
  <dimension ref="A1:AH12"/>
  <sheetViews>
    <sheetView showGridLines="0" tabSelected="1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5.7109375" style="11" customWidth="1"/>
    <col min="34" max="34" width="17.140625" style="11" customWidth="1"/>
    <col min="35" max="35" width="2.7109375" customWidth="1"/>
  </cols>
  <sheetData>
    <row r="1" spans="1:34" ht="50.1" customHeight="1" x14ac:dyDescent="0.25">
      <c r="A1" s="18"/>
      <c r="B1" s="14" t="s">
        <v>0</v>
      </c>
    </row>
    <row r="2" spans="1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14</v>
      </c>
      <c r="H2" s="25" t="s">
        <v>18</v>
      </c>
      <c r="I2" s="25"/>
      <c r="J2" s="25"/>
      <c r="K2" s="6" t="s">
        <v>16</v>
      </c>
      <c r="L2" s="25" t="s">
        <v>21</v>
      </c>
      <c r="M2" s="25"/>
      <c r="N2" s="7"/>
      <c r="O2" s="25" t="s">
        <v>25</v>
      </c>
      <c r="P2" s="25"/>
      <c r="Q2" s="25"/>
      <c r="R2" s="8"/>
      <c r="S2" s="25" t="s">
        <v>30</v>
      </c>
      <c r="T2" s="25"/>
      <c r="U2" s="25"/>
    </row>
    <row r="3" spans="1:34" ht="15" customHeight="1" x14ac:dyDescent="0.25">
      <c r="AH3" s="20" t="s">
        <v>46</v>
      </c>
    </row>
    <row r="4" spans="1:34" ht="30" customHeight="1" x14ac:dyDescent="0.25">
      <c r="B4" s="12" t="s">
        <v>2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v>2019</v>
      </c>
    </row>
    <row r="5" spans="1:34" ht="15" customHeight="1" x14ac:dyDescent="0.25">
      <c r="B5" s="12"/>
      <c r="C5" s="2" t="str">
        <f>TEXT(WEEKDAY(DATE(KalendarskaGodina,1,1),1),"aaa")</f>
        <v>uto</v>
      </c>
      <c r="D5" s="2" t="str">
        <f>TEXT(WEEKDAY(DATE(KalendarskaGodina,1,2),1),"aaa")</f>
        <v>sri</v>
      </c>
      <c r="E5" s="2" t="str">
        <f>TEXT(WEEKDAY(DATE(KalendarskaGodina,1,3),1),"aaa")</f>
        <v>čet</v>
      </c>
      <c r="F5" s="2" t="str">
        <f>TEXT(WEEKDAY(DATE(KalendarskaGodina,1,4),1),"aaa")</f>
        <v>pet</v>
      </c>
      <c r="G5" s="2" t="str">
        <f>TEXT(WEEKDAY(DATE(KalendarskaGodina,1,5),1),"aaa")</f>
        <v>sub</v>
      </c>
      <c r="H5" s="2" t="str">
        <f>TEXT(WEEKDAY(DATE(KalendarskaGodina,1,6),1),"aaa")</f>
        <v>ned</v>
      </c>
      <c r="I5" s="2" t="str">
        <f>TEXT(WEEKDAY(DATE(KalendarskaGodina,1,7),1),"aaa")</f>
        <v>pon</v>
      </c>
      <c r="J5" s="2" t="str">
        <f>TEXT(WEEKDAY(DATE(KalendarskaGodina,1,8),1),"aaa")</f>
        <v>uto</v>
      </c>
      <c r="K5" s="2" t="str">
        <f>TEXT(WEEKDAY(DATE(KalendarskaGodina,1,9),1),"aaa")</f>
        <v>sri</v>
      </c>
      <c r="L5" s="2" t="str">
        <f>TEXT(WEEKDAY(DATE(KalendarskaGodina,1,10),1),"aaa")</f>
        <v>čet</v>
      </c>
      <c r="M5" s="2" t="str">
        <f>TEXT(WEEKDAY(DATE(KalendarskaGodina,1,11),1),"aaa")</f>
        <v>pet</v>
      </c>
      <c r="N5" s="2" t="str">
        <f>TEXT(WEEKDAY(DATE(KalendarskaGodina,1,12),1),"aaa")</f>
        <v>sub</v>
      </c>
      <c r="O5" s="2" t="str">
        <f>TEXT(WEEKDAY(DATE(KalendarskaGodina,1,13),1),"aaa")</f>
        <v>ned</v>
      </c>
      <c r="P5" s="2" t="str">
        <f>TEXT(WEEKDAY(DATE(KalendarskaGodina,1,14),1),"aaa")</f>
        <v>pon</v>
      </c>
      <c r="Q5" s="2" t="str">
        <f>TEXT(WEEKDAY(DATE(KalendarskaGodina,1,15),1),"aaa")</f>
        <v>uto</v>
      </c>
      <c r="R5" s="2" t="str">
        <f>TEXT(WEEKDAY(DATE(KalendarskaGodina,1,16),1),"aaa")</f>
        <v>sri</v>
      </c>
      <c r="S5" s="2" t="str">
        <f>TEXT(WEEKDAY(DATE(KalendarskaGodina,1,17),1),"aaa")</f>
        <v>čet</v>
      </c>
      <c r="T5" s="2" t="str">
        <f>TEXT(WEEKDAY(DATE(KalendarskaGodina,1,18),1),"aaa")</f>
        <v>pet</v>
      </c>
      <c r="U5" s="2" t="str">
        <f>TEXT(WEEKDAY(DATE(KalendarskaGodina,1,19),1),"aaa")</f>
        <v>sub</v>
      </c>
      <c r="V5" s="2" t="str">
        <f>TEXT(WEEKDAY(DATE(KalendarskaGodina,1,20),1),"aaa")</f>
        <v>ned</v>
      </c>
      <c r="W5" s="2" t="str">
        <f>TEXT(WEEKDAY(DATE(KalendarskaGodina,1,21),1),"aaa")</f>
        <v>pon</v>
      </c>
      <c r="X5" s="2" t="str">
        <f>TEXT(WEEKDAY(DATE(KalendarskaGodina,1,22),1),"aaa")</f>
        <v>uto</v>
      </c>
      <c r="Y5" s="2" t="str">
        <f>TEXT(WEEKDAY(DATE(KalendarskaGodina,1,23),1),"aaa")</f>
        <v>sri</v>
      </c>
      <c r="Z5" s="2" t="str">
        <f>TEXT(WEEKDAY(DATE(KalendarskaGodina,1,24),1),"aaa")</f>
        <v>čet</v>
      </c>
      <c r="AA5" s="2" t="str">
        <f>TEXT(WEEKDAY(DATE(KalendarskaGodina,1,25),1),"aaa")</f>
        <v>pet</v>
      </c>
      <c r="AB5" s="2" t="str">
        <f>TEXT(WEEKDAY(DATE(KalendarskaGodina,1,26),1),"aaa")</f>
        <v>sub</v>
      </c>
      <c r="AC5" s="2" t="str">
        <f>TEXT(WEEKDAY(DATE(KalendarskaGodina,1,27),1),"aaa")</f>
        <v>ned</v>
      </c>
      <c r="AD5" s="2" t="str">
        <f>TEXT(WEEKDAY(DATE(KalendarskaGodina,1,28),1),"aaa")</f>
        <v>pon</v>
      </c>
      <c r="AE5" s="2" t="str">
        <f>TEXT(WEEKDAY(DATE(KalendarskaGodina,1,29),1),"aaa")</f>
        <v>uto</v>
      </c>
      <c r="AF5" s="2" t="str">
        <f>TEXT(WEEKDAY(DATE(KalendarskaGodina,1,30),1),"aaa")</f>
        <v>sri</v>
      </c>
      <c r="AG5" s="2" t="str">
        <f>TEXT(WEEKDAY(DATE(KalendarskaGodina,1,31),1),"aaa")</f>
        <v>čet</v>
      </c>
      <c r="AH5" s="12"/>
    </row>
    <row r="6" spans="1:34" ht="15" customHeight="1" x14ac:dyDescent="0.25">
      <c r="B6" s="15" t="s">
        <v>3</v>
      </c>
      <c r="C6" s="3" t="s">
        <v>11</v>
      </c>
      <c r="D6" s="3" t="s">
        <v>13</v>
      </c>
      <c r="E6" s="3" t="s">
        <v>63</v>
      </c>
      <c r="F6" s="3" t="s">
        <v>15</v>
      </c>
      <c r="G6" s="3" t="s">
        <v>17</v>
      </c>
      <c r="H6" s="3" t="s">
        <v>19</v>
      </c>
      <c r="I6" s="3" t="s">
        <v>64</v>
      </c>
      <c r="J6" s="3" t="s">
        <v>65</v>
      </c>
      <c r="K6" s="3" t="s">
        <v>20</v>
      </c>
      <c r="L6" s="3" t="s">
        <v>22</v>
      </c>
      <c r="M6" s="3" t="s">
        <v>23</v>
      </c>
      <c r="N6" s="3" t="s">
        <v>24</v>
      </c>
      <c r="O6" s="3" t="s">
        <v>26</v>
      </c>
      <c r="P6" s="3" t="s">
        <v>27</v>
      </c>
      <c r="Q6" s="3" t="s">
        <v>28</v>
      </c>
      <c r="R6" s="3" t="s">
        <v>29</v>
      </c>
      <c r="S6" s="3" t="s">
        <v>31</v>
      </c>
      <c r="T6" s="3" t="s">
        <v>32</v>
      </c>
      <c r="U6" s="3" t="s">
        <v>33</v>
      </c>
      <c r="V6" s="3" t="s">
        <v>34</v>
      </c>
      <c r="W6" s="3" t="s">
        <v>35</v>
      </c>
      <c r="X6" s="3" t="s">
        <v>36</v>
      </c>
      <c r="Y6" s="3" t="s">
        <v>37</v>
      </c>
      <c r="Z6" s="3" t="s">
        <v>38</v>
      </c>
      <c r="AA6" s="3" t="s">
        <v>39</v>
      </c>
      <c r="AB6" s="3" t="s">
        <v>40</v>
      </c>
      <c r="AC6" s="3" t="s">
        <v>41</v>
      </c>
      <c r="AD6" s="3" t="s">
        <v>42</v>
      </c>
      <c r="AE6" s="3" t="s">
        <v>43</v>
      </c>
      <c r="AF6" s="3" t="s">
        <v>44</v>
      </c>
      <c r="AG6" s="3" t="s">
        <v>45</v>
      </c>
      <c r="AH6" s="16" t="s">
        <v>47</v>
      </c>
    </row>
    <row r="7" spans="1:34" ht="30" customHeight="1" x14ac:dyDescent="0.25">
      <c r="B7" s="9" t="s">
        <v>4</v>
      </c>
      <c r="C7" s="3"/>
      <c r="D7" s="3"/>
      <c r="E7" s="3" t="s">
        <v>9</v>
      </c>
      <c r="F7" s="3" t="s">
        <v>9</v>
      </c>
      <c r="G7" s="3" t="s">
        <v>9</v>
      </c>
      <c r="H7" s="3" t="s">
        <v>9</v>
      </c>
      <c r="I7" s="3"/>
      <c r="J7" s="3"/>
      <c r="K7" s="3"/>
      <c r="L7" s="3"/>
      <c r="M7" s="3"/>
      <c r="N7" s="3"/>
      <c r="O7" s="3" t="s">
        <v>9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COUNTA(Siječanj!$C7:$AG7)</f>
        <v>5</v>
      </c>
    </row>
    <row r="8" spans="1:34" ht="30" customHeight="1" x14ac:dyDescent="0.25">
      <c r="B8" s="9" t="s">
        <v>5</v>
      </c>
      <c r="C8" s="3"/>
      <c r="D8" s="3"/>
      <c r="E8" s="3"/>
      <c r="F8" s="3"/>
      <c r="G8" s="3" t="s">
        <v>16</v>
      </c>
      <c r="H8" s="3" t="s">
        <v>16</v>
      </c>
      <c r="I8" s="3"/>
      <c r="J8" s="3"/>
      <c r="K8" s="3"/>
      <c r="L8" s="3"/>
      <c r="M8" s="3" t="s">
        <v>14</v>
      </c>
      <c r="N8" s="3"/>
      <c r="O8" s="3"/>
      <c r="P8" s="3"/>
      <c r="Q8" s="3"/>
      <c r="R8" s="3"/>
      <c r="S8" s="3"/>
      <c r="T8" s="3"/>
      <c r="U8" s="3"/>
      <c r="V8" s="3" t="s">
        <v>16</v>
      </c>
      <c r="W8" s="3"/>
      <c r="X8" s="3"/>
      <c r="Y8" s="3"/>
      <c r="Z8" s="3"/>
      <c r="AA8" s="3" t="s">
        <v>9</v>
      </c>
      <c r="AB8" s="3" t="s">
        <v>9</v>
      </c>
      <c r="AC8" s="3" t="s">
        <v>9</v>
      </c>
      <c r="AD8" s="3"/>
      <c r="AE8" s="3"/>
      <c r="AF8" s="3"/>
      <c r="AG8" s="3"/>
      <c r="AH8" s="10">
        <f>COUNTA(Siječanj!$C8:$AG8)</f>
        <v>7</v>
      </c>
    </row>
    <row r="9" spans="1:34" ht="30" customHeight="1" x14ac:dyDescent="0.25">
      <c r="B9" s="9" t="s">
        <v>6</v>
      </c>
      <c r="C9" s="3"/>
      <c r="D9" s="3"/>
      <c r="E9" s="3" t="s">
        <v>14</v>
      </c>
      <c r="F9" s="3"/>
      <c r="G9" s="3"/>
      <c r="H9" s="3"/>
      <c r="I9" s="3"/>
      <c r="J9" s="3"/>
      <c r="K9" s="3"/>
      <c r="L9" s="3"/>
      <c r="M9" s="3"/>
      <c r="N9" s="3"/>
      <c r="O9" s="3"/>
      <c r="P9" s="3" t="s">
        <v>16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 t="s">
        <v>16</v>
      </c>
      <c r="AF9" s="3"/>
      <c r="AG9" s="3"/>
      <c r="AH9" s="10">
        <f>COUNTA(Siječanj!$C9:$AG9)</f>
        <v>3</v>
      </c>
    </row>
    <row r="10" spans="1:34" ht="30" customHeight="1" x14ac:dyDescent="0.25">
      <c r="B10" s="9" t="s">
        <v>7</v>
      </c>
      <c r="C10" s="3"/>
      <c r="D10" s="3"/>
      <c r="E10" s="3"/>
      <c r="F10" s="3"/>
      <c r="G10" s="3"/>
      <c r="H10" s="3"/>
      <c r="I10" s="3" t="s">
        <v>14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 t="s">
        <v>9</v>
      </c>
      <c r="V10" s="3" t="s">
        <v>9</v>
      </c>
      <c r="W10" s="3" t="s">
        <v>9</v>
      </c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COUNTA(Siječanj!$C10:$AG10)</f>
        <v>4</v>
      </c>
    </row>
    <row r="11" spans="1:34" ht="30" customHeight="1" x14ac:dyDescent="0.25">
      <c r="B11" s="9" t="s">
        <v>8</v>
      </c>
      <c r="C11" s="3"/>
      <c r="D11" s="3"/>
      <c r="E11" s="3"/>
      <c r="F11" s="3" t="s">
        <v>16</v>
      </c>
      <c r="G11" s="3" t="s">
        <v>9</v>
      </c>
      <c r="H11" s="3" t="s">
        <v>9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 t="s">
        <v>16</v>
      </c>
      <c r="T11" s="3"/>
      <c r="U11" s="3"/>
      <c r="V11" s="3"/>
      <c r="W11" s="3"/>
      <c r="X11" s="3"/>
      <c r="Y11" s="3"/>
      <c r="Z11" s="3" t="s">
        <v>16</v>
      </c>
      <c r="AA11" s="3"/>
      <c r="AB11" s="3"/>
      <c r="AC11" s="3"/>
      <c r="AD11" s="3"/>
      <c r="AE11" s="3"/>
      <c r="AF11" s="3"/>
      <c r="AG11" s="3" t="s">
        <v>9</v>
      </c>
      <c r="AH11" s="10">
        <f>COUNTA(Siječanj!$C11:$AG11)</f>
        <v>6</v>
      </c>
    </row>
    <row r="12" spans="1:34" ht="30" customHeight="1" x14ac:dyDescent="0.25">
      <c r="B12" s="21" t="str">
        <f>NazivMjeseca&amp;" Ukupno"</f>
        <v>Siječanj Ukupno</v>
      </c>
      <c r="C12" s="13">
        <f>SUBTOTAL(103,Siječanj!$C$7:$C$11)</f>
        <v>0</v>
      </c>
      <c r="D12" s="13">
        <f>SUBTOTAL(103,Siječanj!$D$7:$D$11)</f>
        <v>0</v>
      </c>
      <c r="E12" s="13">
        <f>SUBTOTAL(103,Siječanj!$E$7:$E$11)</f>
        <v>2</v>
      </c>
      <c r="F12" s="13">
        <f>SUBTOTAL(103,Siječanj!$F$7:$F$11)</f>
        <v>2</v>
      </c>
      <c r="G12" s="13">
        <f>SUBTOTAL(103,Siječanj!$G$7:$G$11)</f>
        <v>3</v>
      </c>
      <c r="H12" s="13">
        <f>SUBTOTAL(103,Siječanj!$H$7:$H$11)</f>
        <v>3</v>
      </c>
      <c r="I12" s="13">
        <f>SUBTOTAL(103,Siječanj!$I$7:$I$11)</f>
        <v>1</v>
      </c>
      <c r="J12" s="13">
        <f>SUBTOTAL(103,Siječanj!$J$7:$J$11)</f>
        <v>0</v>
      </c>
      <c r="K12" s="13">
        <f>SUBTOTAL(103,Siječanj!$K$7:$K$11)</f>
        <v>0</v>
      </c>
      <c r="L12" s="13">
        <f>SUBTOTAL(103,Siječanj!$L$7:$L$11)</f>
        <v>0</v>
      </c>
      <c r="M12" s="13">
        <f>SUBTOTAL(103,Siječanj!$M$7:$M$11)</f>
        <v>1</v>
      </c>
      <c r="N12" s="13">
        <f>SUBTOTAL(103,Siječanj!$N$7:$N$11)</f>
        <v>0</v>
      </c>
      <c r="O12" s="13">
        <f>SUBTOTAL(103,Siječanj!$O$7:$O$11)</f>
        <v>1</v>
      </c>
      <c r="P12" s="13">
        <f>SUBTOTAL(103,Siječanj!$P$7:$P$11)</f>
        <v>1</v>
      </c>
      <c r="Q12" s="13">
        <f>SUBTOTAL(103,Siječanj!$Q$7:$Q$11)</f>
        <v>0</v>
      </c>
      <c r="R12" s="13">
        <f>SUBTOTAL(103,Siječanj!$R$7:$R$11)</f>
        <v>0</v>
      </c>
      <c r="S12" s="13">
        <f>SUBTOTAL(103,Siječanj!$S$7:$S$11)</f>
        <v>1</v>
      </c>
      <c r="T12" s="13">
        <f>SUBTOTAL(103,Siječanj!$T$7:$T$11)</f>
        <v>0</v>
      </c>
      <c r="U12" s="13">
        <f>SUBTOTAL(103,Siječanj!$U$7:$U$11)</f>
        <v>1</v>
      </c>
      <c r="V12" s="13">
        <f>SUBTOTAL(103,Siječanj!$V$7:$V$11)</f>
        <v>2</v>
      </c>
      <c r="W12" s="13">
        <f>SUBTOTAL(103,Siječanj!$W$7:$W$11)</f>
        <v>1</v>
      </c>
      <c r="X12" s="13">
        <f>SUBTOTAL(103,Siječanj!$X$7:$X$11)</f>
        <v>0</v>
      </c>
      <c r="Y12" s="13">
        <f>SUBTOTAL(103,Siječanj!$Y$7:$Y$11)</f>
        <v>0</v>
      </c>
      <c r="Z12" s="13">
        <f>SUBTOTAL(103,Siječanj!$Z$7:$Z$11)</f>
        <v>1</v>
      </c>
      <c r="AA12" s="13">
        <f>SUBTOTAL(103,Siječanj!$AA$7:$AA$11)</f>
        <v>1</v>
      </c>
      <c r="AB12" s="13">
        <f>SUBTOTAL(103,Siječanj!$AB$7:$AB$11)</f>
        <v>1</v>
      </c>
      <c r="AC12" s="13">
        <f>SUBTOTAL(103,Siječanj!$AC$7:$AC$11)</f>
        <v>1</v>
      </c>
      <c r="AD12" s="13">
        <f>SUBTOTAL(103,Siječanj!$AD$7:$AD$11)</f>
        <v>0</v>
      </c>
      <c r="AE12" s="13">
        <f>SUBTOTAL(103,Siječanj!$AE$7:$AE$11)</f>
        <v>1</v>
      </c>
      <c r="AF12" s="13">
        <f>SUBTOTAL(103,Siječanj!$AF$7:$AF$11)</f>
        <v>0</v>
      </c>
      <c r="AG12" s="13">
        <f>SUBTOTAL(103,Siječanj!$AG$7:$AG$11)</f>
        <v>1</v>
      </c>
      <c r="AH12" s="13">
        <f>SUBTOTAL(109,Siječanj[UkupnoDana])</f>
        <v>25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  <cfRule type="expression" dxfId="457" priority="6" stopIfTrue="1">
      <formula>C7=OznakaPrilagođeno2</formula>
    </cfRule>
    <cfRule type="expression" dxfId="456" priority="7" stopIfTrue="1">
      <formula>C7=OznakaPrilagođeno1</formula>
    </cfRule>
    <cfRule type="expression" dxfId="455" priority="8" stopIfTrue="1">
      <formula>C7=OznakaBolovanje</formula>
    </cfRule>
    <cfRule type="expression" dxfId="454" priority="9" stopIfTrue="1">
      <formula>C7=OznakaOsobniRazlozi</formula>
    </cfRule>
    <cfRule type="expression" dxfId="453" priority="10" stopIfTrue="1">
      <formula>C7=OznakaGodišnjiOdmor</formula>
    </cfRule>
  </conditionalFormatting>
  <conditionalFormatting sqref="AH7:AH11">
    <cfRule type="dataBar" priority="168">
      <dataBar>
        <cfvo type="num" val="0"/>
        <cfvo type="num" val="31"/>
        <color theme="2" tint="-0.249977111117893"/>
      </dataBar>
      <extLst>
        <ext xmlns:x14="http://schemas.microsoft.com/office/spreadsheetml/2009/9/main" uri="{B025F937-C7B1-47D3-B67F-A62EFF666E3E}">
          <x14:id>{ECCE2C3C-1B01-4700-B60E-DAAAB19A9C1A}</x14:id>
        </ext>
      </extLst>
    </cfRule>
  </conditionalFormatting>
  <dataValidations count="15">
    <dataValidation allowBlank="1" showInputMessage="1" showErrorMessage="1" prompt="U ovu ćeliju unesite godinu" sqref="AH4" xr:uid="{00000000-0002-0000-0000-000000000000}"/>
    <dataValidation errorStyle="warning" allowBlank="1" showInputMessage="1" showErrorMessage="1" error="Odaberite ime s popisa. Odaberite ODUSTANI, a zatim pritisnite ALT + STRELICA DOLJE, a zatim ENTER za odabir imena" prompt="Unesite imena zaposlenika na radnom listu Imena zaposlenika, a zatim odaberite jedno od tih imena s popisa u ovom stupcu. Pritisnite ALT + STRELICA DOLJE, a zatim ENTER za odabir imena" sqref="B6" xr:uid="{00000000-0002-0000-0000-000001000000}"/>
    <dataValidation allowBlank="1" showInputMessage="1" showErrorMessage="1" prompt="U ovom se retku automatski generiraju dani u mjesecu. Unesite izostanak zaposlenika i vrstu izostanka u svaki stupac za svaki dan u mjesecu. Prazno znači da nema izostanaka" sqref="C6" xr:uid="{00000000-0002-0000-0000-000002000000}"/>
    <dataValidation allowBlank="1" showInputMessage="1" showErrorMessage="1" prompt="Dani u tjednu u ovom retku automatski se ažuriraju za mjesec u skladu s godinom unesenom u ćeliju AH4. Svaki je dan u mjesecu stupac za bilježenje zaposlenikova izostanka i vrste izostanka" sqref="C5" xr:uid="{00000000-0002-0000-0000-000003000000}"/>
    <dataValidation allowBlank="1" showInputMessage="1" showErrorMessage="1" prompt="Automatski izračunava ukupan broj dana tijekom kojih je zaposlenik izostao ovog mjeseca" sqref="AH6" xr:uid="{00000000-0002-0000-0000-000004000000}"/>
    <dataValidation allowBlank="1" showInputMessage="1" showErrorMessage="1" prompt="U ovoj se ćeliji nalazi naslov radnog lista. Ažurirajte naslov i svaki će radni list automatski naslijediti promjenu" sqref="B1" xr:uid="{00000000-0002-0000-0000-000005000000}"/>
    <dataValidation allowBlank="1" showInputMessage="1" showErrorMessage="1" prompt="Mjesec ovog rasporeda izostanaka. Ažurirajte godinu u ćeliji AH4. Pratite ukupne zbrojeve po mjesecu u posljednjoj ćeliji tablice. Unesite imena zaposlenika u stupac B tablice" sqref="B4" xr:uid="{00000000-0002-0000-0000-000006000000}"/>
    <dataValidation allowBlank="1" showInputMessage="1" showErrorMessage="1" prompt="Ovaj redak definira oznake koje se koriste u tablici: ćelija C2 je Godišnji odmor, G2 Osobni razlozi, K2 Bolovanje. Ćelije N2 i R2 mogu se prilagoditi." sqref="B2" xr:uid="{00000000-0002-0000-0000-000007000000}"/>
    <dataValidation allowBlank="1" showInputMessage="1" showErrorMessage="1" prompt="Slovo &quot;G&quot; označava izostanak zbog godišnjeg odmora" sqref="C2" xr:uid="{00000000-0002-0000-0000-000008000000}"/>
    <dataValidation allowBlank="1" showInputMessage="1" showErrorMessage="1" prompt="Sovo &quot;O&quot; označava izostanak iz osobnih razloga" sqref="G2" xr:uid="{00000000-0002-0000-0000-000009000000}"/>
    <dataValidation allowBlank="1" showInputMessage="1" showErrorMessage="1" prompt="Slovo &quot;B&quot; označava izostanak zbog bolesti" sqref="K2" xr:uid="{00000000-0002-0000-0000-00000A000000}"/>
    <dataValidation allowBlank="1" showInputMessage="1" showErrorMessage="1" prompt="Unesite slovo i prilagodite natpis zdesna da biste dodali još jednu stavku oznake" sqref="N2 R2" xr:uid="{00000000-0002-0000-0000-00000B000000}"/>
    <dataValidation allowBlank="1" showInputMessage="1" showErrorMessage="1" prompt="Unesite natpis da biste opisali prilagođenu oznaku zdesna" sqref="O2:Q2 S2:U2" xr:uid="{00000000-0002-0000-0000-00000C000000}"/>
    <dataValidation allowBlank="1" showInputMessage="1" showErrorMessage="1" prompt="Raspored izostanaka zaposlenika prati izostanke zaposlenika po danima za svaki mjesec. Postoji 13 radnih listova, 12 mjesečnih i zadnji za imena zaposlenika. Na ovom radnom listu evidentirajte izostanke za siječanj" sqref="A1" xr:uid="{00000000-0002-0000-0000-00000D000000}"/>
    <dataValidation allowBlank="1" showInputMessage="1" showErrorMessage="1" prompt="Unesite godinu u ćeliju u nastavku" sqref="AH3" xr:uid="{00000000-0002-0000-0000-00000E000000}"/>
  </dataValidations>
  <printOptions horizontalCentered="1"/>
  <pageMargins left="0.25" right="0.25" top="0.75" bottom="0.75" header="0.3" footer="0.3"/>
  <pageSetup paperSize="9" scale="64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CCE2C3C-1B01-4700-B60E-DAAAB19A9C1A}">
            <x14:dataBar minLength="0" maxLength="100">
              <x14:cfvo type="num">
                <xm:f>0</xm:f>
              </x14:cfvo>
              <x14:cfvo type="num">
                <xm:f>31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F000000}">
          <x14:formula1>
            <xm:f>'Imena zaposlenika'!$B$4:$B$8</xm:f>
          </x14:formula1>
          <xm:sqref>B7:B11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2" tint="-0.249977111117893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5.7109375" style="11" customWidth="1"/>
    <col min="34" max="34" width="17.140625" style="11" customWidth="1"/>
    <col min="35" max="35" width="2.7109375" customWidth="1"/>
  </cols>
  <sheetData>
    <row r="1" spans="2:34" ht="50.1" customHeight="1" x14ac:dyDescent="0.25">
      <c r="B1" s="14" t="str">
        <f>Naslov_Izostanak_zaposlenika</f>
        <v>Raspored izostanaka zaposlenika</v>
      </c>
    </row>
    <row r="2" spans="2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14</v>
      </c>
      <c r="H2" s="25" t="s">
        <v>18</v>
      </c>
      <c r="I2" s="25"/>
      <c r="J2" s="25"/>
      <c r="K2" s="6" t="s">
        <v>16</v>
      </c>
      <c r="L2" s="25" t="s">
        <v>21</v>
      </c>
      <c r="M2" s="25"/>
      <c r="N2" s="7"/>
      <c r="O2" s="25" t="s">
        <v>25</v>
      </c>
      <c r="P2" s="25"/>
      <c r="Q2" s="25"/>
      <c r="R2" s="8"/>
      <c r="S2" s="25" t="s">
        <v>30</v>
      </c>
      <c r="T2" s="25"/>
      <c r="U2" s="25"/>
    </row>
    <row r="3" spans="2:34" ht="15" customHeight="1" x14ac:dyDescent="0.25">
      <c r="B3" s="14"/>
    </row>
    <row r="4" spans="2:34" ht="30" customHeight="1" x14ac:dyDescent="0.25">
      <c r="B4" s="12" t="s">
        <v>58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KalendarskaGodina</f>
        <v>2019</v>
      </c>
    </row>
    <row r="5" spans="2:34" ht="15" customHeight="1" x14ac:dyDescent="0.25">
      <c r="B5" s="12"/>
      <c r="C5" s="2" t="str">
        <f>TEXT(WEEKDAY(DATE(KalendarskaGodina,10,1),1),"aaa")</f>
        <v>uto</v>
      </c>
      <c r="D5" s="2" t="str">
        <f>TEXT(WEEKDAY(DATE(KalendarskaGodina,10,2),1),"aaa")</f>
        <v>sri</v>
      </c>
      <c r="E5" s="2" t="str">
        <f>TEXT(WEEKDAY(DATE(KalendarskaGodina,10,3),1),"aaa")</f>
        <v>čet</v>
      </c>
      <c r="F5" s="2" t="str">
        <f>TEXT(WEEKDAY(DATE(KalendarskaGodina,10,4),1),"aaa")</f>
        <v>pet</v>
      </c>
      <c r="G5" s="2" t="str">
        <f>TEXT(WEEKDAY(DATE(KalendarskaGodina,10,5),1),"aaa")</f>
        <v>sub</v>
      </c>
      <c r="H5" s="2" t="str">
        <f>TEXT(WEEKDAY(DATE(KalendarskaGodina,10,6),1),"aaa")</f>
        <v>ned</v>
      </c>
      <c r="I5" s="2" t="str">
        <f>TEXT(WEEKDAY(DATE(KalendarskaGodina,10,7),1),"aaa")</f>
        <v>pon</v>
      </c>
      <c r="J5" s="2" t="str">
        <f>TEXT(WEEKDAY(DATE(KalendarskaGodina,10,8),1),"aaa")</f>
        <v>uto</v>
      </c>
      <c r="K5" s="2" t="str">
        <f>TEXT(WEEKDAY(DATE(KalendarskaGodina,10,9),1),"aaa")</f>
        <v>sri</v>
      </c>
      <c r="L5" s="2" t="str">
        <f>TEXT(WEEKDAY(DATE(KalendarskaGodina,10,10),1),"aaa")</f>
        <v>čet</v>
      </c>
      <c r="M5" s="2" t="str">
        <f>TEXT(WEEKDAY(DATE(KalendarskaGodina,10,11),1),"aaa")</f>
        <v>pet</v>
      </c>
      <c r="N5" s="2" t="str">
        <f>TEXT(WEEKDAY(DATE(KalendarskaGodina,10,12),1),"aaa")</f>
        <v>sub</v>
      </c>
      <c r="O5" s="2" t="str">
        <f>TEXT(WEEKDAY(DATE(KalendarskaGodina,10,13),1),"aaa")</f>
        <v>ned</v>
      </c>
      <c r="P5" s="2" t="str">
        <f>TEXT(WEEKDAY(DATE(KalendarskaGodina,10,14),1),"aaa")</f>
        <v>pon</v>
      </c>
      <c r="Q5" s="2" t="str">
        <f>TEXT(WEEKDAY(DATE(KalendarskaGodina,10,15),1),"aaa")</f>
        <v>uto</v>
      </c>
      <c r="R5" s="2" t="str">
        <f>TEXT(WEEKDAY(DATE(KalendarskaGodina,10,16),1),"aaa")</f>
        <v>sri</v>
      </c>
      <c r="S5" s="2" t="str">
        <f>TEXT(WEEKDAY(DATE(KalendarskaGodina,10,17),1),"aaa")</f>
        <v>čet</v>
      </c>
      <c r="T5" s="2" t="str">
        <f>TEXT(WEEKDAY(DATE(KalendarskaGodina,10,18),1),"aaa")</f>
        <v>pet</v>
      </c>
      <c r="U5" s="2" t="str">
        <f>TEXT(WEEKDAY(DATE(KalendarskaGodina,10,19),1),"aaa")</f>
        <v>sub</v>
      </c>
      <c r="V5" s="2" t="str">
        <f>TEXT(WEEKDAY(DATE(KalendarskaGodina,10,20),1),"aaa")</f>
        <v>ned</v>
      </c>
      <c r="W5" s="2" t="str">
        <f>TEXT(WEEKDAY(DATE(KalendarskaGodina,10,21),1),"aaa")</f>
        <v>pon</v>
      </c>
      <c r="X5" s="2" t="str">
        <f>TEXT(WEEKDAY(DATE(KalendarskaGodina,10,22),1),"aaa")</f>
        <v>uto</v>
      </c>
      <c r="Y5" s="2" t="str">
        <f>TEXT(WEEKDAY(DATE(KalendarskaGodina,10,23),1),"aaa")</f>
        <v>sri</v>
      </c>
      <c r="Z5" s="2" t="str">
        <f>TEXT(WEEKDAY(DATE(KalendarskaGodina,10,24),1),"aaa")</f>
        <v>čet</v>
      </c>
      <c r="AA5" s="2" t="str">
        <f>TEXT(WEEKDAY(DATE(KalendarskaGodina,10,25),1),"aaa")</f>
        <v>pet</v>
      </c>
      <c r="AB5" s="2" t="str">
        <f>TEXT(WEEKDAY(DATE(KalendarskaGodina,10,26),1),"aaa")</f>
        <v>sub</v>
      </c>
      <c r="AC5" s="2" t="str">
        <f>TEXT(WEEKDAY(DATE(KalendarskaGodina,10,27),1),"aaa")</f>
        <v>ned</v>
      </c>
      <c r="AD5" s="2" t="str">
        <f>TEXT(WEEKDAY(DATE(KalendarskaGodina,10,28),1),"aaa")</f>
        <v>pon</v>
      </c>
      <c r="AE5" s="2" t="str">
        <f>TEXT(WEEKDAY(DATE(KalendarskaGodina,10,29),1),"aaa")</f>
        <v>uto</v>
      </c>
      <c r="AF5" s="2" t="str">
        <f>TEXT(WEEKDAY(DATE(KalendarskaGodina,10,30),1),"aaa")</f>
        <v>sri</v>
      </c>
      <c r="AG5" s="2" t="str">
        <f>TEXT(WEEKDAY(DATE(KalendarskaGodina,10,31),1),"aaa")</f>
        <v>čet</v>
      </c>
      <c r="AH5" s="12"/>
    </row>
    <row r="6" spans="2:34" ht="15" customHeight="1" x14ac:dyDescent="0.25">
      <c r="B6" s="15" t="s">
        <v>3</v>
      </c>
      <c r="C6" s="3" t="s">
        <v>11</v>
      </c>
      <c r="D6" s="3" t="s">
        <v>13</v>
      </c>
      <c r="E6" s="3" t="s">
        <v>63</v>
      </c>
      <c r="F6" s="3" t="s">
        <v>15</v>
      </c>
      <c r="G6" s="3" t="s">
        <v>17</v>
      </c>
      <c r="H6" s="3" t="s">
        <v>19</v>
      </c>
      <c r="I6" s="3" t="s">
        <v>64</v>
      </c>
      <c r="J6" s="3" t="s">
        <v>65</v>
      </c>
      <c r="K6" s="3" t="s">
        <v>20</v>
      </c>
      <c r="L6" s="3" t="s">
        <v>22</v>
      </c>
      <c r="M6" s="3" t="s">
        <v>23</v>
      </c>
      <c r="N6" s="3" t="s">
        <v>24</v>
      </c>
      <c r="O6" s="3" t="s">
        <v>26</v>
      </c>
      <c r="P6" s="3" t="s">
        <v>27</v>
      </c>
      <c r="Q6" s="3" t="s">
        <v>28</v>
      </c>
      <c r="R6" s="3" t="s">
        <v>29</v>
      </c>
      <c r="S6" s="3" t="s">
        <v>31</v>
      </c>
      <c r="T6" s="3" t="s">
        <v>32</v>
      </c>
      <c r="U6" s="3" t="s">
        <v>33</v>
      </c>
      <c r="V6" s="3" t="s">
        <v>34</v>
      </c>
      <c r="W6" s="3" t="s">
        <v>35</v>
      </c>
      <c r="X6" s="3" t="s">
        <v>36</v>
      </c>
      <c r="Y6" s="3" t="s">
        <v>37</v>
      </c>
      <c r="Z6" s="3" t="s">
        <v>38</v>
      </c>
      <c r="AA6" s="3" t="s">
        <v>39</v>
      </c>
      <c r="AB6" s="3" t="s">
        <v>40</v>
      </c>
      <c r="AC6" s="3" t="s">
        <v>41</v>
      </c>
      <c r="AD6" s="3" t="s">
        <v>42</v>
      </c>
      <c r="AE6" s="3" t="s">
        <v>43</v>
      </c>
      <c r="AF6" s="3" t="s">
        <v>44</v>
      </c>
      <c r="AG6" s="3" t="s">
        <v>45</v>
      </c>
      <c r="AH6" s="16" t="s">
        <v>47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COUNTA(Listopad[[#This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COUNTA(Listopad[[#This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COUNTA(Listopad[[#This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COUNTA(Listopad[[#This Row],[1]:[31]])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COUNTA(Listopad[[#This Row],[1]:[31]])</f>
        <v>0</v>
      </c>
    </row>
    <row r="12" spans="2:34" ht="30" customHeight="1" x14ac:dyDescent="0.25">
      <c r="B12" s="21" t="str">
        <f>NazivMjeseca&amp;" Ukupno"</f>
        <v>Listopad Ukupno</v>
      </c>
      <c r="C12" s="13">
        <f>SUBTOTAL(103,Listopad[1])</f>
        <v>0</v>
      </c>
      <c r="D12" s="13">
        <f>SUBTOTAL(103,Listopad[2])</f>
        <v>0</v>
      </c>
      <c r="E12" s="13">
        <f>SUBTOTAL(103,Listopad[3])</f>
        <v>0</v>
      </c>
      <c r="F12" s="13">
        <f>SUBTOTAL(103,Listopad[4])</f>
        <v>0</v>
      </c>
      <c r="G12" s="13">
        <f>SUBTOTAL(103,Listopad[5])</f>
        <v>0</v>
      </c>
      <c r="H12" s="13">
        <f>SUBTOTAL(103,Listopad[6])</f>
        <v>0</v>
      </c>
      <c r="I12" s="13">
        <f>SUBTOTAL(103,Listopad[7])</f>
        <v>0</v>
      </c>
      <c r="J12" s="13">
        <f>SUBTOTAL(103,Listopad[8])</f>
        <v>0</v>
      </c>
      <c r="K12" s="13">
        <f>SUBTOTAL(103,Listopad[9])</f>
        <v>0</v>
      </c>
      <c r="L12" s="13">
        <f>SUBTOTAL(103,Listopad[10])</f>
        <v>0</v>
      </c>
      <c r="M12" s="13">
        <f>SUBTOTAL(103,Listopad[11])</f>
        <v>0</v>
      </c>
      <c r="N12" s="13">
        <f>SUBTOTAL(103,Listopad[12])</f>
        <v>0</v>
      </c>
      <c r="O12" s="13">
        <f>SUBTOTAL(103,Listopad[13])</f>
        <v>0</v>
      </c>
      <c r="P12" s="13">
        <f>SUBTOTAL(103,Listopad[14])</f>
        <v>0</v>
      </c>
      <c r="Q12" s="13">
        <f>SUBTOTAL(103,Listopad[15])</f>
        <v>0</v>
      </c>
      <c r="R12" s="13">
        <f>SUBTOTAL(103,Listopad[16])</f>
        <v>0</v>
      </c>
      <c r="S12" s="13">
        <f>SUBTOTAL(103,Listopad[17])</f>
        <v>0</v>
      </c>
      <c r="T12" s="13">
        <f>SUBTOTAL(103,Listopad[18])</f>
        <v>0</v>
      </c>
      <c r="U12" s="13">
        <f>SUBTOTAL(103,Listopad[19])</f>
        <v>0</v>
      </c>
      <c r="V12" s="13">
        <f>SUBTOTAL(103,Listopad[20])</f>
        <v>0</v>
      </c>
      <c r="W12" s="13">
        <f>SUBTOTAL(103,Listopad[21])</f>
        <v>0</v>
      </c>
      <c r="X12" s="13">
        <f>SUBTOTAL(103,Listopad[22])</f>
        <v>0</v>
      </c>
      <c r="Y12" s="13">
        <f>SUBTOTAL(103,Listopad[23])</f>
        <v>0</v>
      </c>
      <c r="Z12" s="13">
        <f>SUBTOTAL(103,Listopad[24])</f>
        <v>0</v>
      </c>
      <c r="AA12" s="13">
        <f>SUBTOTAL(103,Listopad[25])</f>
        <v>0</v>
      </c>
      <c r="AB12" s="13">
        <f>SUBTOTAL(103,Listopad[26])</f>
        <v>0</v>
      </c>
      <c r="AC12" s="13">
        <f>SUBTOTAL(103,Listopad[27])</f>
        <v>0</v>
      </c>
      <c r="AD12" s="13">
        <f>SUBTOTAL(103,Listopad[28])</f>
        <v>0</v>
      </c>
      <c r="AE12" s="13">
        <f>SUBTOTAL(103,Listopad[29])</f>
        <v>0</v>
      </c>
      <c r="AF12" s="13">
        <f>SUBTOTAL(103,Listopad[30])</f>
        <v>0</v>
      </c>
      <c r="AG12" s="13">
        <f>SUBTOTAL(103,Listopad[31])</f>
        <v>0</v>
      </c>
      <c r="AH12" s="13">
        <f>SUBTOTAL(109,Listopad[UkupnoDana])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410" priority="2" stopIfTrue="1">
      <formula>C7=OznakaPrilagođeno2</formula>
    </cfRule>
    <cfRule type="expression" dxfId="409" priority="3" stopIfTrue="1">
      <formula>C7=OznakaPrilagođeno1</formula>
    </cfRule>
    <cfRule type="expression" dxfId="408" priority="4" stopIfTrue="1">
      <formula>C7=OznakaBolovanje</formula>
    </cfRule>
    <cfRule type="expression" dxfId="407" priority="5" stopIfTrue="1">
      <formula>C7=OznakaOsobniRazlozi</formula>
    </cfRule>
    <cfRule type="expression" dxfId="406" priority="6" stopIfTrue="1">
      <formula>C7=OznakaGodišnjiOdmor</formula>
    </cfRule>
  </conditionalFormatting>
  <conditionalFormatting sqref="AH7:AH11">
    <cfRule type="dataBar" priority="7">
      <dataBar>
        <cfvo type="min"/>
        <cfvo type="formula" val="DATEDIF(DATE(KalendarskaGodina,2,1),DATE(KalendarskaGodina,3,1),&quot;d&quot;)"/>
        <color theme="2" tint="-0.249977111117893"/>
      </dataBar>
      <extLst>
        <ext xmlns:x14="http://schemas.microsoft.com/office/spreadsheetml/2009/9/main" uri="{B025F937-C7B1-47D3-B67F-A62EFF666E3E}">
          <x14:id>{F32A08EA-50E8-4B5F-AB1F-5A7739FBC16C}</x14:id>
        </ext>
      </extLst>
    </cfRule>
  </conditionalFormatting>
  <dataValidations count="14">
    <dataValidation allowBlank="1" showInputMessage="1" showErrorMessage="1" prompt="Dani u tjednu u ovom retku automatski se ažuriraju za mjesec u skladu s godinom u ćeliji AH4. Svaki je dan u mjesecu stupac za bilježenje zaposlenikova izostanka i vrste izostanka" sqref="C5" xr:uid="{00000000-0002-0000-0900-000000000000}"/>
    <dataValidation allowBlank="1" showInputMessage="1" showErrorMessage="1" prompt="Automatski ažurirana godina na temelju godine unesene na radnom listu Siječanj" sqref="AH4" xr:uid="{00000000-0002-0000-0900-000001000000}"/>
    <dataValidation allowBlank="1" showInputMessage="1" showErrorMessage="1" prompt="U ovom stupcu automatski izračunava ukupan broj dana tijekom kojih je zaposlenik izostao ovog mjeseca" sqref="AH6" xr:uid="{00000000-0002-0000-0900-000002000000}"/>
    <dataValidation allowBlank="1" showInputMessage="1" showErrorMessage="1" prompt="Na ovom radnom listu evidentirajte izostanke za listopad" sqref="A1" xr:uid="{00000000-0002-0000-0900-000003000000}"/>
    <dataValidation errorStyle="warning" allowBlank="1" showInputMessage="1" showErrorMessage="1" error="Odaberite ime s popisa. Odaberite ODUSTANI, a zatim pritisnite ALT + STRELICA DOLJE, a zatim ENTER za odabir imena" prompt="Unesite imena zaposlenika na radnom listu Imena zaposlenika, a zatim odaberite jedno od tih imena s popisa u ovom stupcu. Pritisnite ALT + STRELICA DOLJE, a zatim ENTER za odabir imena" sqref="B6" xr:uid="{00000000-0002-0000-0900-000004000000}"/>
    <dataValidation allowBlank="1" showInputMessage="1" showErrorMessage="1" prompt="U ovoj se ćeliji nalazi automatski ažurirani naslov. Da biste izmijenili naslov, ažurirajte ćeliju B1 na radnom listu Siječanj" sqref="B1" xr:uid="{00000000-0002-0000-0900-000005000000}"/>
    <dataValidation allowBlank="1" showInputMessage="1" showErrorMessage="1" prompt="Slovo &quot;G&quot; označava izostanak zbog godišnjeg odmora" sqref="C2" xr:uid="{00000000-0002-0000-0900-000006000000}"/>
    <dataValidation allowBlank="1" showInputMessage="1" showErrorMessage="1" prompt="Sovo &quot;O&quot; označava izostanak iz osobnih razloga" sqref="G2" xr:uid="{00000000-0002-0000-0900-000007000000}"/>
    <dataValidation allowBlank="1" showInputMessage="1" showErrorMessage="1" prompt="Slovo &quot;B&quot; označava izostanak zbog bolesti" sqref="K2" xr:uid="{00000000-0002-0000-0900-000008000000}"/>
    <dataValidation allowBlank="1" showInputMessage="1" showErrorMessage="1" prompt="Unesite slovo i prilagodite natpis zdesna da biste dodali još jednu stavku oznake" sqref="N2 R2" xr:uid="{00000000-0002-0000-0900-000009000000}"/>
    <dataValidation allowBlank="1" showInputMessage="1" showErrorMessage="1" prompt="Unesite natpis da biste opisali prilagođenu oznaku zdesna" sqref="O2:Q2 S2:U2" xr:uid="{00000000-0002-0000-0900-00000A000000}"/>
    <dataValidation allowBlank="1" showInputMessage="1" showErrorMessage="1" prompt="Ovaj redak definira oznake koje se koriste u tablici: ćelija C2 je Godišnji odmor, G2 Osobni razlozi, K2 Bolovanje. Ćelije N2 i R2 mogu se prilagoditi." sqref="B2" xr:uid="{00000000-0002-0000-0900-00000B000000}"/>
    <dataValidation allowBlank="1" showInputMessage="1" showErrorMessage="1" prompt="U ovoj se ćeliji nalazi naziv mjeseca za ovaj raspored izostanaka. Ukupni brojevi izostanaka za trenutni mjesec nalaze se u posljednjoj ćeliji tablice. Odaberite imena zaposlenika u stupcu B tablice" sqref="B4" xr:uid="{00000000-0002-0000-0900-00000C000000}"/>
    <dataValidation allowBlank="1" showInputMessage="1" showErrorMessage="1" prompt="U ovom se retku automatski generiraju dani u mjesecu. Unesite izostanak zaposlenika i vrstu izostanka u svaki stupac za svaki dan u mjesecu. Prazno znači da nema izostanaka" sqref="C6" xr:uid="{00000000-0002-0000-0900-00000D000000}"/>
  </dataValidations>
  <printOptions horizontalCentered="1"/>
  <pageMargins left="0.25" right="0.25" top="0.75" bottom="0.75" header="0.3" footer="0.3"/>
  <pageSetup paperSize="9" scale="64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2A08EA-50E8-4B5F-AB1F-5A7739FBC16C}">
            <x14:dataBar minLength="0" maxLength="100">
              <x14:cfvo type="autoMin"/>
              <x14:cfvo type="formula">
                <xm:f>DATEDIF(DATE(KalendarskaGodina,2,1),DATE(KalendarskaGodina,3,1),"d")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900-00000E000000}">
          <x14:formula1>
            <xm:f>'Imena zaposlenika'!$B$4:$B$8</xm:f>
          </x14:formula1>
          <xm:sqref>B7:B11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2" tint="-0.249977111117893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5.7109375" style="11" customWidth="1"/>
    <col min="34" max="34" width="17.140625" style="11" customWidth="1"/>
    <col min="35" max="35" width="2.7109375" customWidth="1"/>
  </cols>
  <sheetData>
    <row r="1" spans="2:34" ht="50.1" customHeight="1" x14ac:dyDescent="0.25">
      <c r="B1" s="14" t="str">
        <f>Naslov_Izostanak_zaposlenika</f>
        <v>Raspored izostanaka zaposlenika</v>
      </c>
    </row>
    <row r="2" spans="2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14</v>
      </c>
      <c r="H2" s="25" t="s">
        <v>18</v>
      </c>
      <c r="I2" s="25"/>
      <c r="J2" s="25"/>
      <c r="K2" s="6" t="s">
        <v>16</v>
      </c>
      <c r="L2" s="25" t="s">
        <v>21</v>
      </c>
      <c r="M2" s="25"/>
      <c r="N2" s="7"/>
      <c r="O2" s="25" t="s">
        <v>25</v>
      </c>
      <c r="P2" s="25"/>
      <c r="Q2" s="25"/>
      <c r="R2" s="8"/>
      <c r="S2" s="25" t="s">
        <v>30</v>
      </c>
      <c r="T2" s="25"/>
      <c r="U2" s="25"/>
    </row>
    <row r="3" spans="2:34" ht="15" customHeight="1" x14ac:dyDescent="0.25">
      <c r="B3" s="14"/>
    </row>
    <row r="4" spans="2:34" ht="30" customHeight="1" x14ac:dyDescent="0.25">
      <c r="B4" s="12" t="s">
        <v>59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KalendarskaGodina</f>
        <v>2019</v>
      </c>
    </row>
    <row r="5" spans="2:34" ht="15" customHeight="1" x14ac:dyDescent="0.25">
      <c r="B5" s="12"/>
      <c r="C5" s="2" t="str">
        <f>TEXT(WEEKDAY(DATE(KalendarskaGodina,11,1),1),"aaa")</f>
        <v>pet</v>
      </c>
      <c r="D5" s="2" t="str">
        <f>TEXT(WEEKDAY(DATE(KalendarskaGodina,11,2),1),"aaa")</f>
        <v>sub</v>
      </c>
      <c r="E5" s="2" t="str">
        <f>TEXT(WEEKDAY(DATE(KalendarskaGodina,11,3),1),"aaa")</f>
        <v>ned</v>
      </c>
      <c r="F5" s="2" t="str">
        <f>TEXT(WEEKDAY(DATE(KalendarskaGodina,11,4),1),"aaa")</f>
        <v>pon</v>
      </c>
      <c r="G5" s="2" t="str">
        <f>TEXT(WEEKDAY(DATE(KalendarskaGodina,11,5),1),"aaa")</f>
        <v>uto</v>
      </c>
      <c r="H5" s="2" t="str">
        <f>TEXT(WEEKDAY(DATE(KalendarskaGodina,11,6),1),"aaa")</f>
        <v>sri</v>
      </c>
      <c r="I5" s="2" t="str">
        <f>TEXT(WEEKDAY(DATE(KalendarskaGodina,11,7),1),"aaa")</f>
        <v>čet</v>
      </c>
      <c r="J5" s="2" t="str">
        <f>TEXT(WEEKDAY(DATE(KalendarskaGodina,11,8),1),"aaa")</f>
        <v>pet</v>
      </c>
      <c r="K5" s="2" t="str">
        <f>TEXT(WEEKDAY(DATE(KalendarskaGodina,11,9),1),"aaa")</f>
        <v>sub</v>
      </c>
      <c r="L5" s="2" t="str">
        <f>TEXT(WEEKDAY(DATE(KalendarskaGodina,11,10),1),"aaa")</f>
        <v>ned</v>
      </c>
      <c r="M5" s="2" t="str">
        <f>TEXT(WEEKDAY(DATE(KalendarskaGodina,11,11),1),"aaa")</f>
        <v>pon</v>
      </c>
      <c r="N5" s="2" t="str">
        <f>TEXT(WEEKDAY(DATE(KalendarskaGodina,11,12),1),"aaa")</f>
        <v>uto</v>
      </c>
      <c r="O5" s="2" t="str">
        <f>TEXT(WEEKDAY(DATE(KalendarskaGodina,11,13),1),"aaa")</f>
        <v>sri</v>
      </c>
      <c r="P5" s="2" t="str">
        <f>TEXT(WEEKDAY(DATE(KalendarskaGodina,11,14),1),"aaa")</f>
        <v>čet</v>
      </c>
      <c r="Q5" s="2" t="str">
        <f>TEXT(WEEKDAY(DATE(KalendarskaGodina,11,15),1),"aaa")</f>
        <v>pet</v>
      </c>
      <c r="R5" s="2" t="str">
        <f>TEXT(WEEKDAY(DATE(KalendarskaGodina,11,16),1),"aaa")</f>
        <v>sub</v>
      </c>
      <c r="S5" s="2" t="str">
        <f>TEXT(WEEKDAY(DATE(KalendarskaGodina,11,17),1),"aaa")</f>
        <v>ned</v>
      </c>
      <c r="T5" s="2" t="str">
        <f>TEXT(WEEKDAY(DATE(KalendarskaGodina,11,18),1),"aaa")</f>
        <v>pon</v>
      </c>
      <c r="U5" s="2" t="str">
        <f>TEXT(WEEKDAY(DATE(KalendarskaGodina,11,19),1),"aaa")</f>
        <v>uto</v>
      </c>
      <c r="V5" s="2" t="str">
        <f>TEXT(WEEKDAY(DATE(KalendarskaGodina,11,20),1),"aaa")</f>
        <v>sri</v>
      </c>
      <c r="W5" s="2" t="str">
        <f>TEXT(WEEKDAY(DATE(KalendarskaGodina,11,21),1),"aaa")</f>
        <v>čet</v>
      </c>
      <c r="X5" s="2" t="str">
        <f>TEXT(WEEKDAY(DATE(KalendarskaGodina,11,22),1),"aaa")</f>
        <v>pet</v>
      </c>
      <c r="Y5" s="2" t="str">
        <f>TEXT(WEEKDAY(DATE(KalendarskaGodina,11,23),1),"aaa")</f>
        <v>sub</v>
      </c>
      <c r="Z5" s="2" t="str">
        <f>TEXT(WEEKDAY(DATE(KalendarskaGodina,11,24),1),"aaa")</f>
        <v>ned</v>
      </c>
      <c r="AA5" s="2" t="str">
        <f>TEXT(WEEKDAY(DATE(KalendarskaGodina,11,25),1),"aaa")</f>
        <v>pon</v>
      </c>
      <c r="AB5" s="2" t="str">
        <f>TEXT(WEEKDAY(DATE(KalendarskaGodina,11,26),1),"aaa")</f>
        <v>uto</v>
      </c>
      <c r="AC5" s="2" t="str">
        <f>TEXT(WEEKDAY(DATE(KalendarskaGodina,11,27),1),"aaa")</f>
        <v>sri</v>
      </c>
      <c r="AD5" s="2" t="str">
        <f>TEXT(WEEKDAY(DATE(KalendarskaGodina,11,28),1),"aaa")</f>
        <v>čet</v>
      </c>
      <c r="AE5" s="2" t="str">
        <f>TEXT(WEEKDAY(DATE(KalendarskaGodina,11,29),1),"aaa")</f>
        <v>pet</v>
      </c>
      <c r="AF5" s="2" t="str">
        <f>TEXT(WEEKDAY(DATE(KalendarskaGodina,11,30),1),"aaa")</f>
        <v>sub</v>
      </c>
      <c r="AG5" s="2"/>
      <c r="AH5" s="12"/>
    </row>
    <row r="6" spans="2:34" ht="15" customHeight="1" x14ac:dyDescent="0.25">
      <c r="B6" s="15" t="s">
        <v>3</v>
      </c>
      <c r="C6" s="3" t="s">
        <v>11</v>
      </c>
      <c r="D6" s="3" t="s">
        <v>13</v>
      </c>
      <c r="E6" s="3" t="s">
        <v>63</v>
      </c>
      <c r="F6" s="3" t="s">
        <v>15</v>
      </c>
      <c r="G6" s="3" t="s">
        <v>17</v>
      </c>
      <c r="H6" s="3" t="s">
        <v>19</v>
      </c>
      <c r="I6" s="3" t="s">
        <v>64</v>
      </c>
      <c r="J6" s="3" t="s">
        <v>65</v>
      </c>
      <c r="K6" s="3" t="s">
        <v>20</v>
      </c>
      <c r="L6" s="3" t="s">
        <v>22</v>
      </c>
      <c r="M6" s="3" t="s">
        <v>23</v>
      </c>
      <c r="N6" s="3" t="s">
        <v>24</v>
      </c>
      <c r="O6" s="3" t="s">
        <v>26</v>
      </c>
      <c r="P6" s="3" t="s">
        <v>27</v>
      </c>
      <c r="Q6" s="3" t="s">
        <v>28</v>
      </c>
      <c r="R6" s="3" t="s">
        <v>29</v>
      </c>
      <c r="S6" s="3" t="s">
        <v>31</v>
      </c>
      <c r="T6" s="3" t="s">
        <v>32</v>
      </c>
      <c r="U6" s="3" t="s">
        <v>33</v>
      </c>
      <c r="V6" s="3" t="s">
        <v>34</v>
      </c>
      <c r="W6" s="3" t="s">
        <v>35</v>
      </c>
      <c r="X6" s="3" t="s">
        <v>36</v>
      </c>
      <c r="Y6" s="3" t="s">
        <v>37</v>
      </c>
      <c r="Z6" s="3" t="s">
        <v>38</v>
      </c>
      <c r="AA6" s="3" t="s">
        <v>39</v>
      </c>
      <c r="AB6" s="3" t="s">
        <v>40</v>
      </c>
      <c r="AC6" s="3" t="s">
        <v>41</v>
      </c>
      <c r="AD6" s="3" t="s">
        <v>42</v>
      </c>
      <c r="AE6" s="3" t="s">
        <v>43</v>
      </c>
      <c r="AF6" s="3" t="s">
        <v>44</v>
      </c>
      <c r="AG6" s="3" t="s">
        <v>49</v>
      </c>
      <c r="AH6" s="16" t="s">
        <v>53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COUNTA(Studeni[[#This Row],[1]:[30]])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COUNTA(Studeni[[#This Row],[1]:[30]])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COUNTA(Studeni[[#This Row],[1]:[30]])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COUNTA(Studeni[[#This Row],[1]:[30]])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COUNTA(Studeni[[#This Row],[1]:[30]])</f>
        <v>0</v>
      </c>
    </row>
    <row r="12" spans="2:34" ht="30" customHeight="1" x14ac:dyDescent="0.25">
      <c r="B12" s="21" t="str">
        <f>NazivMjeseca&amp;" Ukupno"</f>
        <v>Studeni Ukupno</v>
      </c>
      <c r="C12" s="13">
        <f>SUBTOTAL(103,Studeni[1])</f>
        <v>0</v>
      </c>
      <c r="D12" s="13">
        <f>SUBTOTAL(103,Studeni[2])</f>
        <v>0</v>
      </c>
      <c r="E12" s="13">
        <f>SUBTOTAL(103,Studeni[3])</f>
        <v>0</v>
      </c>
      <c r="F12" s="13">
        <f>SUBTOTAL(103,Studeni[4])</f>
        <v>0</v>
      </c>
      <c r="G12" s="13">
        <f>SUBTOTAL(103,Studeni[5])</f>
        <v>0</v>
      </c>
      <c r="H12" s="13">
        <f>SUBTOTAL(103,Studeni[6])</f>
        <v>0</v>
      </c>
      <c r="I12" s="13">
        <f>SUBTOTAL(103,Studeni[7])</f>
        <v>0</v>
      </c>
      <c r="J12" s="13">
        <f>SUBTOTAL(103,Studeni[8])</f>
        <v>0</v>
      </c>
      <c r="K12" s="13">
        <f>SUBTOTAL(103,Studeni[9])</f>
        <v>0</v>
      </c>
      <c r="L12" s="13">
        <f>SUBTOTAL(103,Studeni[10])</f>
        <v>0</v>
      </c>
      <c r="M12" s="13">
        <f>SUBTOTAL(103,Studeni[11])</f>
        <v>0</v>
      </c>
      <c r="N12" s="13">
        <f>SUBTOTAL(103,Studeni[12])</f>
        <v>0</v>
      </c>
      <c r="O12" s="13">
        <f>SUBTOTAL(103,Studeni[13])</f>
        <v>0</v>
      </c>
      <c r="P12" s="13">
        <f>SUBTOTAL(103,Studeni[14])</f>
        <v>0</v>
      </c>
      <c r="Q12" s="13">
        <f>SUBTOTAL(103,Studeni[15])</f>
        <v>0</v>
      </c>
      <c r="R12" s="13">
        <f>SUBTOTAL(103,Studeni[16])</f>
        <v>0</v>
      </c>
      <c r="S12" s="13">
        <f>SUBTOTAL(103,Studeni[17])</f>
        <v>0</v>
      </c>
      <c r="T12" s="13">
        <f>SUBTOTAL(103,Studeni[18])</f>
        <v>0</v>
      </c>
      <c r="U12" s="13">
        <f>SUBTOTAL(103,Studeni[19])</f>
        <v>0</v>
      </c>
      <c r="V12" s="13">
        <f>SUBTOTAL(103,Studeni[20])</f>
        <v>0</v>
      </c>
      <c r="W12" s="13">
        <f>SUBTOTAL(103,Studeni[21])</f>
        <v>0</v>
      </c>
      <c r="X12" s="13">
        <f>SUBTOTAL(103,Studeni[22])</f>
        <v>0</v>
      </c>
      <c r="Y12" s="13">
        <f>SUBTOTAL(103,Studeni[23])</f>
        <v>0</v>
      </c>
      <c r="Z12" s="13">
        <f>SUBTOTAL(103,Studeni[24])</f>
        <v>0</v>
      </c>
      <c r="AA12" s="13">
        <f>SUBTOTAL(103,Studeni[25])</f>
        <v>0</v>
      </c>
      <c r="AB12" s="13">
        <f>SUBTOTAL(103,Studeni[26])</f>
        <v>0</v>
      </c>
      <c r="AC12" s="13">
        <f>SUBTOTAL(103,Studeni[27])</f>
        <v>0</v>
      </c>
      <c r="AD12" s="13">
        <f>SUBTOTAL(103,Studeni[28])</f>
        <v>0</v>
      </c>
      <c r="AE12" s="13">
        <f>SUBTOTAL(103,Studeni[29])</f>
        <v>0</v>
      </c>
      <c r="AF12" s="13">
        <f>SUBTOTAL(103,Studeni[30])</f>
        <v>0</v>
      </c>
      <c r="AG12" s="13">
        <f>SUBTOTAL(103,Studeni[[ ]])</f>
        <v>0</v>
      </c>
      <c r="AH12" s="13">
        <f>SUBTOTAL(109,Studeni[Ukupno dana])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405" priority="2" stopIfTrue="1">
      <formula>C7=OznakaPrilagođeno2</formula>
    </cfRule>
    <cfRule type="expression" dxfId="404" priority="3" stopIfTrue="1">
      <formula>C7=OznakaPrilagođeno1</formula>
    </cfRule>
    <cfRule type="expression" dxfId="403" priority="4" stopIfTrue="1">
      <formula>C7=OznakaBolovanje</formula>
    </cfRule>
    <cfRule type="expression" dxfId="402" priority="5" stopIfTrue="1">
      <formula>C7=OznakaOsobniRazlozi</formula>
    </cfRule>
    <cfRule type="expression" dxfId="401" priority="6" stopIfTrue="1">
      <formula>C7=OznakaGodišnjiOdmor</formula>
    </cfRule>
  </conditionalFormatting>
  <conditionalFormatting sqref="AH7:AH11">
    <cfRule type="dataBar" priority="7">
      <dataBar>
        <cfvo type="min"/>
        <cfvo type="formula" val="DATEDIF(DATE(KalendarskaGodina,2,1),DATE(KalendarskaGodina,3,1),&quot;d&quot;)"/>
        <color theme="2" tint="-0.249977111117893"/>
      </dataBar>
      <extLst>
        <ext xmlns:x14="http://schemas.microsoft.com/office/spreadsheetml/2009/9/main" uri="{B025F937-C7B1-47D3-B67F-A62EFF666E3E}">
          <x14:id>{27D92E49-5CF1-46DF-AD7A-3A5E92F274F3}</x14:id>
        </ext>
      </extLst>
    </cfRule>
  </conditionalFormatting>
  <dataValidations count="14">
    <dataValidation allowBlank="1" showInputMessage="1" showErrorMessage="1" prompt="U ovom se retku automatski generiraju dani u mjesecu. Unesite izostanak zaposlenika i vrstu izostanka u svaki stupac za svaki dan u mjesecu. Prazno znači da nema izostanaka" sqref="C6" xr:uid="{00000000-0002-0000-0A00-000000000000}"/>
    <dataValidation allowBlank="1" showInputMessage="1" showErrorMessage="1" prompt="U ovoj se ćeliji nalazi naziv mjeseca za ovaj raspored izostanaka. Ukupni brojevi izostanaka za trenutni mjesec nalaze se u posljednjoj ćeliji tablice. Odaberite imena zaposlenika u stupcu B tablice" sqref="B4" xr:uid="{00000000-0002-0000-0A00-000001000000}"/>
    <dataValidation allowBlank="1" showInputMessage="1" showErrorMessage="1" prompt="Ovaj redak definira oznake koje se koriste u tablici: ćelija C2 je Godišnji odmor, G2 Osobni razlozi, K2 Bolovanje. Ćelije N2 i R2 mogu se prilagoditi." sqref="B2" xr:uid="{00000000-0002-0000-0A00-000002000000}"/>
    <dataValidation allowBlank="1" showInputMessage="1" showErrorMessage="1" prompt="Unesite natpis da biste opisali prilagođenu oznaku zdesna" sqref="O2:Q2 S2:U2" xr:uid="{00000000-0002-0000-0A00-000003000000}"/>
    <dataValidation allowBlank="1" showInputMessage="1" showErrorMessage="1" prompt="Unesite slovo i prilagodite natpis zdesna da biste dodali još jednu stavku oznake" sqref="N2 R2" xr:uid="{00000000-0002-0000-0A00-000004000000}"/>
    <dataValidation allowBlank="1" showInputMessage="1" showErrorMessage="1" prompt="Slovo &quot;B&quot; označava izostanak zbog bolesti" sqref="K2" xr:uid="{00000000-0002-0000-0A00-000005000000}"/>
    <dataValidation allowBlank="1" showInputMessage="1" showErrorMessage="1" prompt="Sovo &quot;O&quot; označava izostanak iz osobnih razloga" sqref="G2" xr:uid="{00000000-0002-0000-0A00-000006000000}"/>
    <dataValidation allowBlank="1" showInputMessage="1" showErrorMessage="1" prompt="Slovo &quot;G&quot; označava izostanak zbog godišnjeg odmora" sqref="C2" xr:uid="{00000000-0002-0000-0A00-000007000000}"/>
    <dataValidation allowBlank="1" showInputMessage="1" showErrorMessage="1" prompt="U ovoj se ćeliji nalazi automatski ažurirani naslov. Da biste izmijenili naslov, ažurirajte ćeliju B1 na radnom listu Siječanj" sqref="B1" xr:uid="{00000000-0002-0000-0A00-000008000000}"/>
    <dataValidation errorStyle="warning" allowBlank="1" showInputMessage="1" showErrorMessage="1" error="Odaberite ime s popisa. Odaberite ODUSTANI, a zatim pritisnite ALT + STRELICA DOLJE, a zatim ENTER za odabir imena" prompt="Unesite imena zaposlenika na radnom listu Imena zaposlenika, a zatim odaberite jedno od tih imena s popisa u ovom stupcu. Pritisnite ALT + STRELICA DOLJE, a zatim ENTER za odabir imena" sqref="B6" xr:uid="{00000000-0002-0000-0A00-000009000000}"/>
    <dataValidation allowBlank="1" showInputMessage="1" showErrorMessage="1" prompt="Na ovom radnom listu evidentirajte izostanke za studeni" sqref="A1" xr:uid="{00000000-0002-0000-0A00-00000A000000}"/>
    <dataValidation allowBlank="1" showInputMessage="1" showErrorMessage="1" prompt="U ovom stupcu automatski izračunava ukupan broj dana tijekom kojih je zaposlenik izostao ovog mjeseca" sqref="AH6" xr:uid="{00000000-0002-0000-0A00-00000B000000}"/>
    <dataValidation allowBlank="1" showInputMessage="1" showErrorMessage="1" prompt="Automatski ažurirana godina na temelju godine unesene na radnom listu Siječanj" sqref="AH4" xr:uid="{00000000-0002-0000-0A00-00000C000000}"/>
    <dataValidation allowBlank="1" showInputMessage="1" showErrorMessage="1" prompt="Dani u tjednu u ovom retku automatski se ažuriraju za mjesec u skladu s godinom u ćeliji AH4. Svaki je dan u mjesecu stupac za bilježenje zaposlenikova izostanka i vrste izostanka" sqref="C5" xr:uid="{00000000-0002-0000-0A00-00000D000000}"/>
  </dataValidations>
  <printOptions horizontalCentered="1"/>
  <pageMargins left="0.25" right="0.25" top="0.75" bottom="0.75" header="0.3" footer="0.3"/>
  <pageSetup paperSize="9" scale="64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7D92E49-5CF1-46DF-AD7A-3A5E92F274F3}">
            <x14:dataBar minLength="0" maxLength="100">
              <x14:cfvo type="autoMin"/>
              <x14:cfvo type="formula">
                <xm:f>DATEDIF(DATE(KalendarskaGodina,2,1),DATE(KalendarskaGodina,3,1),"d")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A00-00000E000000}">
          <x14:formula1>
            <xm:f>'Imena zaposlenika'!$B$4:$B$8</xm:f>
          </x14:formula1>
          <xm:sqref>B7:B11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 tint="0.7999816888943144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5.7109375" style="11" customWidth="1"/>
    <col min="34" max="34" width="17.140625" style="11" customWidth="1"/>
    <col min="35" max="35" width="2.7109375" customWidth="1"/>
  </cols>
  <sheetData>
    <row r="1" spans="2:34" ht="50.1" customHeight="1" x14ac:dyDescent="0.25">
      <c r="B1" s="14" t="str">
        <f>Naslov_Izostanak_zaposlenika</f>
        <v>Raspored izostanaka zaposlenika</v>
      </c>
    </row>
    <row r="2" spans="2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14</v>
      </c>
      <c r="H2" s="25" t="s">
        <v>18</v>
      </c>
      <c r="I2" s="25"/>
      <c r="J2" s="25"/>
      <c r="K2" s="6" t="s">
        <v>16</v>
      </c>
      <c r="L2" s="25" t="s">
        <v>21</v>
      </c>
      <c r="M2" s="25"/>
      <c r="N2" s="7"/>
      <c r="O2" s="25" t="s">
        <v>25</v>
      </c>
      <c r="P2" s="25"/>
      <c r="Q2" s="25"/>
      <c r="R2" s="8"/>
      <c r="S2" s="25" t="s">
        <v>30</v>
      </c>
      <c r="T2" s="25"/>
      <c r="U2" s="25"/>
    </row>
    <row r="3" spans="2:34" ht="15" customHeight="1" x14ac:dyDescent="0.25">
      <c r="B3" s="14"/>
    </row>
    <row r="4" spans="2:34" ht="30" customHeight="1" x14ac:dyDescent="0.25">
      <c r="B4" s="12" t="s">
        <v>60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KalendarskaGodina</f>
        <v>2019</v>
      </c>
    </row>
    <row r="5" spans="2:34" ht="15" customHeight="1" x14ac:dyDescent="0.25">
      <c r="B5" s="12"/>
      <c r="C5" s="2" t="str">
        <f>TEXT(WEEKDAY(DATE(KalendarskaGodina,12,1),1),"aaa")</f>
        <v>ned</v>
      </c>
      <c r="D5" s="2" t="str">
        <f>TEXT(WEEKDAY(DATE(KalendarskaGodina,12,2),1),"aaa")</f>
        <v>pon</v>
      </c>
      <c r="E5" s="2" t="str">
        <f>TEXT(WEEKDAY(DATE(KalendarskaGodina,12,3),1),"aaa")</f>
        <v>uto</v>
      </c>
      <c r="F5" s="2" t="str">
        <f>TEXT(WEEKDAY(DATE(KalendarskaGodina,12,4),1),"aaa")</f>
        <v>sri</v>
      </c>
      <c r="G5" s="2" t="str">
        <f>TEXT(WEEKDAY(DATE(KalendarskaGodina,12,5),1),"aaa")</f>
        <v>čet</v>
      </c>
      <c r="H5" s="2" t="str">
        <f>TEXT(WEEKDAY(DATE(KalendarskaGodina,12,6),1),"aaa")</f>
        <v>pet</v>
      </c>
      <c r="I5" s="2" t="str">
        <f>TEXT(WEEKDAY(DATE(KalendarskaGodina,12,7),1),"aaa")</f>
        <v>sub</v>
      </c>
      <c r="J5" s="2" t="str">
        <f>TEXT(WEEKDAY(DATE(KalendarskaGodina,12,8),1),"aaa")</f>
        <v>ned</v>
      </c>
      <c r="K5" s="2" t="str">
        <f>TEXT(WEEKDAY(DATE(KalendarskaGodina,12,9),1),"aaa")</f>
        <v>pon</v>
      </c>
      <c r="L5" s="2" t="str">
        <f>TEXT(WEEKDAY(DATE(KalendarskaGodina,12,10),1),"aaa")</f>
        <v>uto</v>
      </c>
      <c r="M5" s="2" t="str">
        <f>TEXT(WEEKDAY(DATE(KalendarskaGodina,12,11),1),"aaa")</f>
        <v>sri</v>
      </c>
      <c r="N5" s="2" t="str">
        <f>TEXT(WEEKDAY(DATE(KalendarskaGodina,12,12),1),"aaa")</f>
        <v>čet</v>
      </c>
      <c r="O5" s="2" t="str">
        <f>TEXT(WEEKDAY(DATE(KalendarskaGodina,12,13),1),"aaa")</f>
        <v>pet</v>
      </c>
      <c r="P5" s="2" t="str">
        <f>TEXT(WEEKDAY(DATE(KalendarskaGodina,12,14),1),"aaa")</f>
        <v>sub</v>
      </c>
      <c r="Q5" s="2" t="str">
        <f>TEXT(WEEKDAY(DATE(KalendarskaGodina,12,15),1),"aaa")</f>
        <v>ned</v>
      </c>
      <c r="R5" s="2" t="str">
        <f>TEXT(WEEKDAY(DATE(KalendarskaGodina,12,16),1),"aaa")</f>
        <v>pon</v>
      </c>
      <c r="S5" s="2" t="str">
        <f>TEXT(WEEKDAY(DATE(KalendarskaGodina,12,17),1),"aaa")</f>
        <v>uto</v>
      </c>
      <c r="T5" s="2" t="str">
        <f>TEXT(WEEKDAY(DATE(KalendarskaGodina,12,18),1),"aaa")</f>
        <v>sri</v>
      </c>
      <c r="U5" s="2" t="str">
        <f>TEXT(WEEKDAY(DATE(KalendarskaGodina,12,19),1),"aaa")</f>
        <v>čet</v>
      </c>
      <c r="V5" s="2" t="str">
        <f>TEXT(WEEKDAY(DATE(KalendarskaGodina,12,20),1),"aaa")</f>
        <v>pet</v>
      </c>
      <c r="W5" s="2" t="str">
        <f>TEXT(WEEKDAY(DATE(KalendarskaGodina,12,21),1),"aaa")</f>
        <v>sub</v>
      </c>
      <c r="X5" s="2" t="str">
        <f>TEXT(WEEKDAY(DATE(KalendarskaGodina,12,22),1),"aaa")</f>
        <v>ned</v>
      </c>
      <c r="Y5" s="2" t="str">
        <f>TEXT(WEEKDAY(DATE(KalendarskaGodina,12,23),1),"aaa")</f>
        <v>pon</v>
      </c>
      <c r="Z5" s="2" t="str">
        <f>TEXT(WEEKDAY(DATE(KalendarskaGodina,12,24),1),"aaa")</f>
        <v>uto</v>
      </c>
      <c r="AA5" s="2" t="str">
        <f>TEXT(WEEKDAY(DATE(KalendarskaGodina,12,25),1),"aaa")</f>
        <v>sri</v>
      </c>
      <c r="AB5" s="2" t="str">
        <f>TEXT(WEEKDAY(DATE(KalendarskaGodina,12,26),1),"aaa")</f>
        <v>čet</v>
      </c>
      <c r="AC5" s="2" t="str">
        <f>TEXT(WEEKDAY(DATE(KalendarskaGodina,12,27),1),"aaa")</f>
        <v>pet</v>
      </c>
      <c r="AD5" s="2" t="str">
        <f>TEXT(WEEKDAY(DATE(KalendarskaGodina,12,28),1),"aaa")</f>
        <v>sub</v>
      </c>
      <c r="AE5" s="2" t="str">
        <f>TEXT(WEEKDAY(DATE(KalendarskaGodina,12,29),1),"aaa")</f>
        <v>ned</v>
      </c>
      <c r="AF5" s="2" t="str">
        <f>TEXT(WEEKDAY(DATE(KalendarskaGodina,12,30),1),"aaa")</f>
        <v>pon</v>
      </c>
      <c r="AG5" s="2" t="str">
        <f>TEXT(WEEKDAY(DATE(KalendarskaGodina,12,31),1),"aaa")</f>
        <v>uto</v>
      </c>
      <c r="AH5" s="12"/>
    </row>
    <row r="6" spans="2:34" ht="15" customHeight="1" x14ac:dyDescent="0.25">
      <c r="B6" s="15" t="s">
        <v>3</v>
      </c>
      <c r="C6" s="3" t="s">
        <v>11</v>
      </c>
      <c r="D6" s="3" t="s">
        <v>13</v>
      </c>
      <c r="E6" s="3" t="s">
        <v>63</v>
      </c>
      <c r="F6" s="3" t="s">
        <v>15</v>
      </c>
      <c r="G6" s="3" t="s">
        <v>17</v>
      </c>
      <c r="H6" s="3" t="s">
        <v>19</v>
      </c>
      <c r="I6" s="3" t="s">
        <v>64</v>
      </c>
      <c r="J6" s="3" t="s">
        <v>65</v>
      </c>
      <c r="K6" s="3" t="s">
        <v>20</v>
      </c>
      <c r="L6" s="3" t="s">
        <v>22</v>
      </c>
      <c r="M6" s="3" t="s">
        <v>23</v>
      </c>
      <c r="N6" s="3" t="s">
        <v>24</v>
      </c>
      <c r="O6" s="3" t="s">
        <v>26</v>
      </c>
      <c r="P6" s="3" t="s">
        <v>27</v>
      </c>
      <c r="Q6" s="3" t="s">
        <v>28</v>
      </c>
      <c r="R6" s="3" t="s">
        <v>29</v>
      </c>
      <c r="S6" s="3" t="s">
        <v>31</v>
      </c>
      <c r="T6" s="3" t="s">
        <v>32</v>
      </c>
      <c r="U6" s="3" t="s">
        <v>33</v>
      </c>
      <c r="V6" s="3" t="s">
        <v>34</v>
      </c>
      <c r="W6" s="3" t="s">
        <v>35</v>
      </c>
      <c r="X6" s="3" t="s">
        <v>36</v>
      </c>
      <c r="Y6" s="3" t="s">
        <v>37</v>
      </c>
      <c r="Z6" s="3" t="s">
        <v>38</v>
      </c>
      <c r="AA6" s="3" t="s">
        <v>39</v>
      </c>
      <c r="AB6" s="3" t="s">
        <v>40</v>
      </c>
      <c r="AC6" s="3" t="s">
        <v>41</v>
      </c>
      <c r="AD6" s="3" t="s">
        <v>42</v>
      </c>
      <c r="AE6" s="3" t="s">
        <v>43</v>
      </c>
      <c r="AF6" s="3" t="s">
        <v>44</v>
      </c>
      <c r="AG6" s="3" t="s">
        <v>45</v>
      </c>
      <c r="AH6" s="16" t="s">
        <v>47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COUNTA(Prosinac[[#This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COUNTA(Prosinac[[#This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COUNTA(Prosinac[[#This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COUNTA(Prosinac[[#This Row],[1]:[31]])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COUNTA(Prosinac[[#This Row],[1]:[31]])</f>
        <v>0</v>
      </c>
    </row>
    <row r="12" spans="2:34" ht="30" customHeight="1" x14ac:dyDescent="0.25">
      <c r="B12" s="21" t="str">
        <f>NazivMjeseca&amp;" Ukupno"</f>
        <v>Prosinac Ukupno</v>
      </c>
      <c r="C12" s="13">
        <f>SUBTOTAL(103,Prosinac[1])</f>
        <v>0</v>
      </c>
      <c r="D12" s="13">
        <f>SUBTOTAL(103,Prosinac[2])</f>
        <v>0</v>
      </c>
      <c r="E12" s="13">
        <f>SUBTOTAL(103,Prosinac[3])</f>
        <v>0</v>
      </c>
      <c r="F12" s="13">
        <f>SUBTOTAL(103,Prosinac[4])</f>
        <v>0</v>
      </c>
      <c r="G12" s="13">
        <f>SUBTOTAL(103,Prosinac[5])</f>
        <v>0</v>
      </c>
      <c r="H12" s="13">
        <f>SUBTOTAL(103,Prosinac[6])</f>
        <v>0</v>
      </c>
      <c r="I12" s="13">
        <f>SUBTOTAL(103,Prosinac[7])</f>
        <v>0</v>
      </c>
      <c r="J12" s="13">
        <f>SUBTOTAL(103,Prosinac[8])</f>
        <v>0</v>
      </c>
      <c r="K12" s="13">
        <f>SUBTOTAL(103,Prosinac[9])</f>
        <v>0</v>
      </c>
      <c r="L12" s="13">
        <f>SUBTOTAL(103,Prosinac[10])</f>
        <v>0</v>
      </c>
      <c r="M12" s="13">
        <f>SUBTOTAL(103,Prosinac[11])</f>
        <v>0</v>
      </c>
      <c r="N12" s="13">
        <f>SUBTOTAL(103,Prosinac[12])</f>
        <v>0</v>
      </c>
      <c r="O12" s="13">
        <f>SUBTOTAL(103,Prosinac[13])</f>
        <v>0</v>
      </c>
      <c r="P12" s="13">
        <f>SUBTOTAL(103,Prosinac[14])</f>
        <v>0</v>
      </c>
      <c r="Q12" s="13">
        <f>SUBTOTAL(103,Prosinac[15])</f>
        <v>0</v>
      </c>
      <c r="R12" s="13">
        <f>SUBTOTAL(103,Prosinac[16])</f>
        <v>0</v>
      </c>
      <c r="S12" s="13">
        <f>SUBTOTAL(103,Prosinac[17])</f>
        <v>0</v>
      </c>
      <c r="T12" s="13">
        <f>SUBTOTAL(103,Prosinac[18])</f>
        <v>0</v>
      </c>
      <c r="U12" s="13">
        <f>SUBTOTAL(103,Prosinac[19])</f>
        <v>0</v>
      </c>
      <c r="V12" s="13">
        <f>SUBTOTAL(103,Prosinac[20])</f>
        <v>0</v>
      </c>
      <c r="W12" s="13">
        <f>SUBTOTAL(103,Prosinac[21])</f>
        <v>0</v>
      </c>
      <c r="X12" s="13">
        <f>SUBTOTAL(103,Prosinac[22])</f>
        <v>0</v>
      </c>
      <c r="Y12" s="13">
        <f>SUBTOTAL(103,Prosinac[23])</f>
        <v>0</v>
      </c>
      <c r="Z12" s="13">
        <f>SUBTOTAL(103,Prosinac[24])</f>
        <v>0</v>
      </c>
      <c r="AA12" s="13">
        <f>SUBTOTAL(103,Prosinac[25])</f>
        <v>0</v>
      </c>
      <c r="AB12" s="13">
        <f>SUBTOTAL(103,Prosinac[26])</f>
        <v>0</v>
      </c>
      <c r="AC12" s="13">
        <f>SUBTOTAL(103,Prosinac[27])</f>
        <v>0</v>
      </c>
      <c r="AD12" s="13">
        <f>SUBTOTAL(103,Prosinac[28])</f>
        <v>0</v>
      </c>
      <c r="AE12" s="13">
        <f>SUBTOTAL(103,Prosinac[29])</f>
        <v>0</v>
      </c>
      <c r="AF12" s="13">
        <f>SUBTOTAL(103,Prosinac[30])</f>
        <v>0</v>
      </c>
      <c r="AG12" s="13">
        <f>SUBTOTAL(103,Prosinac[31])</f>
        <v>0</v>
      </c>
      <c r="AH12" s="13">
        <f>SUBTOTAL(109,Prosinac[UkupnoDana])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400" priority="2" stopIfTrue="1">
      <formula>C7=OznakaPrilagođeno2</formula>
    </cfRule>
    <cfRule type="expression" dxfId="399" priority="3" stopIfTrue="1">
      <formula>C7=OznakaPrilagođeno1</formula>
    </cfRule>
    <cfRule type="expression" dxfId="398" priority="4" stopIfTrue="1">
      <formula>C7=OznakaBolovanje</formula>
    </cfRule>
    <cfRule type="expression" dxfId="397" priority="5" stopIfTrue="1">
      <formula>C7=OznakaOsobniRazlozi</formula>
    </cfRule>
    <cfRule type="expression" dxfId="396" priority="6" stopIfTrue="1">
      <formula>C7=OznakaGodišnjiOdmor</formula>
    </cfRule>
  </conditionalFormatting>
  <conditionalFormatting sqref="AH7:AH11">
    <cfRule type="dataBar" priority="30">
      <dataBar>
        <cfvo type="min"/>
        <cfvo type="formula" val="DATEDIF(DATE(KalendarskaGodina,2,1),DATE(KalendarskaGodina,3,1),&quot;d&quot;)"/>
        <color theme="2" tint="-0.249977111117893"/>
      </dataBar>
      <extLst>
        <ext xmlns:x14="http://schemas.microsoft.com/office/spreadsheetml/2009/9/main" uri="{B025F937-C7B1-47D3-B67F-A62EFF666E3E}">
          <x14:id>{17586780-365B-4F4C-BBB4-F5991705D361}</x14:id>
        </ext>
      </extLst>
    </cfRule>
  </conditionalFormatting>
  <dataValidations count="14">
    <dataValidation allowBlank="1" showInputMessage="1" showErrorMessage="1" prompt="Automatski ažurirana godina na temelju godine unesene na radnom listu Siječanj" sqref="AH4" xr:uid="{00000000-0002-0000-0B00-000000000000}"/>
    <dataValidation allowBlank="1" showInputMessage="1" showErrorMessage="1" prompt="U ovom stupcu automatski izračunava ukupan broj dana tijekom kojih je zaposlenik izostao ovog mjeseca" sqref="AH6" xr:uid="{00000000-0002-0000-0B00-000001000000}"/>
    <dataValidation allowBlank="1" showInputMessage="1" showErrorMessage="1" prompt="Na ovom radnom listu evidentirajte izostanke za prosinac" sqref="A1" xr:uid="{00000000-0002-0000-0B00-000002000000}"/>
    <dataValidation errorStyle="warning" allowBlank="1" showInputMessage="1" showErrorMessage="1" error="Odaberite ime s popisa. Odaberite ODUSTANI, a zatim pritisnite ALT + STRELICA DOLJE, a zatim ENTER za odabir imena" prompt="Unesite imena zaposlenika na radnom listu Imena zaposlenika, a zatim odaberite jedno od tih imena s popisa u ovom stupcu. Pritisnite ALT + STRELICA DOLJE, a zatim ENTER za odabir imena" sqref="B6" xr:uid="{00000000-0002-0000-0B00-000003000000}"/>
    <dataValidation allowBlank="1" showInputMessage="1" showErrorMessage="1" prompt="U ovoj se ćeliji nalazi automatski ažurirani naslov. Da biste izmijenili naslov, ažurirajte ćeliju B1 na radnom listu Siječanj" sqref="B1" xr:uid="{00000000-0002-0000-0B00-000004000000}"/>
    <dataValidation allowBlank="1" showInputMessage="1" showErrorMessage="1" prompt="Slovo &quot;G&quot; označava izostanak zbog godišnjeg odmora" sqref="C2" xr:uid="{00000000-0002-0000-0B00-000005000000}"/>
    <dataValidation allowBlank="1" showInputMessage="1" showErrorMessage="1" prompt="Sovo &quot;O&quot; označava izostanak iz osobnih razloga" sqref="G2" xr:uid="{00000000-0002-0000-0B00-000006000000}"/>
    <dataValidation allowBlank="1" showInputMessage="1" showErrorMessage="1" prompt="Slovo &quot;B&quot; označava izostanak zbog bolesti" sqref="K2" xr:uid="{00000000-0002-0000-0B00-000007000000}"/>
    <dataValidation allowBlank="1" showInputMessage="1" showErrorMessage="1" prompt="Unesite slovo i prilagodite natpis zdesna da biste dodali još jednu stavku oznake" sqref="N2 R2" xr:uid="{00000000-0002-0000-0B00-000008000000}"/>
    <dataValidation allowBlank="1" showInputMessage="1" showErrorMessage="1" prompt="Unesite natpis da biste opisali prilagođenu oznaku zdesna" sqref="O2:Q2 S2:U2" xr:uid="{00000000-0002-0000-0B00-000009000000}"/>
    <dataValidation allowBlank="1" showInputMessage="1" showErrorMessage="1" prompt="Ovaj redak definira oznake koje se koriste u tablici: ćelija C2 je Godišnji odmor, G2 Osobni razlozi, K2 Bolovanje. Ćelije N2 i R2 mogu se prilagoditi." sqref="B2" xr:uid="{00000000-0002-0000-0B00-00000A000000}"/>
    <dataValidation allowBlank="1" showInputMessage="1" showErrorMessage="1" prompt="U ovoj se ćeliji nalazi naziv mjeseca za ovaj raspored izostanaka. Ukupni brojevi izostanaka za trenutni mjesec nalaze se u posljednjoj ćeliji tablice. Odaberite imena zaposlenika u stupcu B tablice" sqref="B4" xr:uid="{00000000-0002-0000-0B00-00000B000000}"/>
    <dataValidation allowBlank="1" showInputMessage="1" showErrorMessage="1" prompt="Dani u tjednu u ovom retku automatski se ažuriraju za mjesec u skladu s godinom u ćeliji AH4. Svaki je dan u mjesecu stupac za bilježenje zaposlenikova izostanka i vrste izostanka" sqref="C5" xr:uid="{00000000-0002-0000-0B00-00000C000000}"/>
    <dataValidation allowBlank="1" showInputMessage="1" showErrorMessage="1" prompt="U ovom se retku automatski generiraju dani u mjesecu. Unesite izostanak zaposlenika i vrstu izostanka u svaki stupac za svaki dan u mjesecu. Prazno znači da nema izostanaka" sqref="C6" xr:uid="{00000000-0002-0000-0B00-00000D000000}"/>
  </dataValidations>
  <printOptions horizontalCentered="1"/>
  <pageMargins left="0.25" right="0.25" top="0.75" bottom="0.75" header="0.3" footer="0.3"/>
  <pageSetup paperSize="9" scale="64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586780-365B-4F4C-BBB4-F5991705D361}">
            <x14:dataBar minLength="0" maxLength="100">
              <x14:cfvo type="autoMin"/>
              <x14:cfvo type="formula">
                <xm:f>DATEDIF(DATE(KalendarskaGodina,2,1),DATE(KalendarskaGodina,3,1),"d")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B00-00000E000000}">
          <x14:formula1>
            <xm:f>'Imena zaposlenika'!$B$4:$B$8</xm:f>
          </x14:formula1>
          <xm:sqref>B7:B11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1"/>
    <pageSetUpPr fitToPage="1"/>
  </sheetPr>
  <dimension ref="B1:B8"/>
  <sheetViews>
    <sheetView showGridLines="0" workbookViewId="0"/>
  </sheetViews>
  <sheetFormatPr defaultRowHeight="30" customHeight="1" x14ac:dyDescent="0.25"/>
  <cols>
    <col min="1" max="1" width="2.7109375" customWidth="1"/>
    <col min="2" max="2" width="39.85546875" customWidth="1"/>
    <col min="3" max="3" width="2.7109375" customWidth="1"/>
  </cols>
  <sheetData>
    <row r="1" spans="2:2" ht="50.1" customHeight="1" x14ac:dyDescent="0.25">
      <c r="B1" s="22" t="s">
        <v>61</v>
      </c>
    </row>
    <row r="2" spans="2:2" ht="15" customHeight="1" x14ac:dyDescent="0.25"/>
    <row r="3" spans="2:2" ht="30" customHeight="1" x14ac:dyDescent="0.25">
      <c r="B3" t="s">
        <v>61</v>
      </c>
    </row>
    <row r="4" spans="2:2" ht="30" customHeight="1" x14ac:dyDescent="0.25">
      <c r="B4" s="1" t="s">
        <v>4</v>
      </c>
    </row>
    <row r="5" spans="2:2" ht="30" customHeight="1" x14ac:dyDescent="0.25">
      <c r="B5" s="1" t="s">
        <v>5</v>
      </c>
    </row>
    <row r="6" spans="2:2" ht="30" customHeight="1" x14ac:dyDescent="0.25">
      <c r="B6" s="1" t="s">
        <v>6</v>
      </c>
    </row>
    <row r="7" spans="2:2" ht="30" customHeight="1" x14ac:dyDescent="0.25">
      <c r="B7" s="1" t="s">
        <v>7</v>
      </c>
    </row>
    <row r="8" spans="2:2" ht="30" customHeight="1" x14ac:dyDescent="0.25">
      <c r="B8" s="1" t="s">
        <v>8</v>
      </c>
    </row>
  </sheetData>
  <dataValidations count="3">
    <dataValidation allowBlank="1" showInputMessage="1" showErrorMessage="1" prompt="Naslov Imena zaposlenika" sqref="B1" xr:uid="{00000000-0002-0000-0C00-000000000000}"/>
    <dataValidation allowBlank="1" showInputMessage="1" showErrorMessage="1" prompt="Na ovom radnom listu unesite imena zaposlenika u tablicu s imenima zaposlenika. Ta se imena koriste kao mogućnosti u stupcu B tablice izostanaka za svaki mjesec" sqref="A1" xr:uid="{00000000-0002-0000-0C00-000001000000}"/>
    <dataValidation allowBlank="1" showInputMessage="1" showErrorMessage="1" prompt="U ovaj stupac unesite imena zaposlenika" sqref="B3" xr:uid="{00000000-0002-0000-0C00-000002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749992370372631"/>
    <pageSetUpPr fitToPage="1"/>
  </sheetPr>
  <dimension ref="A1:AH12"/>
  <sheetViews>
    <sheetView showGridLines="0" zoomScaleNormal="100" workbookViewId="0"/>
  </sheetViews>
  <sheetFormatPr defaultColWidth="9.140625" defaultRowHeight="30" customHeight="1" x14ac:dyDescent="0.25"/>
  <cols>
    <col min="1" max="1" width="2.7109375" style="11" customWidth="1"/>
    <col min="2" max="2" width="25.7109375" style="11" customWidth="1"/>
    <col min="3" max="33" width="5.7109375" style="11" customWidth="1"/>
    <col min="34" max="34" width="17.140625" style="11" customWidth="1"/>
    <col min="35" max="35" width="2.7109375" customWidth="1"/>
  </cols>
  <sheetData>
    <row r="1" spans="2:34" ht="50.1" customHeight="1" x14ac:dyDescent="0.25">
      <c r="B1" s="14" t="str">
        <f>Naslov_Izostanak_zaposlenika</f>
        <v>Raspored izostanaka zaposlenika</v>
      </c>
    </row>
    <row r="2" spans="2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14</v>
      </c>
      <c r="H2" s="25" t="s">
        <v>18</v>
      </c>
      <c r="I2" s="25"/>
      <c r="J2" s="25"/>
      <c r="K2" s="6" t="s">
        <v>16</v>
      </c>
      <c r="L2" s="25" t="s">
        <v>21</v>
      </c>
      <c r="M2" s="25"/>
      <c r="N2" s="7"/>
      <c r="O2" s="25" t="s">
        <v>25</v>
      </c>
      <c r="P2" s="25"/>
      <c r="Q2" s="25"/>
      <c r="R2" s="8"/>
      <c r="S2" s="25" t="s">
        <v>30</v>
      </c>
      <c r="T2" s="25"/>
      <c r="U2" s="25"/>
    </row>
    <row r="3" spans="2:34" ht="15" customHeight="1" x14ac:dyDescent="0.25">
      <c r="B3"/>
    </row>
    <row r="4" spans="2:34" ht="30" customHeight="1" x14ac:dyDescent="0.25">
      <c r="B4" s="12" t="s">
        <v>48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KalendarskaGodina</f>
        <v>2019</v>
      </c>
    </row>
    <row r="5" spans="2:34" ht="15" customHeight="1" x14ac:dyDescent="0.25">
      <c r="B5" s="12"/>
      <c r="C5" s="2" t="str">
        <f>TEXT(WEEKDAY(DATE(KalendarskaGodina,2,1),1),"aaa")</f>
        <v>pet</v>
      </c>
      <c r="D5" s="2" t="str">
        <f>TEXT(WEEKDAY(DATE(KalendarskaGodina,2,2),1),"aaa")</f>
        <v>sub</v>
      </c>
      <c r="E5" s="2" t="str">
        <f>TEXT(WEEKDAY(DATE(KalendarskaGodina,2,3),1),"aaa")</f>
        <v>ned</v>
      </c>
      <c r="F5" s="2" t="str">
        <f>TEXT(WEEKDAY(DATE(KalendarskaGodina,2,4),1),"aaa")</f>
        <v>pon</v>
      </c>
      <c r="G5" s="2" t="str">
        <f>TEXT(WEEKDAY(DATE(KalendarskaGodina,2,5),1),"aaa")</f>
        <v>uto</v>
      </c>
      <c r="H5" s="2" t="str">
        <f>TEXT(WEEKDAY(DATE(KalendarskaGodina,2,6),1),"aaa")</f>
        <v>sri</v>
      </c>
      <c r="I5" s="2" t="str">
        <f>TEXT(WEEKDAY(DATE(KalendarskaGodina,2,7),1),"aaa")</f>
        <v>čet</v>
      </c>
      <c r="J5" s="2" t="str">
        <f>TEXT(WEEKDAY(DATE(KalendarskaGodina,2,8),1),"aaa")</f>
        <v>pet</v>
      </c>
      <c r="K5" s="2" t="str">
        <f>TEXT(WEEKDAY(DATE(KalendarskaGodina,2,9),1),"aaa")</f>
        <v>sub</v>
      </c>
      <c r="L5" s="2" t="str">
        <f>TEXT(WEEKDAY(DATE(KalendarskaGodina,2,10),1),"aaa")</f>
        <v>ned</v>
      </c>
      <c r="M5" s="2" t="str">
        <f>TEXT(WEEKDAY(DATE(KalendarskaGodina,2,11),1),"aaa")</f>
        <v>pon</v>
      </c>
      <c r="N5" s="2" t="str">
        <f>TEXT(WEEKDAY(DATE(KalendarskaGodina,2,12),1),"aaa")</f>
        <v>uto</v>
      </c>
      <c r="O5" s="2" t="str">
        <f>TEXT(WEEKDAY(DATE(KalendarskaGodina,2,13),1),"aaa")</f>
        <v>sri</v>
      </c>
      <c r="P5" s="2" t="str">
        <f>TEXT(WEEKDAY(DATE(KalendarskaGodina,2,14),1),"aaa")</f>
        <v>čet</v>
      </c>
      <c r="Q5" s="2" t="str">
        <f>TEXT(WEEKDAY(DATE(KalendarskaGodina,2,15),1),"aaa")</f>
        <v>pet</v>
      </c>
      <c r="R5" s="2" t="str">
        <f>TEXT(WEEKDAY(DATE(KalendarskaGodina,2,16),1),"aaa")</f>
        <v>sub</v>
      </c>
      <c r="S5" s="2" t="str">
        <f>TEXT(WEEKDAY(DATE(KalendarskaGodina,2,17),1),"aaa")</f>
        <v>ned</v>
      </c>
      <c r="T5" s="2" t="str">
        <f>TEXT(WEEKDAY(DATE(KalendarskaGodina,2,18),1),"aaa")</f>
        <v>pon</v>
      </c>
      <c r="U5" s="2" t="str">
        <f>TEXT(WEEKDAY(DATE(KalendarskaGodina,2,19),1),"aaa")</f>
        <v>uto</v>
      </c>
      <c r="V5" s="2" t="str">
        <f>TEXT(WEEKDAY(DATE(KalendarskaGodina,2,20),1),"aaa")</f>
        <v>sri</v>
      </c>
      <c r="W5" s="2" t="str">
        <f>TEXT(WEEKDAY(DATE(KalendarskaGodina,2,21),1),"aaa")</f>
        <v>čet</v>
      </c>
      <c r="X5" s="2" t="str">
        <f>TEXT(WEEKDAY(DATE(KalendarskaGodina,2,22),1),"aaa")</f>
        <v>pet</v>
      </c>
      <c r="Y5" s="2" t="str">
        <f>TEXT(WEEKDAY(DATE(KalendarskaGodina,2,23),1),"aaa")</f>
        <v>sub</v>
      </c>
      <c r="Z5" s="2" t="str">
        <f>TEXT(WEEKDAY(DATE(KalendarskaGodina,2,24),1),"aaa")</f>
        <v>ned</v>
      </c>
      <c r="AA5" s="2" t="str">
        <f>TEXT(WEEKDAY(DATE(KalendarskaGodina,2,25),1),"aaa")</f>
        <v>pon</v>
      </c>
      <c r="AB5" s="2" t="str">
        <f>TEXT(WEEKDAY(DATE(KalendarskaGodina,2,26),1),"aaa")</f>
        <v>uto</v>
      </c>
      <c r="AC5" s="2" t="str">
        <f>TEXT(WEEKDAY(DATE(KalendarskaGodina,2,27),1),"aaa")</f>
        <v>sri</v>
      </c>
      <c r="AD5" s="2" t="str">
        <f>TEXT(WEEKDAY(DATE(KalendarskaGodina,2,28),1),"aaa")</f>
        <v>čet</v>
      </c>
      <c r="AE5" s="2" t="str">
        <f>TEXT(WEEKDAY(DATE(KalendarskaGodina,2,29),1),"aaa")</f>
        <v>pet</v>
      </c>
      <c r="AF5" s="2"/>
      <c r="AG5" s="2"/>
      <c r="AH5" s="12"/>
    </row>
    <row r="6" spans="2:34" ht="15" customHeight="1" x14ac:dyDescent="0.25">
      <c r="B6" s="15" t="s">
        <v>3</v>
      </c>
      <c r="C6" s="3" t="s">
        <v>11</v>
      </c>
      <c r="D6" s="3" t="s">
        <v>13</v>
      </c>
      <c r="E6" s="3" t="s">
        <v>63</v>
      </c>
      <c r="F6" s="3" t="s">
        <v>15</v>
      </c>
      <c r="G6" s="3" t="s">
        <v>17</v>
      </c>
      <c r="H6" s="3" t="s">
        <v>19</v>
      </c>
      <c r="I6" s="3" t="s">
        <v>64</v>
      </c>
      <c r="J6" s="3" t="s">
        <v>65</v>
      </c>
      <c r="K6" s="3" t="s">
        <v>20</v>
      </c>
      <c r="L6" s="3" t="s">
        <v>22</v>
      </c>
      <c r="M6" s="3" t="s">
        <v>23</v>
      </c>
      <c r="N6" s="3" t="s">
        <v>24</v>
      </c>
      <c r="O6" s="3" t="s">
        <v>26</v>
      </c>
      <c r="P6" s="3" t="s">
        <v>27</v>
      </c>
      <c r="Q6" s="3" t="s">
        <v>28</v>
      </c>
      <c r="R6" s="3" t="s">
        <v>29</v>
      </c>
      <c r="S6" s="3" t="s">
        <v>31</v>
      </c>
      <c r="T6" s="3" t="s">
        <v>32</v>
      </c>
      <c r="U6" s="3" t="s">
        <v>33</v>
      </c>
      <c r="V6" s="3" t="s">
        <v>34</v>
      </c>
      <c r="W6" s="3" t="s">
        <v>35</v>
      </c>
      <c r="X6" s="3" t="s">
        <v>36</v>
      </c>
      <c r="Y6" s="3" t="s">
        <v>37</v>
      </c>
      <c r="Z6" s="3" t="s">
        <v>38</v>
      </c>
      <c r="AA6" s="3" t="s">
        <v>39</v>
      </c>
      <c r="AB6" s="3" t="s">
        <v>40</v>
      </c>
      <c r="AC6" s="3" t="s">
        <v>41</v>
      </c>
      <c r="AD6" s="3" t="s">
        <v>42</v>
      </c>
      <c r="AE6" s="3" t="s">
        <v>43</v>
      </c>
      <c r="AF6" s="3" t="s">
        <v>49</v>
      </c>
      <c r="AG6" s="3" t="s">
        <v>50</v>
      </c>
      <c r="AH6" s="16" t="s">
        <v>47</v>
      </c>
    </row>
    <row r="7" spans="2:34" ht="30" customHeight="1" x14ac:dyDescent="0.25">
      <c r="B7" s="17" t="s">
        <v>4</v>
      </c>
      <c r="C7" s="3"/>
      <c r="D7" s="3"/>
      <c r="E7" s="3" t="s">
        <v>9</v>
      </c>
      <c r="F7" s="3" t="s">
        <v>9</v>
      </c>
      <c r="G7" s="3" t="s">
        <v>9</v>
      </c>
      <c r="H7" s="3" t="s">
        <v>9</v>
      </c>
      <c r="I7" s="3"/>
      <c r="J7" s="3"/>
      <c r="K7" s="3"/>
      <c r="L7" s="3"/>
      <c r="M7" s="3"/>
      <c r="N7" s="3"/>
      <c r="O7" s="3" t="s">
        <v>9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COUNTA(Veljača[[#This Row],[1]:[29]])</f>
        <v>5</v>
      </c>
    </row>
    <row r="8" spans="2:34" ht="30" customHeight="1" x14ac:dyDescent="0.25">
      <c r="B8" s="17" t="s">
        <v>5</v>
      </c>
      <c r="C8" s="3"/>
      <c r="D8" s="3"/>
      <c r="E8" s="3"/>
      <c r="F8" s="3"/>
      <c r="G8" s="3" t="s">
        <v>16</v>
      </c>
      <c r="H8" s="3" t="s">
        <v>16</v>
      </c>
      <c r="I8" s="3"/>
      <c r="J8" s="3"/>
      <c r="K8" s="3"/>
      <c r="L8" s="3"/>
      <c r="M8" s="3" t="s">
        <v>14</v>
      </c>
      <c r="N8" s="3"/>
      <c r="O8" s="3"/>
      <c r="P8" s="3"/>
      <c r="Q8" s="3"/>
      <c r="R8" s="3"/>
      <c r="S8" s="3"/>
      <c r="T8" s="3"/>
      <c r="U8" s="3"/>
      <c r="V8" s="3" t="s">
        <v>16</v>
      </c>
      <c r="W8" s="3"/>
      <c r="X8" s="3"/>
      <c r="Y8" s="3"/>
      <c r="Z8" s="3"/>
      <c r="AA8" s="3" t="s">
        <v>9</v>
      </c>
      <c r="AB8" s="3" t="s">
        <v>9</v>
      </c>
      <c r="AC8" s="3" t="s">
        <v>9</v>
      </c>
      <c r="AD8" s="3"/>
      <c r="AE8" s="3"/>
      <c r="AF8" s="3"/>
      <c r="AG8" s="3"/>
      <c r="AH8" s="10">
        <f>COUNTA(Veljača[[#This Row],[1]:[29]])</f>
        <v>7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COUNTA(Veljača[[#This Row],[1]:[29]])</f>
        <v>0</v>
      </c>
    </row>
    <row r="10" spans="2:34" ht="30" customHeight="1" x14ac:dyDescent="0.25">
      <c r="B10" s="17" t="s">
        <v>7</v>
      </c>
      <c r="C10" s="3"/>
      <c r="D10" s="3"/>
      <c r="E10" s="3" t="s">
        <v>16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 t="s">
        <v>16</v>
      </c>
      <c r="Q10" s="3"/>
      <c r="R10" s="3"/>
      <c r="S10" s="3"/>
      <c r="T10" s="3" t="s">
        <v>14</v>
      </c>
      <c r="U10" s="3"/>
      <c r="V10" s="3"/>
      <c r="W10" s="3"/>
      <c r="X10" s="3"/>
      <c r="Y10" s="3"/>
      <c r="Z10" s="3"/>
      <c r="AA10" s="3"/>
      <c r="AB10" s="3"/>
      <c r="AC10" s="3"/>
      <c r="AD10" s="3" t="s">
        <v>16</v>
      </c>
      <c r="AE10" s="3"/>
      <c r="AF10" s="3"/>
      <c r="AG10" s="3"/>
      <c r="AH10" s="10">
        <f>COUNTA(Veljača[[#This Row],[1]:[29]])</f>
        <v>4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 t="s">
        <v>9</v>
      </c>
      <c r="K11" s="3" t="s">
        <v>9</v>
      </c>
      <c r="L11" s="3" t="s">
        <v>9</v>
      </c>
      <c r="M11" s="3" t="s">
        <v>9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 t="s">
        <v>16</v>
      </c>
      <c r="AA11" s="3"/>
      <c r="AB11" s="3"/>
      <c r="AC11" s="3"/>
      <c r="AD11" s="3"/>
      <c r="AE11" s="3"/>
      <c r="AF11" s="3"/>
      <c r="AG11" s="3"/>
      <c r="AH11" s="10">
        <f>COUNTA(Veljača[[#This Row],[1]:[29]])</f>
        <v>5</v>
      </c>
    </row>
    <row r="12" spans="2:34" ht="30" customHeight="1" x14ac:dyDescent="0.25">
      <c r="B12" s="21" t="str">
        <f>NazivMjeseca&amp;" Ukupno"</f>
        <v>Veljača Ukupno</v>
      </c>
      <c r="C12" s="13">
        <f>SUBTOTAL(103,Veljača[1])</f>
        <v>0</v>
      </c>
      <c r="D12" s="13">
        <f>SUBTOTAL(103,Veljača[2])</f>
        <v>0</v>
      </c>
      <c r="E12" s="13">
        <f>SUBTOTAL(103,Veljača[3])</f>
        <v>2</v>
      </c>
      <c r="F12" s="13">
        <f>SUBTOTAL(103,Veljača[4])</f>
        <v>1</v>
      </c>
      <c r="G12" s="13">
        <f>SUBTOTAL(103,Veljača[5])</f>
        <v>2</v>
      </c>
      <c r="H12" s="13">
        <f>SUBTOTAL(103,Veljača[6])</f>
        <v>2</v>
      </c>
      <c r="I12" s="13">
        <f>SUBTOTAL(103,Veljača[7])</f>
        <v>0</v>
      </c>
      <c r="J12" s="13">
        <f>SUBTOTAL(103,Veljača[8])</f>
        <v>1</v>
      </c>
      <c r="K12" s="13">
        <f>SUBTOTAL(103,Veljača[9])</f>
        <v>1</v>
      </c>
      <c r="L12" s="13">
        <f>SUBTOTAL(103,Veljača[10])</f>
        <v>1</v>
      </c>
      <c r="M12" s="13">
        <f>SUBTOTAL(103,Veljača[11])</f>
        <v>2</v>
      </c>
      <c r="N12" s="13">
        <f>SUBTOTAL(103,Veljača[12])</f>
        <v>0</v>
      </c>
      <c r="O12" s="13">
        <f>SUBTOTAL(103,Veljača[13])</f>
        <v>1</v>
      </c>
      <c r="P12" s="13">
        <f>SUBTOTAL(103,Veljača[14])</f>
        <v>1</v>
      </c>
      <c r="Q12" s="13">
        <f>SUBTOTAL(103,Veljača[15])</f>
        <v>0</v>
      </c>
      <c r="R12" s="13">
        <f>SUBTOTAL(103,Veljača[16])</f>
        <v>0</v>
      </c>
      <c r="S12" s="13">
        <f>SUBTOTAL(103,Veljača[17])</f>
        <v>0</v>
      </c>
      <c r="T12" s="13">
        <f>SUBTOTAL(103,Veljača[18])</f>
        <v>1</v>
      </c>
      <c r="U12" s="13">
        <f>SUBTOTAL(103,Veljača[19])</f>
        <v>0</v>
      </c>
      <c r="V12" s="13">
        <f>SUBTOTAL(103,Veljača[20])</f>
        <v>1</v>
      </c>
      <c r="W12" s="13">
        <f>SUBTOTAL(103,Veljača[21])</f>
        <v>0</v>
      </c>
      <c r="X12" s="13">
        <f>SUBTOTAL(103,Veljača[22])</f>
        <v>0</v>
      </c>
      <c r="Y12" s="13">
        <f>SUBTOTAL(103,Veljača[23])</f>
        <v>0</v>
      </c>
      <c r="Z12" s="13">
        <f>SUBTOTAL(103,Veljača[24])</f>
        <v>1</v>
      </c>
      <c r="AA12" s="13">
        <f>SUBTOTAL(103,Veljača[25])</f>
        <v>1</v>
      </c>
      <c r="AB12" s="13">
        <f>SUBTOTAL(103,Veljača[26])</f>
        <v>1</v>
      </c>
      <c r="AC12" s="13">
        <f>SUBTOTAL(103,Veljača[27])</f>
        <v>1</v>
      </c>
      <c r="AD12" s="13">
        <f>SUBTOTAL(103,Veljača[28])</f>
        <v>1</v>
      </c>
      <c r="AE12" s="13">
        <f>SUBTOTAL(103,Veljača[29])</f>
        <v>0</v>
      </c>
      <c r="AF12" s="13"/>
      <c r="AG12" s="13"/>
      <c r="AH12" s="13">
        <f>SUBTOTAL(109,Veljača[UkupnoDana])</f>
        <v>21</v>
      </c>
    </row>
  </sheetData>
  <mergeCells count="6">
    <mergeCell ref="C4:AG4"/>
    <mergeCell ref="D2:F2"/>
    <mergeCell ref="H2:J2"/>
    <mergeCell ref="L2:M2"/>
    <mergeCell ref="O2:Q2"/>
    <mergeCell ref="S2:U2"/>
  </mergeCells>
  <phoneticPr fontId="19" type="noConversion"/>
  <conditionalFormatting sqref="AE6">
    <cfRule type="expression" dxfId="452" priority="16">
      <formula>MONTH(DATE(KalendarskaGodina,2,29))&lt;&gt;2</formula>
    </cfRule>
  </conditionalFormatting>
  <conditionalFormatting sqref="AE5">
    <cfRule type="expression" dxfId="451" priority="15">
      <formula>MONTH(DATE(KalendarskaGodina,2,29))&lt;&gt;2</formula>
    </cfRule>
  </conditionalFormatting>
  <conditionalFormatting sqref="C7:AG11">
    <cfRule type="expression" priority="2" stopIfTrue="1">
      <formula>C7=""</formula>
    </cfRule>
    <cfRule type="expression" dxfId="450" priority="3" stopIfTrue="1">
      <formula>C7=OznakaPrilagođeno2</formula>
    </cfRule>
  </conditionalFormatting>
  <conditionalFormatting sqref="C7:AG11">
    <cfRule type="expression" dxfId="449" priority="5" stopIfTrue="1">
      <formula>C7=OznakaPrilagođeno1</formula>
    </cfRule>
    <cfRule type="expression" dxfId="448" priority="6" stopIfTrue="1">
      <formula>C7=OznakaBolovanje</formula>
    </cfRule>
    <cfRule type="expression" dxfId="447" priority="7" stopIfTrue="1">
      <formula>C7=OznakaOsobniRazlozi</formula>
    </cfRule>
    <cfRule type="expression" dxfId="446" priority="8" stopIfTrue="1">
      <formula>C7=OznakaGodišnjiOdmor</formula>
    </cfRule>
  </conditionalFormatting>
  <conditionalFormatting sqref="AH7:AH11">
    <cfRule type="dataBar" priority="153">
      <dataBar>
        <cfvo type="min"/>
        <cfvo type="formula" val="DATEDIF(DATE(KalendarskaGodina,2,1),DATE(KalendarskaGodina,3,1),&quot;d&quot;)"/>
        <color theme="2" tint="-0.249977111117893"/>
      </dataBar>
      <extLst>
        <ext xmlns:x14="http://schemas.microsoft.com/office/spreadsheetml/2009/9/main" uri="{B025F937-C7B1-47D3-B67F-A62EFF666E3E}">
          <x14:id>{94738C71-AB78-40C3-A818-D083AE35CC38}</x14:id>
        </ext>
      </extLst>
    </cfRule>
  </conditionalFormatting>
  <dataValidations xWindow="232" yWindow="365" count="14">
    <dataValidation allowBlank="1" showInputMessage="1" showErrorMessage="1" prompt="Automatski ažurirana godina na temelju godine unesene na radnom listu Siječanj" sqref="AH4" xr:uid="{00000000-0002-0000-0100-000000000000}"/>
    <dataValidation allowBlank="1" showInputMessage="1" showErrorMessage="1" prompt="Na ovom radnom listu evidentirajte izostanke za veljaču" sqref="A1" xr:uid="{00000000-0002-0000-0100-000001000000}"/>
    <dataValidation allowBlank="1" showInputMessage="1" showErrorMessage="1" prompt="U ovom stupcu automatski izračunava ukupan broj dana tijekom kojih je zaposlenik izostao ovog mjeseca" sqref="AH6" xr:uid="{00000000-0002-0000-0100-000002000000}"/>
    <dataValidation allowBlank="1" showInputMessage="1" showErrorMessage="1" prompt="U ovoj se ćeliji nalazi automatski ažurirani naslov. Da biste izmijenili naslov, ažurirajte ćeliju B1 na radnom listu Siječanj" sqref="B1" xr:uid="{00000000-0002-0000-0100-000003000000}"/>
    <dataValidation allowBlank="1" showInputMessage="1" showErrorMessage="1" prompt="U ovoj se ćeliji nalazi naziv mjeseca za ovaj raspored izostanaka. Ukupni brojevi izostanaka za trenutni mjesec nalaze se u posljednjoj ćeliji tablice. Odaberite imena zaposlenika u stupcu B tablice" sqref="B4" xr:uid="{00000000-0002-0000-0100-000004000000}"/>
    <dataValidation errorStyle="warning" allowBlank="1" showInputMessage="1" showErrorMessage="1" error="Odaberite ime s popisa. Odaberite ODUSTANI, a zatim pritisnite ALT + STRELICA DOLJE, a zatim ENTER za odabir imena" prompt="Unesite imena zaposlenika na radnom listu Imena zaposlenika, a zatim odaberite jedno od tih imena s popisa u ovom stupcu. Pritisnite ALT + STRELICA DOLJE, a zatim ENTER za odabir imena" sqref="B6" xr:uid="{00000000-0002-0000-0100-000005000000}"/>
    <dataValidation allowBlank="1" showInputMessage="1" showErrorMessage="1" prompt="Ovaj redak definira oznake koje se koriste u tablici: ćelija C2 je Godišnji odmor, G2 Osobni razlozi, K2 Bolovanje. Ćelije N2 i R2 mogu se prilagoditi." sqref="B2" xr:uid="{00000000-0002-0000-0100-000006000000}"/>
    <dataValidation allowBlank="1" showInputMessage="1" showErrorMessage="1" prompt="Unesite natpis da biste opisali prilagođenu oznaku zdesna" sqref="O2:Q2 S2:U2" xr:uid="{00000000-0002-0000-0100-000007000000}"/>
    <dataValidation allowBlank="1" showInputMessage="1" showErrorMessage="1" prompt="Unesite slovo i prilagodite natpis zdesna da biste dodali još jednu stavku oznake" sqref="N2 R2" xr:uid="{00000000-0002-0000-0100-000008000000}"/>
    <dataValidation allowBlank="1" showInputMessage="1" showErrorMessage="1" prompt="Slovo &quot;B&quot; označava izostanak zbog bolesti" sqref="K2" xr:uid="{00000000-0002-0000-0100-000009000000}"/>
    <dataValidation allowBlank="1" showInputMessage="1" showErrorMessage="1" prompt="Sovo &quot;O&quot; označava izostanak iz osobnih razloga" sqref="G2" xr:uid="{00000000-0002-0000-0100-00000A000000}"/>
    <dataValidation allowBlank="1" showInputMessage="1" showErrorMessage="1" prompt="Slovo &quot;G&quot; označava izostanak zbog godišnjeg odmora" sqref="C2" xr:uid="{00000000-0002-0000-0100-00000B000000}"/>
    <dataValidation allowBlank="1" showInputMessage="1" showErrorMessage="1" prompt="Dani u tjednu u ovom retku automatski se ažuriraju za mjesec u skladu s godinom u ćeliji AH4. Svaki je dan u mjesecu stupac za bilježenje zaposlenikova izostanka i vrste izostanka" sqref="C5" xr:uid="{00000000-0002-0000-0100-00000C000000}"/>
    <dataValidation allowBlank="1" showInputMessage="1" showErrorMessage="1" prompt="U ovom se retku automatski generiraju dani u mjesecu. Unesite izostanak zaposlenika i vrstu izostanka u svaki stupac za svaki dan u mjesecu. Prazno znači da nema izostanaka" sqref="C6" xr:uid="{00000000-0002-0000-0100-00000D000000}"/>
  </dataValidations>
  <printOptions horizontalCentered="1"/>
  <pageMargins left="0.25" right="0.25" top="0.75" bottom="0.75" header="0.3" footer="0.3"/>
  <pageSetup paperSize="9" scale="64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738C71-AB78-40C3-A818-D083AE35CC38}">
            <x14:dataBar minLength="0" maxLength="100">
              <x14:cfvo type="autoMin"/>
              <x14:cfvo type="formula">
                <xm:f>DATEDIF(DATE(KalendarskaGodina,2,1),DATE(KalendarskaGodina,3,1),"d")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xWindow="232" yWindow="365" count="1">
        <x14:dataValidation type="list" allowBlank="1" showInputMessage="1" showErrorMessage="1" xr:uid="{00000000-0002-0000-0100-00000E000000}">
          <x14:formula1>
            <xm:f>'Imena zaposlenika'!$B$4:$B$8</xm:f>
          </x14:formula1>
          <xm:sqref>B7:B11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49998474074526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5.7109375" style="11" customWidth="1"/>
    <col min="34" max="34" width="17.140625" style="11" customWidth="1"/>
    <col min="35" max="35" width="2.7109375" customWidth="1"/>
  </cols>
  <sheetData>
    <row r="1" spans="2:34" ht="50.1" customHeight="1" x14ac:dyDescent="0.25">
      <c r="B1" s="14" t="str">
        <f>Naslov_Izostanak_zaposlenika</f>
        <v>Raspored izostanaka zaposlenika</v>
      </c>
    </row>
    <row r="2" spans="2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14</v>
      </c>
      <c r="H2" s="25" t="s">
        <v>18</v>
      </c>
      <c r="I2" s="25"/>
      <c r="J2" s="25"/>
      <c r="K2" s="6" t="s">
        <v>16</v>
      </c>
      <c r="L2" s="25" t="s">
        <v>21</v>
      </c>
      <c r="M2" s="25"/>
      <c r="N2" s="7"/>
      <c r="O2" s="25" t="s">
        <v>25</v>
      </c>
      <c r="P2" s="25"/>
      <c r="Q2" s="25"/>
      <c r="R2" s="8"/>
      <c r="S2" s="25" t="s">
        <v>30</v>
      </c>
      <c r="T2" s="25"/>
      <c r="U2" s="25"/>
    </row>
    <row r="3" spans="2:34" ht="15" customHeight="1" x14ac:dyDescent="0.25">
      <c r="B3" s="14"/>
    </row>
    <row r="4" spans="2:34" ht="30" customHeight="1" x14ac:dyDescent="0.25">
      <c r="B4" s="12" t="s">
        <v>51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KalendarskaGodina</f>
        <v>2019</v>
      </c>
    </row>
    <row r="5" spans="2:34" ht="15" customHeight="1" x14ac:dyDescent="0.25">
      <c r="B5" s="12"/>
      <c r="C5" s="2" t="str">
        <f>TEXT(WEEKDAY(DATE(KalendarskaGodina,3,1),1),"aaa")</f>
        <v>pet</v>
      </c>
      <c r="D5" s="2" t="str">
        <f>TEXT(WEEKDAY(DATE(KalendarskaGodina,3,2),1),"aaa")</f>
        <v>sub</v>
      </c>
      <c r="E5" s="2" t="str">
        <f>TEXT(WEEKDAY(DATE(KalendarskaGodina,3,3),1),"aaa")</f>
        <v>ned</v>
      </c>
      <c r="F5" s="2" t="str">
        <f>TEXT(WEEKDAY(DATE(KalendarskaGodina,3,4),1),"aaa")</f>
        <v>pon</v>
      </c>
      <c r="G5" s="2" t="str">
        <f>TEXT(WEEKDAY(DATE(KalendarskaGodina,3,5),1),"aaa")</f>
        <v>uto</v>
      </c>
      <c r="H5" s="2" t="str">
        <f>TEXT(WEEKDAY(DATE(KalendarskaGodina,3,6),1),"aaa")</f>
        <v>sri</v>
      </c>
      <c r="I5" s="2" t="str">
        <f>TEXT(WEEKDAY(DATE(KalendarskaGodina,3,7),1),"aaa")</f>
        <v>čet</v>
      </c>
      <c r="J5" s="2" t="str">
        <f>TEXT(WEEKDAY(DATE(KalendarskaGodina,3,8),1),"aaa")</f>
        <v>pet</v>
      </c>
      <c r="K5" s="2" t="str">
        <f>TEXT(WEEKDAY(DATE(KalendarskaGodina,3,9),1),"aaa")</f>
        <v>sub</v>
      </c>
      <c r="L5" s="2" t="str">
        <f>TEXT(WEEKDAY(DATE(KalendarskaGodina,3,10),1),"aaa")</f>
        <v>ned</v>
      </c>
      <c r="M5" s="2" t="str">
        <f>TEXT(WEEKDAY(DATE(KalendarskaGodina,3,11),1),"aaa")</f>
        <v>pon</v>
      </c>
      <c r="N5" s="2" t="str">
        <f>TEXT(WEEKDAY(DATE(KalendarskaGodina,3,12),1),"aaa")</f>
        <v>uto</v>
      </c>
      <c r="O5" s="2" t="str">
        <f>TEXT(WEEKDAY(DATE(KalendarskaGodina,3,13),1),"aaa")</f>
        <v>sri</v>
      </c>
      <c r="P5" s="2" t="str">
        <f>TEXT(WEEKDAY(DATE(KalendarskaGodina,3,14),1),"aaa")</f>
        <v>čet</v>
      </c>
      <c r="Q5" s="2" t="str">
        <f>TEXT(WEEKDAY(DATE(KalendarskaGodina,3,15),1),"aaa")</f>
        <v>pet</v>
      </c>
      <c r="R5" s="2" t="str">
        <f>TEXT(WEEKDAY(DATE(KalendarskaGodina,3,16),1),"aaa")</f>
        <v>sub</v>
      </c>
      <c r="S5" s="2" t="str">
        <f>TEXT(WEEKDAY(DATE(KalendarskaGodina,3,17),1),"aaa")</f>
        <v>ned</v>
      </c>
      <c r="T5" s="2" t="str">
        <f>TEXT(WEEKDAY(DATE(KalendarskaGodina,3,18),1),"aaa")</f>
        <v>pon</v>
      </c>
      <c r="U5" s="2" t="str">
        <f>TEXT(WEEKDAY(DATE(KalendarskaGodina,3,19),1),"aaa")</f>
        <v>uto</v>
      </c>
      <c r="V5" s="2" t="str">
        <f>TEXT(WEEKDAY(DATE(KalendarskaGodina,3,20),1),"aaa")</f>
        <v>sri</v>
      </c>
      <c r="W5" s="2" t="str">
        <f>TEXT(WEEKDAY(DATE(KalendarskaGodina,3,21),1),"aaa")</f>
        <v>čet</v>
      </c>
      <c r="X5" s="2" t="str">
        <f>TEXT(WEEKDAY(DATE(KalendarskaGodina,3,22),1),"aaa")</f>
        <v>pet</v>
      </c>
      <c r="Y5" s="2" t="str">
        <f>TEXT(WEEKDAY(DATE(KalendarskaGodina,3,23),1),"aaa")</f>
        <v>sub</v>
      </c>
      <c r="Z5" s="2" t="str">
        <f>TEXT(WEEKDAY(DATE(KalendarskaGodina,3,24),1),"aaa")</f>
        <v>ned</v>
      </c>
      <c r="AA5" s="2" t="str">
        <f>TEXT(WEEKDAY(DATE(KalendarskaGodina,3,25),1),"aaa")</f>
        <v>pon</v>
      </c>
      <c r="AB5" s="2" t="str">
        <f>TEXT(WEEKDAY(DATE(KalendarskaGodina,3,26),1),"aaa")</f>
        <v>uto</v>
      </c>
      <c r="AC5" s="2" t="str">
        <f>TEXT(WEEKDAY(DATE(KalendarskaGodina,3,27),1),"aaa")</f>
        <v>sri</v>
      </c>
      <c r="AD5" s="2" t="str">
        <f>TEXT(WEEKDAY(DATE(KalendarskaGodina,3,28),1),"aaa")</f>
        <v>čet</v>
      </c>
      <c r="AE5" s="2" t="str">
        <f>TEXT(WEEKDAY(DATE(KalendarskaGodina,3,29),1),"aaa")</f>
        <v>pet</v>
      </c>
      <c r="AF5" s="2" t="str">
        <f>TEXT(WEEKDAY(DATE(KalendarskaGodina,3,30),1),"aaa")</f>
        <v>sub</v>
      </c>
      <c r="AG5" s="2" t="str">
        <f>TEXT(WEEKDAY(DATE(KalendarskaGodina,3,31),1),"aaa")</f>
        <v>ned</v>
      </c>
      <c r="AH5" s="12"/>
    </row>
    <row r="6" spans="2:34" ht="15" customHeight="1" x14ac:dyDescent="0.25">
      <c r="B6" s="15" t="s">
        <v>3</v>
      </c>
      <c r="C6" s="3" t="s">
        <v>11</v>
      </c>
      <c r="D6" s="3" t="s">
        <v>13</v>
      </c>
      <c r="E6" s="3" t="s">
        <v>63</v>
      </c>
      <c r="F6" s="3" t="s">
        <v>15</v>
      </c>
      <c r="G6" s="3" t="s">
        <v>17</v>
      </c>
      <c r="H6" s="3" t="s">
        <v>19</v>
      </c>
      <c r="I6" s="3" t="s">
        <v>64</v>
      </c>
      <c r="J6" s="3" t="s">
        <v>65</v>
      </c>
      <c r="K6" s="3" t="s">
        <v>20</v>
      </c>
      <c r="L6" s="3" t="s">
        <v>22</v>
      </c>
      <c r="M6" s="3" t="s">
        <v>23</v>
      </c>
      <c r="N6" s="3" t="s">
        <v>24</v>
      </c>
      <c r="O6" s="3" t="s">
        <v>26</v>
      </c>
      <c r="P6" s="3" t="s">
        <v>27</v>
      </c>
      <c r="Q6" s="3" t="s">
        <v>28</v>
      </c>
      <c r="R6" s="3" t="s">
        <v>29</v>
      </c>
      <c r="S6" s="3" t="s">
        <v>31</v>
      </c>
      <c r="T6" s="3" t="s">
        <v>32</v>
      </c>
      <c r="U6" s="3" t="s">
        <v>33</v>
      </c>
      <c r="V6" s="3" t="s">
        <v>34</v>
      </c>
      <c r="W6" s="3" t="s">
        <v>35</v>
      </c>
      <c r="X6" s="3" t="s">
        <v>36</v>
      </c>
      <c r="Y6" s="3" t="s">
        <v>37</v>
      </c>
      <c r="Z6" s="3" t="s">
        <v>38</v>
      </c>
      <c r="AA6" s="3" t="s">
        <v>39</v>
      </c>
      <c r="AB6" s="3" t="s">
        <v>40</v>
      </c>
      <c r="AC6" s="3" t="s">
        <v>41</v>
      </c>
      <c r="AD6" s="3" t="s">
        <v>42</v>
      </c>
      <c r="AE6" s="3" t="s">
        <v>43</v>
      </c>
      <c r="AF6" s="3" t="s">
        <v>44</v>
      </c>
      <c r="AG6" s="3" t="s">
        <v>45</v>
      </c>
      <c r="AH6" s="16" t="s">
        <v>47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COUNTA(Ožujak[[#This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COUNTA(Ožujak[[#This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COUNTA(Ožujak[[#This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COUNTA(Ožujak[[#This Row],[1]:[31]])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COUNTA(Ožujak[[#This Row],[1]:[31]])</f>
        <v>0</v>
      </c>
    </row>
    <row r="12" spans="2:34" ht="30" customHeight="1" x14ac:dyDescent="0.25">
      <c r="B12" s="21" t="str">
        <f>NazivMjeseca&amp;" Ukupno"</f>
        <v>Ožujak Ukupno</v>
      </c>
      <c r="C12" s="13">
        <f>SUBTOTAL(103,Ožujak[1])</f>
        <v>0</v>
      </c>
      <c r="D12" s="13">
        <f>SUBTOTAL(103,Ožujak[2])</f>
        <v>0</v>
      </c>
      <c r="E12" s="13">
        <f>SUBTOTAL(103,Ožujak[3])</f>
        <v>0</v>
      </c>
      <c r="F12" s="13">
        <f>SUBTOTAL(103,Ožujak[4])</f>
        <v>0</v>
      </c>
      <c r="G12" s="13">
        <f>SUBTOTAL(103,Ožujak[5])</f>
        <v>0</v>
      </c>
      <c r="H12" s="13">
        <f>SUBTOTAL(103,Ožujak[6])</f>
        <v>0</v>
      </c>
      <c r="I12" s="13">
        <f>SUBTOTAL(103,Ožujak[7])</f>
        <v>0</v>
      </c>
      <c r="J12" s="13">
        <f>SUBTOTAL(103,Ožujak[8])</f>
        <v>0</v>
      </c>
      <c r="K12" s="13">
        <f>SUBTOTAL(103,Ožujak[9])</f>
        <v>0</v>
      </c>
      <c r="L12" s="13">
        <f>SUBTOTAL(103,Ožujak[10])</f>
        <v>0</v>
      </c>
      <c r="M12" s="13">
        <f>SUBTOTAL(103,Ožujak[11])</f>
        <v>0</v>
      </c>
      <c r="N12" s="13">
        <f>SUBTOTAL(103,Ožujak[12])</f>
        <v>0</v>
      </c>
      <c r="O12" s="13">
        <f>SUBTOTAL(103,Ožujak[13])</f>
        <v>0</v>
      </c>
      <c r="P12" s="13">
        <f>SUBTOTAL(103,Ožujak[14])</f>
        <v>0</v>
      </c>
      <c r="Q12" s="13">
        <f>SUBTOTAL(103,Ožujak[15])</f>
        <v>0</v>
      </c>
      <c r="R12" s="13">
        <f>SUBTOTAL(103,Ožujak[16])</f>
        <v>0</v>
      </c>
      <c r="S12" s="13">
        <f>SUBTOTAL(103,Ožujak[17])</f>
        <v>0</v>
      </c>
      <c r="T12" s="13">
        <f>SUBTOTAL(103,Ožujak[18])</f>
        <v>0</v>
      </c>
      <c r="U12" s="13">
        <f>SUBTOTAL(103,Ožujak[19])</f>
        <v>0</v>
      </c>
      <c r="V12" s="13">
        <f>SUBTOTAL(103,Ožujak[20])</f>
        <v>0</v>
      </c>
      <c r="W12" s="13">
        <f>SUBTOTAL(103,Ožujak[21])</f>
        <v>0</v>
      </c>
      <c r="X12" s="13">
        <f>SUBTOTAL(103,Ožujak[22])</f>
        <v>0</v>
      </c>
      <c r="Y12" s="13">
        <f>SUBTOTAL(103,Ožujak[23])</f>
        <v>0</v>
      </c>
      <c r="Z12" s="13">
        <f>SUBTOTAL(103,Ožujak[24])</f>
        <v>0</v>
      </c>
      <c r="AA12" s="13">
        <f>SUBTOTAL(103,Ožujak[25])</f>
        <v>0</v>
      </c>
      <c r="AB12" s="13">
        <f>SUBTOTAL(103,Ožujak[26])</f>
        <v>0</v>
      </c>
      <c r="AC12" s="13">
        <f>SUBTOTAL(103,Ožujak[27])</f>
        <v>0</v>
      </c>
      <c r="AD12" s="13">
        <f>SUBTOTAL(103,Ožujak[28])</f>
        <v>0</v>
      </c>
      <c r="AE12" s="13">
        <f>SUBTOTAL(103,Ožujak[29])</f>
        <v>0</v>
      </c>
      <c r="AF12" s="13">
        <f>SUBTOTAL(103,Ožujak[30])</f>
        <v>0</v>
      </c>
      <c r="AG12" s="13">
        <f>SUBTOTAL(103,Ožujak[31])</f>
        <v>0</v>
      </c>
      <c r="AH12" s="13">
        <f>SUBTOTAL(109,Ožujak[UkupnoDana])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445" priority="2" stopIfTrue="1">
      <formula>C7=OznakaPrilagođeno2</formula>
    </cfRule>
    <cfRule type="expression" dxfId="444" priority="3" stopIfTrue="1">
      <formula>C7=OznakaPrilagođeno1</formula>
    </cfRule>
    <cfRule type="expression" dxfId="443" priority="4" stopIfTrue="1">
      <formula>C7=OznakaBolovanje</formula>
    </cfRule>
    <cfRule type="expression" dxfId="442" priority="5" stopIfTrue="1">
      <formula>C7=OznakaOsobniRazlozi</formula>
    </cfRule>
    <cfRule type="expression" dxfId="441" priority="6" stopIfTrue="1">
      <formula>C7=OznakaGodišnjiOdmor</formula>
    </cfRule>
  </conditionalFormatting>
  <conditionalFormatting sqref="AH7:AH11">
    <cfRule type="dataBar" priority="7">
      <dataBar>
        <cfvo type="min"/>
        <cfvo type="formula" val="DATEDIF(DATE(KalendarskaGodina,2,1),DATE(KalendarskaGodina,3,1),&quot;d&quot;)"/>
        <color theme="2" tint="-0.249977111117893"/>
      </dataBar>
      <extLst>
        <ext xmlns:x14="http://schemas.microsoft.com/office/spreadsheetml/2009/9/main" uri="{B025F937-C7B1-47D3-B67F-A62EFF666E3E}">
          <x14:id>{7C2B6C3E-666E-4369-8C57-FD32A7D03A3C}</x14:id>
        </ext>
      </extLst>
    </cfRule>
  </conditionalFormatting>
  <dataValidations count="14">
    <dataValidation allowBlank="1" showInputMessage="1" showErrorMessage="1" prompt="U ovom se retku automatski generiraju dani u mjesecu. Unesite izostanak zaposlenika i vrstu izostanka u svaki stupac za svaki dan u mjesecu. Prazno znači da nema izostanaka" sqref="C6" xr:uid="{00000000-0002-0000-0200-000000000000}"/>
    <dataValidation allowBlank="1" showInputMessage="1" showErrorMessage="1" prompt="Dani u tjednu u ovom retku automatski se ažuriraju za mjesec u skladu s godinom u ćeliji AH4. Svaki je dan u mjesecu stupac za bilježenje zaposlenikova izostanka i vrste izostanka" sqref="C5" xr:uid="{00000000-0002-0000-0200-000001000000}"/>
    <dataValidation allowBlank="1" showInputMessage="1" showErrorMessage="1" prompt="U ovoj se ćeliji nalazi naziv mjeseca za ovaj raspored izostanaka. Ukupni brojevi izostanaka za trenutni mjesec nalaze se u posljednjoj ćeliji tablice. Odaberite imena zaposlenika u stupcu B tablice" sqref="B4" xr:uid="{00000000-0002-0000-0200-000002000000}"/>
    <dataValidation allowBlank="1" showInputMessage="1" showErrorMessage="1" prompt="Ovaj redak definira oznake koje se koriste u tablici: ćelija C2 je Godišnji odmor, G2 Osobni razlozi, K2 Bolovanje. Ćelije N2 i R2 mogu se prilagoditi." sqref="B2" xr:uid="{00000000-0002-0000-0200-000003000000}"/>
    <dataValidation allowBlank="1" showInputMessage="1" showErrorMessage="1" prompt="Unesite natpis da biste opisali prilagođenu oznaku zdesna" sqref="O2:Q2 S2:U2" xr:uid="{00000000-0002-0000-0200-000004000000}"/>
    <dataValidation allowBlank="1" showInputMessage="1" showErrorMessage="1" prompt="Unesite slovo i prilagodite natpis zdesna da biste dodali još jednu stavku oznake" sqref="N2 R2" xr:uid="{00000000-0002-0000-0200-000005000000}"/>
    <dataValidation allowBlank="1" showInputMessage="1" showErrorMessage="1" prompt="Slovo &quot;B&quot; označava izostanak zbog bolesti" sqref="K2" xr:uid="{00000000-0002-0000-0200-000006000000}"/>
    <dataValidation allowBlank="1" showInputMessage="1" showErrorMessage="1" prompt="Sovo &quot;O&quot; označava izostanak iz osobnih razloga" sqref="G2" xr:uid="{00000000-0002-0000-0200-000007000000}"/>
    <dataValidation allowBlank="1" showInputMessage="1" showErrorMessage="1" prompt="Slovo &quot;G&quot; označava izostanak zbog godišnjeg odmora" sqref="C2" xr:uid="{00000000-0002-0000-0200-000008000000}"/>
    <dataValidation allowBlank="1" showInputMessage="1" showErrorMessage="1" prompt="U ovoj se ćeliji nalazi automatski ažurirani naslov. Da biste izmijenili naslov, ažurirajte ćeliju B1 na radnom listu Siječanj" sqref="B1" xr:uid="{00000000-0002-0000-0200-000009000000}"/>
    <dataValidation errorStyle="warning" allowBlank="1" showInputMessage="1" showErrorMessage="1" error="Odaberite ime s popisa. Odaberite ODUSTANI, a zatim pritisnite ALT + STRELICA DOLJE, a zatim ENTER za odabir imena" prompt="Unesite imena zaposlenika na radnom listu Imena zaposlenika, a zatim odaberite jedno od tih imena s popisa u ovom stupcu. Pritisnite ALT + STRELICA DOLJE, a zatim ENTER za odabir imena" sqref="B6" xr:uid="{00000000-0002-0000-0200-00000A000000}"/>
    <dataValidation allowBlank="1" showInputMessage="1" showErrorMessage="1" prompt="Na ovom radnom listu evidentirajte izostanke za ožujak" sqref="A1" xr:uid="{00000000-0002-0000-0200-00000B000000}"/>
    <dataValidation allowBlank="1" showInputMessage="1" showErrorMessage="1" prompt="U ovom stupcu automatski izračunava ukupan broj dana tijekom kojih je zaposlenik izostao ovog mjeseca" sqref="AH6" xr:uid="{00000000-0002-0000-0200-00000C000000}"/>
    <dataValidation allowBlank="1" showInputMessage="1" showErrorMessage="1" prompt="Automatski ažurirana godina na temelju godine unesene na radnom listu Siječanj" sqref="AH4" xr:uid="{00000000-0002-0000-0200-00000D000000}"/>
  </dataValidations>
  <printOptions horizontalCentered="1"/>
  <pageMargins left="0.25" right="0.25" top="0.75" bottom="0.75" header="0.3" footer="0.3"/>
  <pageSetup paperSize="9" scale="64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2B6C3E-666E-4369-8C57-FD32A7D03A3C}">
            <x14:dataBar minLength="0" maxLength="100">
              <x14:cfvo type="autoMin"/>
              <x14:cfvo type="formula">
                <xm:f>DATEDIF(DATE(KalendarskaGodina,2,1),DATE(KalendarskaGodina,3,1),"d")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E000000}">
          <x14:formula1>
            <xm:f>'Imena zaposlenika'!$B$4:$B$8</xm:f>
          </x14:formula1>
          <xm:sqref>B7:B11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249977111117893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5.7109375" style="11" customWidth="1"/>
    <col min="34" max="34" width="17.140625" style="11" customWidth="1"/>
    <col min="35" max="35" width="2.7109375" customWidth="1"/>
  </cols>
  <sheetData>
    <row r="1" spans="2:34" ht="50.1" customHeight="1" x14ac:dyDescent="0.25">
      <c r="B1" s="14" t="str">
        <f>Naslov_Izostanak_zaposlenika</f>
        <v>Raspored izostanaka zaposlenika</v>
      </c>
    </row>
    <row r="2" spans="2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14</v>
      </c>
      <c r="H2" s="25" t="s">
        <v>18</v>
      </c>
      <c r="I2" s="25"/>
      <c r="J2" s="25"/>
      <c r="K2" s="6" t="s">
        <v>16</v>
      </c>
      <c r="L2" s="25" t="s">
        <v>21</v>
      </c>
      <c r="M2" s="25"/>
      <c r="N2" s="7"/>
      <c r="O2" s="25" t="s">
        <v>25</v>
      </c>
      <c r="P2" s="25"/>
      <c r="Q2" s="25"/>
      <c r="R2" s="8"/>
      <c r="S2" s="25" t="s">
        <v>30</v>
      </c>
      <c r="T2" s="25"/>
      <c r="U2" s="25"/>
    </row>
    <row r="3" spans="2:34" ht="15" customHeight="1" x14ac:dyDescent="0.25">
      <c r="B3" s="14"/>
    </row>
    <row r="4" spans="2:34" ht="30" customHeight="1" x14ac:dyDescent="0.25">
      <c r="B4" s="12" t="s">
        <v>52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KalendarskaGodina</f>
        <v>2019</v>
      </c>
    </row>
    <row r="5" spans="2:34" ht="15" customHeight="1" x14ac:dyDescent="0.25">
      <c r="B5" s="12"/>
      <c r="C5" s="2" t="str">
        <f>TEXT(WEEKDAY(DATE(KalendarskaGodina,4,1),1),"aaa")</f>
        <v>pon</v>
      </c>
      <c r="D5" s="2" t="str">
        <f>TEXT(WEEKDAY(DATE(KalendarskaGodina,4,2),1),"aaa")</f>
        <v>uto</v>
      </c>
      <c r="E5" s="2" t="str">
        <f>TEXT(WEEKDAY(DATE(KalendarskaGodina,4,3),1),"aaa")</f>
        <v>sri</v>
      </c>
      <c r="F5" s="2" t="str">
        <f>TEXT(WEEKDAY(DATE(KalendarskaGodina,4,4),1),"aaa")</f>
        <v>čet</v>
      </c>
      <c r="G5" s="2" t="str">
        <f>TEXT(WEEKDAY(DATE(KalendarskaGodina,4,5),1),"aaa")</f>
        <v>pet</v>
      </c>
      <c r="H5" s="2" t="str">
        <f>TEXT(WEEKDAY(DATE(KalendarskaGodina,4,6),1),"aaa")</f>
        <v>sub</v>
      </c>
      <c r="I5" s="2" t="str">
        <f>TEXT(WEEKDAY(DATE(KalendarskaGodina,4,7),1),"aaa")</f>
        <v>ned</v>
      </c>
      <c r="J5" s="2" t="str">
        <f>TEXT(WEEKDAY(DATE(KalendarskaGodina,4,8),1),"aaa")</f>
        <v>pon</v>
      </c>
      <c r="K5" s="2" t="str">
        <f>TEXT(WEEKDAY(DATE(KalendarskaGodina,4,9),1),"aaa")</f>
        <v>uto</v>
      </c>
      <c r="L5" s="2" t="str">
        <f>TEXT(WEEKDAY(DATE(KalendarskaGodina,4,10),1),"aaa")</f>
        <v>sri</v>
      </c>
      <c r="M5" s="2" t="str">
        <f>TEXT(WEEKDAY(DATE(KalendarskaGodina,4,11),1),"aaa")</f>
        <v>čet</v>
      </c>
      <c r="N5" s="2" t="str">
        <f>TEXT(WEEKDAY(DATE(KalendarskaGodina,4,12),1),"aaa")</f>
        <v>pet</v>
      </c>
      <c r="O5" s="2" t="str">
        <f>TEXT(WEEKDAY(DATE(KalendarskaGodina,4,13),1),"aaa")</f>
        <v>sub</v>
      </c>
      <c r="P5" s="2" t="str">
        <f>TEXT(WEEKDAY(DATE(KalendarskaGodina,4,14),1),"aaa")</f>
        <v>ned</v>
      </c>
      <c r="Q5" s="2" t="str">
        <f>TEXT(WEEKDAY(DATE(KalendarskaGodina,4,15),1),"aaa")</f>
        <v>pon</v>
      </c>
      <c r="R5" s="2" t="str">
        <f>TEXT(WEEKDAY(DATE(KalendarskaGodina,4,16),1),"aaa")</f>
        <v>uto</v>
      </c>
      <c r="S5" s="2" t="str">
        <f>TEXT(WEEKDAY(DATE(KalendarskaGodina,4,17),1),"aaa")</f>
        <v>sri</v>
      </c>
      <c r="T5" s="2" t="str">
        <f>TEXT(WEEKDAY(DATE(KalendarskaGodina,4,18),1),"aaa")</f>
        <v>čet</v>
      </c>
      <c r="U5" s="2" t="str">
        <f>TEXT(WEEKDAY(DATE(KalendarskaGodina,4,19),1),"aaa")</f>
        <v>pet</v>
      </c>
      <c r="V5" s="2" t="str">
        <f>TEXT(WEEKDAY(DATE(KalendarskaGodina,4,20),1),"aaa")</f>
        <v>sub</v>
      </c>
      <c r="W5" s="2" t="str">
        <f>TEXT(WEEKDAY(DATE(KalendarskaGodina,4,21),1),"aaa")</f>
        <v>ned</v>
      </c>
      <c r="X5" s="2" t="str">
        <f>TEXT(WEEKDAY(DATE(KalendarskaGodina,4,22),1),"aaa")</f>
        <v>pon</v>
      </c>
      <c r="Y5" s="2" t="str">
        <f>TEXT(WEEKDAY(DATE(KalendarskaGodina,4,23),1),"aaa")</f>
        <v>uto</v>
      </c>
      <c r="Z5" s="2" t="str">
        <f>TEXT(WEEKDAY(DATE(KalendarskaGodina,4,24),1),"aaa")</f>
        <v>sri</v>
      </c>
      <c r="AA5" s="2" t="str">
        <f>TEXT(WEEKDAY(DATE(KalendarskaGodina,4,25),1),"aaa")</f>
        <v>čet</v>
      </c>
      <c r="AB5" s="2" t="str">
        <f>TEXT(WEEKDAY(DATE(KalendarskaGodina,4,26),1),"aaa")</f>
        <v>pet</v>
      </c>
      <c r="AC5" s="2" t="str">
        <f>TEXT(WEEKDAY(DATE(KalendarskaGodina,4,27),1),"aaa")</f>
        <v>sub</v>
      </c>
      <c r="AD5" s="2" t="str">
        <f>TEXT(WEEKDAY(DATE(KalendarskaGodina,4,28),1),"aaa")</f>
        <v>ned</v>
      </c>
      <c r="AE5" s="2" t="str">
        <f>TEXT(WEEKDAY(DATE(KalendarskaGodina,4,29),1),"aaa")</f>
        <v>pon</v>
      </c>
      <c r="AF5" s="2" t="str">
        <f>TEXT(WEEKDAY(DATE(KalendarskaGodina,4,30),1),"aaa")</f>
        <v>uto</v>
      </c>
      <c r="AG5" s="2"/>
      <c r="AH5" s="12"/>
    </row>
    <row r="6" spans="2:34" ht="15" customHeight="1" x14ac:dyDescent="0.25">
      <c r="B6" s="15" t="s">
        <v>3</v>
      </c>
      <c r="C6" s="3" t="s">
        <v>11</v>
      </c>
      <c r="D6" s="3" t="s">
        <v>13</v>
      </c>
      <c r="E6" s="3" t="s">
        <v>63</v>
      </c>
      <c r="F6" s="3" t="s">
        <v>15</v>
      </c>
      <c r="G6" s="3" t="s">
        <v>17</v>
      </c>
      <c r="H6" s="3" t="s">
        <v>19</v>
      </c>
      <c r="I6" s="3" t="s">
        <v>64</v>
      </c>
      <c r="J6" s="3" t="s">
        <v>65</v>
      </c>
      <c r="K6" s="3" t="s">
        <v>20</v>
      </c>
      <c r="L6" s="3" t="s">
        <v>22</v>
      </c>
      <c r="M6" s="3" t="s">
        <v>23</v>
      </c>
      <c r="N6" s="3" t="s">
        <v>24</v>
      </c>
      <c r="O6" s="3" t="s">
        <v>26</v>
      </c>
      <c r="P6" s="3" t="s">
        <v>27</v>
      </c>
      <c r="Q6" s="3" t="s">
        <v>28</v>
      </c>
      <c r="R6" s="3" t="s">
        <v>29</v>
      </c>
      <c r="S6" s="3" t="s">
        <v>31</v>
      </c>
      <c r="T6" s="3" t="s">
        <v>32</v>
      </c>
      <c r="U6" s="3" t="s">
        <v>33</v>
      </c>
      <c r="V6" s="3" t="s">
        <v>34</v>
      </c>
      <c r="W6" s="3" t="s">
        <v>35</v>
      </c>
      <c r="X6" s="3" t="s">
        <v>36</v>
      </c>
      <c r="Y6" s="3" t="s">
        <v>37</v>
      </c>
      <c r="Z6" s="3" t="s">
        <v>38</v>
      </c>
      <c r="AA6" s="3" t="s">
        <v>39</v>
      </c>
      <c r="AB6" s="3" t="s">
        <v>40</v>
      </c>
      <c r="AC6" s="3" t="s">
        <v>41</v>
      </c>
      <c r="AD6" s="3" t="s">
        <v>42</v>
      </c>
      <c r="AE6" s="3" t="s">
        <v>43</v>
      </c>
      <c r="AF6" s="3" t="s">
        <v>44</v>
      </c>
      <c r="AG6" s="23" t="s">
        <v>49</v>
      </c>
      <c r="AH6" s="16" t="s">
        <v>53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COUNTA(Travanj[[#This Row],[1]:[30]])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COUNTA(Travanj[[#This Row],[1]:[30]])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COUNTA(Travanj[[#This Row],[1]:[30]])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COUNTA(Travanj[[#This Row],[1]:[30]])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COUNTA(Travanj[[#This Row],[1]:[30]])</f>
        <v>0</v>
      </c>
    </row>
    <row r="12" spans="2:34" ht="30" customHeight="1" x14ac:dyDescent="0.25">
      <c r="B12" s="21" t="str">
        <f>NazivMjeseca&amp;" Ukupno"</f>
        <v>Travanj Ukupno</v>
      </c>
      <c r="C12" s="13">
        <f>SUBTOTAL(103,Travanj[1])</f>
        <v>0</v>
      </c>
      <c r="D12" s="13">
        <f>SUBTOTAL(103,Travanj[2])</f>
        <v>0</v>
      </c>
      <c r="E12" s="13">
        <f>SUBTOTAL(103,Travanj[3])</f>
        <v>0</v>
      </c>
      <c r="F12" s="13">
        <f>SUBTOTAL(103,Travanj[4])</f>
        <v>0</v>
      </c>
      <c r="G12" s="13">
        <f>SUBTOTAL(103,Travanj[5])</f>
        <v>0</v>
      </c>
      <c r="H12" s="13">
        <f>SUBTOTAL(103,Travanj[6])</f>
        <v>0</v>
      </c>
      <c r="I12" s="13">
        <f>SUBTOTAL(103,Travanj[7])</f>
        <v>0</v>
      </c>
      <c r="J12" s="13">
        <f>SUBTOTAL(103,Travanj[8])</f>
        <v>0</v>
      </c>
      <c r="K12" s="13">
        <f>SUBTOTAL(103,Travanj[9])</f>
        <v>0</v>
      </c>
      <c r="L12" s="13">
        <f>SUBTOTAL(103,Travanj[10])</f>
        <v>0</v>
      </c>
      <c r="M12" s="13">
        <f>SUBTOTAL(103,Travanj[11])</f>
        <v>0</v>
      </c>
      <c r="N12" s="13">
        <f>SUBTOTAL(103,Travanj[12])</f>
        <v>0</v>
      </c>
      <c r="O12" s="13">
        <f>SUBTOTAL(103,Travanj[13])</f>
        <v>0</v>
      </c>
      <c r="P12" s="13">
        <f>SUBTOTAL(103,Travanj[14])</f>
        <v>0</v>
      </c>
      <c r="Q12" s="13">
        <f>SUBTOTAL(103,Travanj[15])</f>
        <v>0</v>
      </c>
      <c r="R12" s="13">
        <f>SUBTOTAL(103,Travanj[16])</f>
        <v>0</v>
      </c>
      <c r="S12" s="13">
        <f>SUBTOTAL(103,Travanj[17])</f>
        <v>0</v>
      </c>
      <c r="T12" s="13">
        <f>SUBTOTAL(103,Travanj[18])</f>
        <v>0</v>
      </c>
      <c r="U12" s="13">
        <f>SUBTOTAL(103,Travanj[19])</f>
        <v>0</v>
      </c>
      <c r="V12" s="13">
        <f>SUBTOTAL(103,Travanj[20])</f>
        <v>0</v>
      </c>
      <c r="W12" s="13">
        <f>SUBTOTAL(103,Travanj[21])</f>
        <v>0</v>
      </c>
      <c r="X12" s="13">
        <f>SUBTOTAL(103,Travanj[22])</f>
        <v>0</v>
      </c>
      <c r="Y12" s="13">
        <f>SUBTOTAL(103,Travanj[23])</f>
        <v>0</v>
      </c>
      <c r="Z12" s="13">
        <f>SUBTOTAL(103,Travanj[24])</f>
        <v>0</v>
      </c>
      <c r="AA12" s="13">
        <f>SUBTOTAL(103,Travanj[25])</f>
        <v>0</v>
      </c>
      <c r="AB12" s="13">
        <f>SUBTOTAL(103,Travanj[26])</f>
        <v>0</v>
      </c>
      <c r="AC12" s="13">
        <f>SUBTOTAL(103,Travanj[27])</f>
        <v>0</v>
      </c>
      <c r="AD12" s="13">
        <f>SUBTOTAL(103,Travanj[28])</f>
        <v>0</v>
      </c>
      <c r="AE12" s="13">
        <f>SUBTOTAL(103,Travanj[29])</f>
        <v>0</v>
      </c>
      <c r="AF12" s="13">
        <f>SUBTOTAL(103,Travanj[30])</f>
        <v>0</v>
      </c>
      <c r="AG12" s="13">
        <f>SUBTOTAL(103,Travanj[30])</f>
        <v>0</v>
      </c>
      <c r="AH12" s="13">
        <f>SUBTOTAL(109,Travanj[Ukupno dana])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440" priority="2" stopIfTrue="1">
      <formula>C7=OznakaPrilagođeno2</formula>
    </cfRule>
    <cfRule type="expression" dxfId="439" priority="3" stopIfTrue="1">
      <formula>C7=OznakaPrilagođeno1</formula>
    </cfRule>
    <cfRule type="expression" dxfId="438" priority="4" stopIfTrue="1">
      <formula>C7=OznakaBolovanje</formula>
    </cfRule>
    <cfRule type="expression" dxfId="437" priority="5" stopIfTrue="1">
      <formula>C7=OznakaOsobniRazlozi</formula>
    </cfRule>
    <cfRule type="expression" dxfId="436" priority="6" stopIfTrue="1">
      <formula>C7=OznakaGodišnjiOdmor</formula>
    </cfRule>
  </conditionalFormatting>
  <conditionalFormatting sqref="AH7:AH11">
    <cfRule type="dataBar" priority="7">
      <dataBar>
        <cfvo type="min"/>
        <cfvo type="formula" val="DATEDIF(DATE(KalendarskaGodina,2,1),DATE(KalendarskaGodina,3,1),&quot;d&quot;)"/>
        <color theme="2" tint="-0.249977111117893"/>
      </dataBar>
      <extLst>
        <ext xmlns:x14="http://schemas.microsoft.com/office/spreadsheetml/2009/9/main" uri="{B025F937-C7B1-47D3-B67F-A62EFF666E3E}">
          <x14:id>{0C86709F-D813-4066-A3F1-C30F11214F4B}</x14:id>
        </ext>
      </extLst>
    </cfRule>
  </conditionalFormatting>
  <dataValidations count="14">
    <dataValidation allowBlank="1" showInputMessage="1" showErrorMessage="1" prompt="Automatski ažurirana godina na temelju godine unesene na radnom listu Siječanj" sqref="AH4" xr:uid="{00000000-0002-0000-0300-000000000000}"/>
    <dataValidation allowBlank="1" showInputMessage="1" showErrorMessage="1" prompt="U ovom stupcu automatski izračunava ukupan broj dana tijekom kojih je zaposlenik izostao ovog mjeseca" sqref="AH6" xr:uid="{00000000-0002-0000-0300-000001000000}"/>
    <dataValidation allowBlank="1" showInputMessage="1" showErrorMessage="1" prompt="Na ovom radnom listu evidentirajte izostanke za travanj" sqref="A1" xr:uid="{00000000-0002-0000-0300-000002000000}"/>
    <dataValidation errorStyle="warning" allowBlank="1" showInputMessage="1" showErrorMessage="1" error="Odaberite ime s popisa. Odaberite ODUSTANI, a zatim pritisnite ALT + STRELICA DOLJE, a zatim ENTER za odabir imena" prompt="Unesite imena zaposlenika na radnom listu Imena zaposlenika, a zatim odaberite jedno od tih imena s popisa u ovom stupcu. Pritisnite ALT + STRELICA DOLJE, a zatim ENTER za odabir imena" sqref="B6" xr:uid="{00000000-0002-0000-0300-000003000000}"/>
    <dataValidation allowBlank="1" showInputMessage="1" showErrorMessage="1" prompt="U ovoj se ćeliji nalazi automatski ažurirani naslov. Da biste izmijenili naslov, ažurirajte ćeliju B1 na radnom listu Siječanj" sqref="B1" xr:uid="{00000000-0002-0000-0300-000004000000}"/>
    <dataValidation allowBlank="1" showInputMessage="1" showErrorMessage="1" prompt="Slovo &quot;G&quot; označava izostanak zbog godišnjeg odmora" sqref="C2" xr:uid="{00000000-0002-0000-0300-000005000000}"/>
    <dataValidation allowBlank="1" showInputMessage="1" showErrorMessage="1" prompt="Sovo &quot;O&quot; označava izostanak iz osobnih razloga" sqref="G2" xr:uid="{00000000-0002-0000-0300-000006000000}"/>
    <dataValidation allowBlank="1" showInputMessage="1" showErrorMessage="1" prompt="Slovo &quot;B&quot; označava izostanak zbog bolesti" sqref="K2" xr:uid="{00000000-0002-0000-0300-000007000000}"/>
    <dataValidation allowBlank="1" showInputMessage="1" showErrorMessage="1" prompt="Unesite slovo i prilagodite natpis zdesna da biste dodali još jednu stavku oznake" sqref="N2 R2" xr:uid="{00000000-0002-0000-0300-000008000000}"/>
    <dataValidation allowBlank="1" showInputMessage="1" showErrorMessage="1" prompt="Unesite natpis da biste opisali prilagođenu oznaku zdesna" sqref="O2:Q2 S2:U2" xr:uid="{00000000-0002-0000-0300-000009000000}"/>
    <dataValidation allowBlank="1" showInputMessage="1" showErrorMessage="1" prompt="Ovaj redak definira oznake koje se koriste u tablici: ćelija C2 je Godišnji odmor, G2 Osobni razlozi, K2 Bolovanje. Ćelije N2 i R2 mogu se prilagoditi." sqref="B2" xr:uid="{00000000-0002-0000-0300-00000A000000}"/>
    <dataValidation allowBlank="1" showInputMessage="1" showErrorMessage="1" prompt="U ovoj se ćeliji nalazi naziv mjeseca za ovaj raspored izostanaka. Ukupni brojevi izostanaka za trenutni mjesec nalaze se u posljednjoj ćeliji tablice. Odaberite imena zaposlenika u stupcu B tablice" sqref="B4" xr:uid="{00000000-0002-0000-0300-00000B000000}"/>
    <dataValidation allowBlank="1" showInputMessage="1" showErrorMessage="1" prompt="U ovom se retku automatski generiraju dani u mjesecu. Unesite izostanak zaposlenika i vrstu izostanka u svaki stupac za svaki dan u mjesecu. Prazno znači da nema izostanaka" sqref="C6" xr:uid="{00000000-0002-0000-0300-00000C000000}"/>
    <dataValidation allowBlank="1" showInputMessage="1" showErrorMessage="1" prompt="Dani u tjednu u ovom retku automatski se ažuriraju za mjesec u skladu s godinom u ćeliji AH4. Svaki je dan u mjesecu stupac za bilježenje zaposlenikova izostanka i vrste izostanka" sqref="C5" xr:uid="{00000000-0002-0000-0300-00000D000000}"/>
  </dataValidations>
  <printOptions horizontalCentered="1"/>
  <pageMargins left="0.25" right="0.25" top="0.75" bottom="0.75" header="0.3" footer="0.3"/>
  <pageSetup paperSize="9" scale="64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C86709F-D813-4066-A3F1-C30F11214F4B}">
            <x14:dataBar minLength="0" maxLength="100">
              <x14:cfvo type="autoMin"/>
              <x14:cfvo type="formula">
                <xm:f>DATEDIF(DATE(KalendarskaGodina,2,1),DATE(KalendarskaGodina,3,1),"d")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E000000}">
          <x14:formula1>
            <xm:f>'Imena zaposlenika'!$B$4:$B$8</xm:f>
          </x14:formula1>
          <xm:sqref>B7:B11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9.9978637043366805E-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5.7109375" style="11" customWidth="1"/>
    <col min="34" max="34" width="17.140625" style="11" customWidth="1"/>
    <col min="35" max="35" width="2.7109375" customWidth="1"/>
  </cols>
  <sheetData>
    <row r="1" spans="2:34" ht="50.1" customHeight="1" x14ac:dyDescent="0.25">
      <c r="B1" s="14" t="str">
        <f>Naslov_Izostanak_zaposlenika</f>
        <v>Raspored izostanaka zaposlenika</v>
      </c>
    </row>
    <row r="2" spans="2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14</v>
      </c>
      <c r="H2" s="25" t="s">
        <v>18</v>
      </c>
      <c r="I2" s="25"/>
      <c r="J2" s="25"/>
      <c r="K2" s="6" t="s">
        <v>16</v>
      </c>
      <c r="L2" s="25" t="s">
        <v>21</v>
      </c>
      <c r="M2" s="25"/>
      <c r="N2" s="7"/>
      <c r="O2" s="25" t="s">
        <v>25</v>
      </c>
      <c r="P2" s="25"/>
      <c r="Q2" s="25"/>
      <c r="R2" s="8"/>
      <c r="S2" s="25" t="s">
        <v>30</v>
      </c>
      <c r="T2" s="25"/>
      <c r="U2" s="25"/>
    </row>
    <row r="3" spans="2:34" ht="15" customHeight="1" x14ac:dyDescent="0.25">
      <c r="B3" s="14"/>
    </row>
    <row r="4" spans="2:34" ht="30" customHeight="1" x14ac:dyDescent="0.25">
      <c r="B4" s="12" t="s">
        <v>62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KalendarskaGodina</f>
        <v>2019</v>
      </c>
    </row>
    <row r="5" spans="2:34" ht="15" customHeight="1" x14ac:dyDescent="0.25">
      <c r="B5" s="12"/>
      <c r="C5" s="2" t="str">
        <f>TEXT(WEEKDAY(DATE(KalendarskaGodina,5,1),1),"aaa")</f>
        <v>sri</v>
      </c>
      <c r="D5" s="2" t="str">
        <f>TEXT(WEEKDAY(DATE(KalendarskaGodina,5,2),1),"aaa")</f>
        <v>čet</v>
      </c>
      <c r="E5" s="2" t="str">
        <f>TEXT(WEEKDAY(DATE(KalendarskaGodina,5,3),1),"aaa")</f>
        <v>pet</v>
      </c>
      <c r="F5" s="2" t="str">
        <f>TEXT(WEEKDAY(DATE(KalendarskaGodina,5,4),1),"aaa")</f>
        <v>sub</v>
      </c>
      <c r="G5" s="2" t="str">
        <f>TEXT(WEEKDAY(DATE(KalendarskaGodina,5,5),1),"aaa")</f>
        <v>ned</v>
      </c>
      <c r="H5" s="2" t="str">
        <f>TEXT(WEEKDAY(DATE(KalendarskaGodina,5,6),1),"aaa")</f>
        <v>pon</v>
      </c>
      <c r="I5" s="2" t="str">
        <f>TEXT(WEEKDAY(DATE(KalendarskaGodina,5,7),1),"aaa")</f>
        <v>uto</v>
      </c>
      <c r="J5" s="2" t="str">
        <f>TEXT(WEEKDAY(DATE(KalendarskaGodina,5,8),1),"aaa")</f>
        <v>sri</v>
      </c>
      <c r="K5" s="2" t="str">
        <f>TEXT(WEEKDAY(DATE(KalendarskaGodina,5,9),1),"aaa")</f>
        <v>čet</v>
      </c>
      <c r="L5" s="2" t="str">
        <f>TEXT(WEEKDAY(DATE(KalendarskaGodina,5,10),1),"aaa")</f>
        <v>pet</v>
      </c>
      <c r="M5" s="2" t="str">
        <f>TEXT(WEEKDAY(DATE(KalendarskaGodina,5,11),1),"aaa")</f>
        <v>sub</v>
      </c>
      <c r="N5" s="2" t="str">
        <f>TEXT(WEEKDAY(DATE(KalendarskaGodina,5,12),1),"aaa")</f>
        <v>ned</v>
      </c>
      <c r="O5" s="2" t="str">
        <f>TEXT(WEEKDAY(DATE(KalendarskaGodina,5,13),1),"aaa")</f>
        <v>pon</v>
      </c>
      <c r="P5" s="2" t="str">
        <f>TEXT(WEEKDAY(DATE(KalendarskaGodina,5,14),1),"aaa")</f>
        <v>uto</v>
      </c>
      <c r="Q5" s="2" t="str">
        <f>TEXT(WEEKDAY(DATE(KalendarskaGodina,5,15),1),"aaa")</f>
        <v>sri</v>
      </c>
      <c r="R5" s="2" t="str">
        <f>TEXT(WEEKDAY(DATE(KalendarskaGodina,5,16),1),"aaa")</f>
        <v>čet</v>
      </c>
      <c r="S5" s="2" t="str">
        <f>TEXT(WEEKDAY(DATE(KalendarskaGodina,5,17),1),"aaa")</f>
        <v>pet</v>
      </c>
      <c r="T5" s="2" t="str">
        <f>TEXT(WEEKDAY(DATE(KalendarskaGodina,5,18),1),"aaa")</f>
        <v>sub</v>
      </c>
      <c r="U5" s="2" t="str">
        <f>TEXT(WEEKDAY(DATE(KalendarskaGodina,5,19),1),"aaa")</f>
        <v>ned</v>
      </c>
      <c r="V5" s="2" t="str">
        <f>TEXT(WEEKDAY(DATE(KalendarskaGodina,5,20),1),"aaa")</f>
        <v>pon</v>
      </c>
      <c r="W5" s="2" t="str">
        <f>TEXT(WEEKDAY(DATE(KalendarskaGodina,5,21),1),"aaa")</f>
        <v>uto</v>
      </c>
      <c r="X5" s="2" t="str">
        <f>TEXT(WEEKDAY(DATE(KalendarskaGodina,5,22),1),"aaa")</f>
        <v>sri</v>
      </c>
      <c r="Y5" s="2" t="str">
        <f>TEXT(WEEKDAY(DATE(KalendarskaGodina,5,23),1),"aaa")</f>
        <v>čet</v>
      </c>
      <c r="Z5" s="2" t="str">
        <f>TEXT(WEEKDAY(DATE(KalendarskaGodina,5,24),1),"aaa")</f>
        <v>pet</v>
      </c>
      <c r="AA5" s="2" t="str">
        <f>TEXT(WEEKDAY(DATE(KalendarskaGodina,5,25),1),"aaa")</f>
        <v>sub</v>
      </c>
      <c r="AB5" s="2" t="str">
        <f>TEXT(WEEKDAY(DATE(KalendarskaGodina,5,26),1),"aaa")</f>
        <v>ned</v>
      </c>
      <c r="AC5" s="2" t="str">
        <f>TEXT(WEEKDAY(DATE(KalendarskaGodina,5,27),1),"aaa")</f>
        <v>pon</v>
      </c>
      <c r="AD5" s="2" t="str">
        <f>TEXT(WEEKDAY(DATE(KalendarskaGodina,5,28),1),"aaa")</f>
        <v>uto</v>
      </c>
      <c r="AE5" s="2" t="str">
        <f>TEXT(WEEKDAY(DATE(KalendarskaGodina,5,29),1),"aaa")</f>
        <v>sri</v>
      </c>
      <c r="AF5" s="2" t="str">
        <f>TEXT(WEEKDAY(DATE(KalendarskaGodina,5,30),1),"aaa")</f>
        <v>čet</v>
      </c>
      <c r="AG5" s="2" t="str">
        <f>TEXT(WEEKDAY(DATE(KalendarskaGodina,5,31),1),"aaa")</f>
        <v>pet</v>
      </c>
      <c r="AH5" s="12"/>
    </row>
    <row r="6" spans="2:34" ht="15" customHeight="1" x14ac:dyDescent="0.25">
      <c r="B6" s="15" t="s">
        <v>3</v>
      </c>
      <c r="C6" s="3" t="s">
        <v>11</v>
      </c>
      <c r="D6" s="3" t="s">
        <v>13</v>
      </c>
      <c r="E6" s="3" t="s">
        <v>63</v>
      </c>
      <c r="F6" s="3" t="s">
        <v>15</v>
      </c>
      <c r="G6" s="3" t="s">
        <v>17</v>
      </c>
      <c r="H6" s="3" t="s">
        <v>19</v>
      </c>
      <c r="I6" s="3" t="s">
        <v>64</v>
      </c>
      <c r="J6" s="3" t="s">
        <v>65</v>
      </c>
      <c r="K6" s="3" t="s">
        <v>20</v>
      </c>
      <c r="L6" s="3" t="s">
        <v>22</v>
      </c>
      <c r="M6" s="3" t="s">
        <v>23</v>
      </c>
      <c r="N6" s="3" t="s">
        <v>24</v>
      </c>
      <c r="O6" s="3" t="s">
        <v>26</v>
      </c>
      <c r="P6" s="3" t="s">
        <v>27</v>
      </c>
      <c r="Q6" s="3" t="s">
        <v>28</v>
      </c>
      <c r="R6" s="3" t="s">
        <v>29</v>
      </c>
      <c r="S6" s="3" t="s">
        <v>31</v>
      </c>
      <c r="T6" s="3" t="s">
        <v>32</v>
      </c>
      <c r="U6" s="3" t="s">
        <v>33</v>
      </c>
      <c r="V6" s="3" t="s">
        <v>34</v>
      </c>
      <c r="W6" s="3" t="s">
        <v>35</v>
      </c>
      <c r="X6" s="3" t="s">
        <v>36</v>
      </c>
      <c r="Y6" s="3" t="s">
        <v>37</v>
      </c>
      <c r="Z6" s="3" t="s">
        <v>38</v>
      </c>
      <c r="AA6" s="3" t="s">
        <v>39</v>
      </c>
      <c r="AB6" s="3" t="s">
        <v>40</v>
      </c>
      <c r="AC6" s="3" t="s">
        <v>41</v>
      </c>
      <c r="AD6" s="3" t="s">
        <v>42</v>
      </c>
      <c r="AE6" s="3" t="s">
        <v>43</v>
      </c>
      <c r="AF6" s="3" t="s">
        <v>44</v>
      </c>
      <c r="AG6" s="3" t="s">
        <v>45</v>
      </c>
      <c r="AH6" s="16" t="s">
        <v>47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COUNTA(Svibanj[[#This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COUNTA(Svibanj[[#This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COUNTA(Svibanj[[#This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COUNTA(Svibanj[[#This Row],[1]:[31]])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COUNTA(Svibanj[[#This Row],[1]:[31]])</f>
        <v>0</v>
      </c>
    </row>
    <row r="12" spans="2:34" ht="30" customHeight="1" x14ac:dyDescent="0.25">
      <c r="B12" s="21" t="str">
        <f>NazivMjeseca&amp;" Ukupno"</f>
        <v>Svibanj Ukupno</v>
      </c>
      <c r="C12" s="13">
        <f>SUBTOTAL(103,Svibanj[1])</f>
        <v>0</v>
      </c>
      <c r="D12" s="13">
        <f>SUBTOTAL(103,Svibanj[2])</f>
        <v>0</v>
      </c>
      <c r="E12" s="13">
        <f>SUBTOTAL(103,Svibanj[3])</f>
        <v>0</v>
      </c>
      <c r="F12" s="13">
        <f>SUBTOTAL(103,Svibanj[4])</f>
        <v>0</v>
      </c>
      <c r="G12" s="13">
        <f>SUBTOTAL(103,Svibanj[5])</f>
        <v>0</v>
      </c>
      <c r="H12" s="13">
        <f>SUBTOTAL(103,Svibanj[6])</f>
        <v>0</v>
      </c>
      <c r="I12" s="13">
        <f>SUBTOTAL(103,Svibanj[7])</f>
        <v>0</v>
      </c>
      <c r="J12" s="13">
        <f>SUBTOTAL(103,Svibanj[8])</f>
        <v>0</v>
      </c>
      <c r="K12" s="13">
        <f>SUBTOTAL(103,Svibanj[9])</f>
        <v>0</v>
      </c>
      <c r="L12" s="13">
        <f>SUBTOTAL(103,Svibanj[10])</f>
        <v>0</v>
      </c>
      <c r="M12" s="13">
        <f>SUBTOTAL(103,Svibanj[11])</f>
        <v>0</v>
      </c>
      <c r="N12" s="13">
        <f>SUBTOTAL(103,Svibanj[12])</f>
        <v>0</v>
      </c>
      <c r="O12" s="13">
        <f>SUBTOTAL(103,Svibanj[13])</f>
        <v>0</v>
      </c>
      <c r="P12" s="13">
        <f>SUBTOTAL(103,Svibanj[14])</f>
        <v>0</v>
      </c>
      <c r="Q12" s="13">
        <f>SUBTOTAL(103,Svibanj[15])</f>
        <v>0</v>
      </c>
      <c r="R12" s="13">
        <f>SUBTOTAL(103,Svibanj[16])</f>
        <v>0</v>
      </c>
      <c r="S12" s="13">
        <f>SUBTOTAL(103,Svibanj[17])</f>
        <v>0</v>
      </c>
      <c r="T12" s="13">
        <f>SUBTOTAL(103,Svibanj[18])</f>
        <v>0</v>
      </c>
      <c r="U12" s="13">
        <f>SUBTOTAL(103,Svibanj[19])</f>
        <v>0</v>
      </c>
      <c r="V12" s="13">
        <f>SUBTOTAL(103,Svibanj[20])</f>
        <v>0</v>
      </c>
      <c r="W12" s="13">
        <f>SUBTOTAL(103,Svibanj[21])</f>
        <v>0</v>
      </c>
      <c r="X12" s="13">
        <f>SUBTOTAL(103,Svibanj[22])</f>
        <v>0</v>
      </c>
      <c r="Y12" s="13">
        <f>SUBTOTAL(103,Svibanj[23])</f>
        <v>0</v>
      </c>
      <c r="Z12" s="13">
        <f>SUBTOTAL(103,Svibanj[24])</f>
        <v>0</v>
      </c>
      <c r="AA12" s="13">
        <f>SUBTOTAL(103,Svibanj[25])</f>
        <v>0</v>
      </c>
      <c r="AB12" s="13">
        <f>SUBTOTAL(103,Svibanj[26])</f>
        <v>0</v>
      </c>
      <c r="AC12" s="13">
        <f>SUBTOTAL(103,Svibanj[27])</f>
        <v>0</v>
      </c>
      <c r="AD12" s="13">
        <f>SUBTOTAL(103,Svibanj[28])</f>
        <v>0</v>
      </c>
      <c r="AE12" s="13">
        <f>SUBTOTAL(103,Svibanj[29])</f>
        <v>0</v>
      </c>
      <c r="AF12" s="13">
        <f>SUBTOTAL(103,Svibanj[30])</f>
        <v>0</v>
      </c>
      <c r="AG12" s="13">
        <f>SUBTOTAL(103,Svibanj[31])</f>
        <v>0</v>
      </c>
      <c r="AH12" s="13">
        <f>SUBTOTAL(109,Svibanj[UkupnoDana])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435" priority="2" stopIfTrue="1">
      <formula>C7=OznakaPrilagođeno2</formula>
    </cfRule>
    <cfRule type="expression" dxfId="434" priority="3" stopIfTrue="1">
      <formula>C7=OznakaPrilagođeno1</formula>
    </cfRule>
    <cfRule type="expression" dxfId="433" priority="4" stopIfTrue="1">
      <formula>C7=OznakaBolovanje</formula>
    </cfRule>
    <cfRule type="expression" dxfId="432" priority="5" stopIfTrue="1">
      <formula>C7=OznakaOsobniRazlozi</formula>
    </cfRule>
    <cfRule type="expression" dxfId="431" priority="6" stopIfTrue="1">
      <formula>C7=OznakaGodišnjiOdmor</formula>
    </cfRule>
  </conditionalFormatting>
  <conditionalFormatting sqref="AH7:AH11">
    <cfRule type="dataBar" priority="7">
      <dataBar>
        <cfvo type="min"/>
        <cfvo type="formula" val="DATEDIF(DATE(KalendarskaGodina,2,1),DATE(KalendarskaGodina,3,1),&quot;d&quot;)"/>
        <color theme="2" tint="-0.249977111117893"/>
      </dataBar>
      <extLst>
        <ext xmlns:x14="http://schemas.microsoft.com/office/spreadsheetml/2009/9/main" uri="{B025F937-C7B1-47D3-B67F-A62EFF666E3E}">
          <x14:id>{5670947F-8B3C-4A6C-A280-4F5E10811DCE}</x14:id>
        </ext>
      </extLst>
    </cfRule>
  </conditionalFormatting>
  <dataValidations count="14">
    <dataValidation allowBlank="1" showInputMessage="1" showErrorMessage="1" prompt="U ovom se retku automatski generiraju dani u mjesecu. Unesite izostanak zaposlenika i vrstu izostanka u svaki stupac za svaki dan u mjesecu. Prazno znači da nema izostanaka" sqref="C6" xr:uid="{00000000-0002-0000-0400-000000000000}"/>
    <dataValidation allowBlank="1" showInputMessage="1" showErrorMessage="1" prompt="U ovoj se ćeliji nalazi naziv mjeseca za ovaj raspored izostanaka. Ukupni brojevi izostanaka za trenutni mjesec nalaze se u posljednjoj ćeliji tablice. Odaberite imena zaposlenika u stupcu B tablice" sqref="B4" xr:uid="{00000000-0002-0000-0400-000001000000}"/>
    <dataValidation allowBlank="1" showInputMessage="1" showErrorMessage="1" prompt="Ovaj redak definira oznake koje se koriste u tablici: ćelija C2 je Godišnji odmor, G2 Osobni razlozi, K2 Bolovanje. Ćelije N2 i R2 mogu se prilagoditi." sqref="B2" xr:uid="{00000000-0002-0000-0400-000002000000}"/>
    <dataValidation allowBlank="1" showInputMessage="1" showErrorMessage="1" prompt="Unesite natpis da biste opisali prilagođenu oznaku zdesna" sqref="O2:Q2 S2:U2" xr:uid="{00000000-0002-0000-0400-000003000000}"/>
    <dataValidation allowBlank="1" showInputMessage="1" showErrorMessage="1" prompt="Unesite slovo i prilagodite natpis zdesna da biste dodali još jednu stavku oznake" sqref="N2 R2" xr:uid="{00000000-0002-0000-0400-000004000000}"/>
    <dataValidation allowBlank="1" showInputMessage="1" showErrorMessage="1" prompt="Slovo &quot;B&quot; označava izostanak zbog bolesti" sqref="K2" xr:uid="{00000000-0002-0000-0400-000005000000}"/>
    <dataValidation allowBlank="1" showInputMessage="1" showErrorMessage="1" prompt="Sovo &quot;O&quot; označava izostanak iz osobnih razloga" sqref="G2" xr:uid="{00000000-0002-0000-0400-000006000000}"/>
    <dataValidation allowBlank="1" showInputMessage="1" showErrorMessage="1" prompt="Slovo &quot;G&quot; označava izostanak zbog godišnjeg odmora" sqref="C2" xr:uid="{00000000-0002-0000-0400-000007000000}"/>
    <dataValidation allowBlank="1" showInputMessage="1" showErrorMessage="1" prompt="U ovoj se ćeliji nalazi automatski ažurirani naslov. Da biste izmijenili naslov, ažurirajte ćeliju B1 na radnom listu Siječanj" sqref="B1" xr:uid="{00000000-0002-0000-0400-000008000000}"/>
    <dataValidation errorStyle="warning" allowBlank="1" showInputMessage="1" showErrorMessage="1" error="Odaberite ime s popisa. Odaberite ODUSTANI, a zatim pritisnite ALT + STRELICA DOLJE, a zatim ENTER za odabir imena" prompt="Unesite imena zaposlenika na radnom listu Imena zaposlenika, a zatim odaberite jedno od tih imena s popisa u ovom stupcu. Pritisnite ALT + STRELICA DOLJE, a zatim ENTER za odabir imena" sqref="B6" xr:uid="{00000000-0002-0000-0400-000009000000}"/>
    <dataValidation allowBlank="1" showInputMessage="1" showErrorMessage="1" prompt="Na ovom radnom listu evidentirajte izostanke za svibanj" sqref="A1" xr:uid="{00000000-0002-0000-0400-00000A000000}"/>
    <dataValidation allowBlank="1" showInputMessage="1" showErrorMessage="1" prompt="U ovom stupcu automatski izračunava ukupan broj dana tijekom kojih je zaposlenik izostao ovog mjeseca" sqref="AH6" xr:uid="{00000000-0002-0000-0400-00000B000000}"/>
    <dataValidation allowBlank="1" showInputMessage="1" showErrorMessage="1" prompt="Automatski ažurirana godina na temelju godine unesene na radnom listu Siječanj" sqref="AH4" xr:uid="{00000000-0002-0000-0400-00000C000000}"/>
    <dataValidation allowBlank="1" showInputMessage="1" showErrorMessage="1" prompt="Dani u tjednu u ovom retku automatski se ažuriraju za mjesec u skladu s godinom u ćeliji AH4. Svaki je dan u mjesecu stupac za bilježenje zaposlenikova izostanka i vrste izostanka" sqref="C5" xr:uid="{00000000-0002-0000-0400-00000D000000}"/>
  </dataValidations>
  <printOptions horizontalCentered="1"/>
  <pageMargins left="0.25" right="0.25" top="0.75" bottom="0.75" header="0.3" footer="0.3"/>
  <pageSetup paperSize="9" scale="64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670947F-8B3C-4A6C-A280-4F5E10811DCE}">
            <x14:dataBar minLength="0" maxLength="100">
              <x14:cfvo type="autoMin"/>
              <x14:cfvo type="formula">
                <xm:f>DATEDIF(DATE(KalendarskaGodina,2,1),DATE(KalendarskaGodina,3,1),"d")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E000000}">
          <x14:formula1>
            <xm:f>'Imena zaposlenika'!$B$4:$B$8</xm:f>
          </x14:formula1>
          <xm:sqref>B7:B11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5.7109375" style="11" customWidth="1"/>
    <col min="34" max="34" width="17.140625" style="11" customWidth="1"/>
    <col min="35" max="35" width="2.7109375" customWidth="1"/>
  </cols>
  <sheetData>
    <row r="1" spans="2:34" ht="50.1" customHeight="1" x14ac:dyDescent="0.25">
      <c r="B1" s="14" t="str">
        <f>Naslov_Izostanak_zaposlenika</f>
        <v>Raspored izostanaka zaposlenika</v>
      </c>
    </row>
    <row r="2" spans="2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14</v>
      </c>
      <c r="H2" s="25" t="s">
        <v>18</v>
      </c>
      <c r="I2" s="25"/>
      <c r="J2" s="25"/>
      <c r="K2" s="6" t="s">
        <v>16</v>
      </c>
      <c r="L2" s="25" t="s">
        <v>21</v>
      </c>
      <c r="M2" s="25"/>
      <c r="N2" s="7"/>
      <c r="O2" s="25" t="s">
        <v>25</v>
      </c>
      <c r="P2" s="25"/>
      <c r="Q2" s="25"/>
      <c r="R2" s="8"/>
      <c r="S2" s="25" t="s">
        <v>30</v>
      </c>
      <c r="T2" s="25"/>
      <c r="U2" s="25"/>
    </row>
    <row r="3" spans="2:34" ht="15" customHeight="1" x14ac:dyDescent="0.25">
      <c r="B3" s="14"/>
    </row>
    <row r="4" spans="2:34" ht="30" customHeight="1" x14ac:dyDescent="0.25">
      <c r="B4" s="12" t="s">
        <v>54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KalendarskaGodina</f>
        <v>2019</v>
      </c>
    </row>
    <row r="5" spans="2:34" ht="15" customHeight="1" x14ac:dyDescent="0.25">
      <c r="B5" s="12"/>
      <c r="C5" s="2" t="str">
        <f>TEXT(WEEKDAY(DATE(KalendarskaGodina,6,1),1),"aaa")</f>
        <v>sub</v>
      </c>
      <c r="D5" s="2" t="str">
        <f>TEXT(WEEKDAY(DATE(KalendarskaGodina,6,2),1),"aaa")</f>
        <v>ned</v>
      </c>
      <c r="E5" s="2" t="str">
        <f>TEXT(WEEKDAY(DATE(KalendarskaGodina,6,3),1),"aaa")</f>
        <v>pon</v>
      </c>
      <c r="F5" s="2" t="str">
        <f>TEXT(WEEKDAY(DATE(KalendarskaGodina,6,4),1),"aaa")</f>
        <v>uto</v>
      </c>
      <c r="G5" s="2" t="str">
        <f>TEXT(WEEKDAY(DATE(KalendarskaGodina,6,5),1),"aaa")</f>
        <v>sri</v>
      </c>
      <c r="H5" s="2" t="str">
        <f>TEXT(WEEKDAY(DATE(KalendarskaGodina,6,6),1),"aaa")</f>
        <v>čet</v>
      </c>
      <c r="I5" s="2" t="str">
        <f>TEXT(WEEKDAY(DATE(KalendarskaGodina,6,7),1),"aaa")</f>
        <v>pet</v>
      </c>
      <c r="J5" s="2" t="str">
        <f>TEXT(WEEKDAY(DATE(KalendarskaGodina,6,8),1),"aaa")</f>
        <v>sub</v>
      </c>
      <c r="K5" s="2" t="str">
        <f>TEXT(WEEKDAY(DATE(KalendarskaGodina,6,9),1),"aaa")</f>
        <v>ned</v>
      </c>
      <c r="L5" s="2" t="str">
        <f>TEXT(WEEKDAY(DATE(KalendarskaGodina,6,10),1),"aaa")</f>
        <v>pon</v>
      </c>
      <c r="M5" s="2" t="str">
        <f>TEXT(WEEKDAY(DATE(KalendarskaGodina,6,11),1),"aaa")</f>
        <v>uto</v>
      </c>
      <c r="N5" s="2" t="str">
        <f>TEXT(WEEKDAY(DATE(KalendarskaGodina,6,12),1),"aaa")</f>
        <v>sri</v>
      </c>
      <c r="O5" s="2" t="str">
        <f>TEXT(WEEKDAY(DATE(KalendarskaGodina,6,13),1),"aaa")</f>
        <v>čet</v>
      </c>
      <c r="P5" s="2" t="str">
        <f>TEXT(WEEKDAY(DATE(KalendarskaGodina,6,14),1),"aaa")</f>
        <v>pet</v>
      </c>
      <c r="Q5" s="2" t="str">
        <f>TEXT(WEEKDAY(DATE(KalendarskaGodina,6,15),1),"aaa")</f>
        <v>sub</v>
      </c>
      <c r="R5" s="2" t="str">
        <f>TEXT(WEEKDAY(DATE(KalendarskaGodina,6,16),1),"aaa")</f>
        <v>ned</v>
      </c>
      <c r="S5" s="2" t="str">
        <f>TEXT(WEEKDAY(DATE(KalendarskaGodina,6,17),1),"aaa")</f>
        <v>pon</v>
      </c>
      <c r="T5" s="2" t="str">
        <f>TEXT(WEEKDAY(DATE(KalendarskaGodina,6,18),1),"aaa")</f>
        <v>uto</v>
      </c>
      <c r="U5" s="2" t="str">
        <f>TEXT(WEEKDAY(DATE(KalendarskaGodina,6,19),1),"aaa")</f>
        <v>sri</v>
      </c>
      <c r="V5" s="2" t="str">
        <f>TEXT(WEEKDAY(DATE(KalendarskaGodina,6,20),1),"aaa")</f>
        <v>čet</v>
      </c>
      <c r="W5" s="2" t="str">
        <f>TEXT(WEEKDAY(DATE(KalendarskaGodina,6,21),1),"aaa")</f>
        <v>pet</v>
      </c>
      <c r="X5" s="2" t="str">
        <f>TEXT(WEEKDAY(DATE(KalendarskaGodina,6,22),1),"aaa")</f>
        <v>sub</v>
      </c>
      <c r="Y5" s="2" t="str">
        <f>TEXT(WEEKDAY(DATE(KalendarskaGodina,6,23),1),"aaa")</f>
        <v>ned</v>
      </c>
      <c r="Z5" s="2" t="str">
        <f>TEXT(WEEKDAY(DATE(KalendarskaGodina,6,24),1),"aaa")</f>
        <v>pon</v>
      </c>
      <c r="AA5" s="2" t="str">
        <f>TEXT(WEEKDAY(DATE(KalendarskaGodina,6,25),1),"aaa")</f>
        <v>uto</v>
      </c>
      <c r="AB5" s="2" t="str">
        <f>TEXT(WEEKDAY(DATE(KalendarskaGodina,6,26),1),"aaa")</f>
        <v>sri</v>
      </c>
      <c r="AC5" s="2" t="str">
        <f>TEXT(WEEKDAY(DATE(KalendarskaGodina,6,27),1),"aaa")</f>
        <v>čet</v>
      </c>
      <c r="AD5" s="2" t="str">
        <f>TEXT(WEEKDAY(DATE(KalendarskaGodina,6,28),1),"aaa")</f>
        <v>pet</v>
      </c>
      <c r="AE5" s="2" t="str">
        <f>TEXT(WEEKDAY(DATE(KalendarskaGodina,6,29),1),"aaa")</f>
        <v>sub</v>
      </c>
      <c r="AF5" s="2" t="str">
        <f>TEXT(WEEKDAY(DATE(KalendarskaGodina,6,30),1),"aaa")</f>
        <v>ned</v>
      </c>
      <c r="AG5" s="2"/>
      <c r="AH5" s="12"/>
    </row>
    <row r="6" spans="2:34" ht="15" customHeight="1" x14ac:dyDescent="0.25">
      <c r="B6" s="15" t="s">
        <v>3</v>
      </c>
      <c r="C6" s="3" t="s">
        <v>11</v>
      </c>
      <c r="D6" s="3" t="s">
        <v>13</v>
      </c>
      <c r="E6" s="3" t="s">
        <v>63</v>
      </c>
      <c r="F6" s="3" t="s">
        <v>15</v>
      </c>
      <c r="G6" s="3" t="s">
        <v>17</v>
      </c>
      <c r="H6" s="3" t="s">
        <v>19</v>
      </c>
      <c r="I6" s="3" t="s">
        <v>64</v>
      </c>
      <c r="J6" s="3" t="s">
        <v>65</v>
      </c>
      <c r="K6" s="3" t="s">
        <v>20</v>
      </c>
      <c r="L6" s="3" t="s">
        <v>22</v>
      </c>
      <c r="M6" s="3" t="s">
        <v>23</v>
      </c>
      <c r="N6" s="3" t="s">
        <v>24</v>
      </c>
      <c r="O6" s="3" t="s">
        <v>26</v>
      </c>
      <c r="P6" s="3" t="s">
        <v>27</v>
      </c>
      <c r="Q6" s="3" t="s">
        <v>28</v>
      </c>
      <c r="R6" s="3" t="s">
        <v>29</v>
      </c>
      <c r="S6" s="3" t="s">
        <v>31</v>
      </c>
      <c r="T6" s="3" t="s">
        <v>32</v>
      </c>
      <c r="U6" s="3" t="s">
        <v>33</v>
      </c>
      <c r="V6" s="3" t="s">
        <v>34</v>
      </c>
      <c r="W6" s="3" t="s">
        <v>35</v>
      </c>
      <c r="X6" s="3" t="s">
        <v>36</v>
      </c>
      <c r="Y6" s="3" t="s">
        <v>37</v>
      </c>
      <c r="Z6" s="3" t="s">
        <v>38</v>
      </c>
      <c r="AA6" s="3" t="s">
        <v>39</v>
      </c>
      <c r="AB6" s="3" t="s">
        <v>40</v>
      </c>
      <c r="AC6" s="3" t="s">
        <v>41</v>
      </c>
      <c r="AD6" s="3" t="s">
        <v>42</v>
      </c>
      <c r="AE6" s="3" t="s">
        <v>43</v>
      </c>
      <c r="AF6" s="3" t="s">
        <v>44</v>
      </c>
      <c r="AG6" s="3" t="s">
        <v>49</v>
      </c>
      <c r="AH6" s="16" t="s">
        <v>53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COUNTA(Lipanj[[#This Row],[1]:[30]])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COUNTA(Lipanj[[#This Row],[1]:[30]])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COUNTA(Lipanj[[#This Row],[1]:[30]])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COUNTA(Lipanj[[#This Row],[1]:[30]])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COUNTA(Lipanj[[#This Row],[1]:[30]])</f>
        <v>0</v>
      </c>
    </row>
    <row r="12" spans="2:34" ht="30" customHeight="1" x14ac:dyDescent="0.25">
      <c r="B12" s="21" t="str">
        <f>NazivMjeseca&amp;" Ukupno"</f>
        <v>Lipanj Ukupno</v>
      </c>
      <c r="C12" s="13">
        <f>SUBTOTAL(103,Lipanj[1])</f>
        <v>0</v>
      </c>
      <c r="D12" s="13">
        <f>SUBTOTAL(103,Lipanj[2])</f>
        <v>0</v>
      </c>
      <c r="E12" s="13">
        <f>SUBTOTAL(103,Lipanj[3])</f>
        <v>0</v>
      </c>
      <c r="F12" s="13">
        <f>SUBTOTAL(103,Lipanj[4])</f>
        <v>0</v>
      </c>
      <c r="G12" s="13">
        <f>SUBTOTAL(103,Lipanj[5])</f>
        <v>0</v>
      </c>
      <c r="H12" s="13">
        <f>SUBTOTAL(103,Lipanj[6])</f>
        <v>0</v>
      </c>
      <c r="I12" s="13">
        <f>SUBTOTAL(103,Lipanj[7])</f>
        <v>0</v>
      </c>
      <c r="J12" s="13">
        <f>SUBTOTAL(103,Lipanj[8])</f>
        <v>0</v>
      </c>
      <c r="K12" s="13">
        <f>SUBTOTAL(103,Lipanj[9])</f>
        <v>0</v>
      </c>
      <c r="L12" s="13">
        <f>SUBTOTAL(103,Lipanj[10])</f>
        <v>0</v>
      </c>
      <c r="M12" s="13">
        <f>SUBTOTAL(103,Lipanj[11])</f>
        <v>0</v>
      </c>
      <c r="N12" s="13">
        <f>SUBTOTAL(103,Lipanj[12])</f>
        <v>0</v>
      </c>
      <c r="O12" s="13">
        <f>SUBTOTAL(103,Lipanj[13])</f>
        <v>0</v>
      </c>
      <c r="P12" s="13">
        <f>SUBTOTAL(103,Lipanj[14])</f>
        <v>0</v>
      </c>
      <c r="Q12" s="13">
        <f>SUBTOTAL(103,Lipanj[15])</f>
        <v>0</v>
      </c>
      <c r="R12" s="13">
        <f>SUBTOTAL(103,Lipanj[16])</f>
        <v>0</v>
      </c>
      <c r="S12" s="13">
        <f>SUBTOTAL(103,Lipanj[17])</f>
        <v>0</v>
      </c>
      <c r="T12" s="13">
        <f>SUBTOTAL(103,Lipanj[18])</f>
        <v>0</v>
      </c>
      <c r="U12" s="13">
        <f>SUBTOTAL(103,Lipanj[19])</f>
        <v>0</v>
      </c>
      <c r="V12" s="13">
        <f>SUBTOTAL(103,Lipanj[20])</f>
        <v>0</v>
      </c>
      <c r="W12" s="13">
        <f>SUBTOTAL(103,Lipanj[21])</f>
        <v>0</v>
      </c>
      <c r="X12" s="13">
        <f>SUBTOTAL(103,Lipanj[22])</f>
        <v>0</v>
      </c>
      <c r="Y12" s="13">
        <f>SUBTOTAL(103,Lipanj[23])</f>
        <v>0</v>
      </c>
      <c r="Z12" s="13">
        <f>SUBTOTAL(103,Lipanj[24])</f>
        <v>0</v>
      </c>
      <c r="AA12" s="13">
        <f>SUBTOTAL(103,Lipanj[25])</f>
        <v>0</v>
      </c>
      <c r="AB12" s="13">
        <f>SUBTOTAL(103,Lipanj[26])</f>
        <v>0</v>
      </c>
      <c r="AC12" s="13">
        <f>SUBTOTAL(103,Lipanj[27])</f>
        <v>0</v>
      </c>
      <c r="AD12" s="13">
        <f>SUBTOTAL(103,Lipanj[28])</f>
        <v>0</v>
      </c>
      <c r="AE12" s="13">
        <f>SUBTOTAL(103,Lipanj[29])</f>
        <v>0</v>
      </c>
      <c r="AF12" s="13">
        <f>SUBTOTAL(103,Lipanj[30])</f>
        <v>0</v>
      </c>
      <c r="AG12" s="13">
        <f>SUBTOTAL(103,Lipanj[[ ]])</f>
        <v>0</v>
      </c>
      <c r="AH12" s="13">
        <f>SUBTOTAL(109,Lipanj[Ukupno dana])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430" priority="2" stopIfTrue="1">
      <formula>C7=OznakaPrilagođeno2</formula>
    </cfRule>
    <cfRule type="expression" dxfId="429" priority="3" stopIfTrue="1">
      <formula>C7=OznakaPrilagođeno1</formula>
    </cfRule>
    <cfRule type="expression" dxfId="428" priority="4" stopIfTrue="1">
      <formula>C7=OznakaBolovanje</formula>
    </cfRule>
    <cfRule type="expression" dxfId="427" priority="5" stopIfTrue="1">
      <formula>C7=OznakaOsobniRazlozi</formula>
    </cfRule>
    <cfRule type="expression" dxfId="426" priority="6" stopIfTrue="1">
      <formula>C7=OznakaGodišnjiOdmor</formula>
    </cfRule>
  </conditionalFormatting>
  <conditionalFormatting sqref="AH7:AH11">
    <cfRule type="dataBar" priority="7">
      <dataBar>
        <cfvo type="min"/>
        <cfvo type="formula" val="DATEDIF(DATE(KalendarskaGodina,2,1),DATE(KalendarskaGodina,3,1),&quot;d&quot;)"/>
        <color theme="2" tint="-0.249977111117893"/>
      </dataBar>
      <extLst>
        <ext xmlns:x14="http://schemas.microsoft.com/office/spreadsheetml/2009/9/main" uri="{B025F937-C7B1-47D3-B67F-A62EFF666E3E}">
          <x14:id>{5E94D469-7B22-408B-924D-8DC8A136AD3B}</x14:id>
        </ext>
      </extLst>
    </cfRule>
  </conditionalFormatting>
  <dataValidations count="14">
    <dataValidation allowBlank="1" showInputMessage="1" showErrorMessage="1" prompt="Dani u tjednu u ovom retku automatski se ažuriraju za mjesec u skladu s godinom u ćeliji AH4. Svaki je dan u mjesecu stupac za bilježenje zaposlenikova izostanka i vrste izostanka" sqref="C5" xr:uid="{00000000-0002-0000-0500-000000000000}"/>
    <dataValidation allowBlank="1" showInputMessage="1" showErrorMessage="1" prompt="Automatski ažurirana godina na temelju godine unesene na radnom listu Siječanj" sqref="AH4" xr:uid="{00000000-0002-0000-0500-000001000000}"/>
    <dataValidation allowBlank="1" showInputMessage="1" showErrorMessage="1" prompt="U ovom stupcu automatski izračunava ukupan broj dana tijekom kojih je zaposlenik izostao ovog mjeseca" sqref="AH6" xr:uid="{00000000-0002-0000-0500-000002000000}"/>
    <dataValidation allowBlank="1" showInputMessage="1" showErrorMessage="1" prompt="Na ovom radnom listu evidentirajte izostanke za lipanj" sqref="A1" xr:uid="{00000000-0002-0000-0500-000003000000}"/>
    <dataValidation errorStyle="warning" allowBlank="1" showInputMessage="1" showErrorMessage="1" error="Odaberite ime s popisa. Odaberite ODUSTANI, a zatim pritisnite ALT + STRELICA DOLJE, a zatim ENTER za odabir imena" prompt="Unesite imena zaposlenika na radnom listu Imena zaposlenika, a zatim odaberite jedno od tih imena s popisa u ovom stupcu. Pritisnite ALT + STRELICA DOLJE, a zatim ENTER za odabir imena" sqref="B6" xr:uid="{00000000-0002-0000-0500-000004000000}"/>
    <dataValidation allowBlank="1" showInputMessage="1" showErrorMessage="1" prompt="U ovoj se ćeliji nalazi automatski ažurirani naslov. Da biste izmijenili naslov, ažurirajte ćeliju B1 na radnom listu Siječanj" sqref="B1" xr:uid="{00000000-0002-0000-0500-000005000000}"/>
    <dataValidation allowBlank="1" showInputMessage="1" showErrorMessage="1" prompt="Slovo &quot;G&quot; označava izostanak zbog godišnjeg odmora" sqref="C2" xr:uid="{00000000-0002-0000-0500-000006000000}"/>
    <dataValidation allowBlank="1" showInputMessage="1" showErrorMessage="1" prompt="Sovo &quot;O&quot; označava izostanak iz osobnih razloga" sqref="G2" xr:uid="{00000000-0002-0000-0500-000007000000}"/>
    <dataValidation allowBlank="1" showInputMessage="1" showErrorMessage="1" prompt="Slovo &quot;B&quot; označava izostanak zbog bolesti" sqref="K2" xr:uid="{00000000-0002-0000-0500-000008000000}"/>
    <dataValidation allowBlank="1" showInputMessage="1" showErrorMessage="1" prompt="Unesite slovo i prilagodite natpis zdesna da biste dodali još jednu stavku oznake" sqref="N2 R2" xr:uid="{00000000-0002-0000-0500-000009000000}"/>
    <dataValidation allowBlank="1" showInputMessage="1" showErrorMessage="1" prompt="Unesite natpis da biste opisali prilagođenu oznaku zdesna" sqref="O2:Q2 S2:U2" xr:uid="{00000000-0002-0000-0500-00000A000000}"/>
    <dataValidation allowBlank="1" showInputMessage="1" showErrorMessage="1" prompt="Ovaj redak definira oznake koje se koriste u tablici: ćelija C2 je Godišnji odmor, G2 Osobni razlozi, K2 Bolovanje. Ćelije N2 i R2 mogu se prilagoditi." sqref="B2" xr:uid="{00000000-0002-0000-0500-00000B000000}"/>
    <dataValidation allowBlank="1" showInputMessage="1" showErrorMessage="1" prompt="U ovoj se ćeliji nalazi naziv mjeseca za ovaj raspored izostanaka. Ukupni brojevi izostanaka za trenutni mjesec nalaze se u posljednjoj ćeliji tablice. Odaberite imena zaposlenika u stupcu B tablice" sqref="B4" xr:uid="{00000000-0002-0000-0500-00000C000000}"/>
    <dataValidation allowBlank="1" showInputMessage="1" showErrorMessage="1" prompt="U ovom se retku automatski generiraju dani u mjesecu. Unesite izostanak zaposlenika i vrstu izostanka u svaki stupac za svaki dan u mjesecu. Prazno znači da nema izostanaka" sqref="C6" xr:uid="{00000000-0002-0000-0500-00000D000000}"/>
  </dataValidations>
  <printOptions horizontalCentered="1"/>
  <pageMargins left="0.25" right="0.25" top="0.75" bottom="0.75" header="0.3" footer="0.3"/>
  <pageSetup paperSize="9" scale="64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E94D469-7B22-408B-924D-8DC8A136AD3B}">
            <x14:dataBar minLength="0" maxLength="100">
              <x14:cfvo type="autoMin"/>
              <x14:cfvo type="formula">
                <xm:f>DATEDIF(DATE(KalendarskaGodina,2,1),DATE(KalendarskaGodina,3,1),"d")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E000000}">
          <x14:formula1>
            <xm:f>'Imena zaposlenika'!$B$4:$B$8</xm:f>
          </x14:formula1>
          <xm:sqref>B7:B11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1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5.7109375" style="11" customWidth="1"/>
    <col min="34" max="34" width="17.140625" style="11" customWidth="1"/>
    <col min="35" max="35" width="2.7109375" customWidth="1"/>
  </cols>
  <sheetData>
    <row r="1" spans="2:34" ht="50.1" customHeight="1" x14ac:dyDescent="0.25">
      <c r="B1" s="14" t="str">
        <f>Naslov_Izostanak_zaposlenika</f>
        <v>Raspored izostanaka zaposlenika</v>
      </c>
    </row>
    <row r="2" spans="2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14</v>
      </c>
      <c r="H2" s="25" t="s">
        <v>18</v>
      </c>
      <c r="I2" s="25"/>
      <c r="J2" s="25"/>
      <c r="K2" s="6" t="s">
        <v>16</v>
      </c>
      <c r="L2" s="25" t="s">
        <v>21</v>
      </c>
      <c r="M2" s="25"/>
      <c r="N2" s="7"/>
      <c r="O2" s="25" t="s">
        <v>25</v>
      </c>
      <c r="P2" s="25"/>
      <c r="Q2" s="25"/>
      <c r="R2" s="8"/>
      <c r="S2" s="25" t="s">
        <v>30</v>
      </c>
      <c r="T2" s="25"/>
      <c r="U2" s="25"/>
    </row>
    <row r="3" spans="2:34" ht="15" customHeight="1" x14ac:dyDescent="0.25">
      <c r="B3" s="14"/>
    </row>
    <row r="4" spans="2:34" ht="30" customHeight="1" x14ac:dyDescent="0.25">
      <c r="B4" s="12" t="s">
        <v>55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KalendarskaGodina</f>
        <v>2019</v>
      </c>
    </row>
    <row r="5" spans="2:34" ht="15" customHeight="1" x14ac:dyDescent="0.25">
      <c r="B5" s="12"/>
      <c r="C5" s="2" t="str">
        <f>TEXT(WEEKDAY(DATE(KalendarskaGodina,7,1),1),"aaa")</f>
        <v>pon</v>
      </c>
      <c r="D5" s="2" t="str">
        <f>TEXT(WEEKDAY(DATE(KalendarskaGodina,7,2),1),"aaa")</f>
        <v>uto</v>
      </c>
      <c r="E5" s="2" t="str">
        <f>TEXT(WEEKDAY(DATE(KalendarskaGodina,7,3),1),"aaa")</f>
        <v>sri</v>
      </c>
      <c r="F5" s="2" t="str">
        <f>TEXT(WEEKDAY(DATE(KalendarskaGodina,7,4),1),"aaa")</f>
        <v>čet</v>
      </c>
      <c r="G5" s="2" t="str">
        <f>TEXT(WEEKDAY(DATE(KalendarskaGodina,7,5),1),"aaa")</f>
        <v>pet</v>
      </c>
      <c r="H5" s="2" t="str">
        <f>TEXT(WEEKDAY(DATE(KalendarskaGodina,7,6),1),"aaa")</f>
        <v>sub</v>
      </c>
      <c r="I5" s="2" t="str">
        <f>TEXT(WEEKDAY(DATE(KalendarskaGodina,7,7),1),"aaa")</f>
        <v>ned</v>
      </c>
      <c r="J5" s="2" t="str">
        <f>TEXT(WEEKDAY(DATE(KalendarskaGodina,7,8),1),"aaa")</f>
        <v>pon</v>
      </c>
      <c r="K5" s="2" t="str">
        <f>TEXT(WEEKDAY(DATE(KalendarskaGodina,7,9),1),"aaa")</f>
        <v>uto</v>
      </c>
      <c r="L5" s="2" t="str">
        <f>TEXT(WEEKDAY(DATE(KalendarskaGodina,7,10),1),"aaa")</f>
        <v>sri</v>
      </c>
      <c r="M5" s="2" t="str">
        <f>TEXT(WEEKDAY(DATE(KalendarskaGodina,7,11),1),"aaa")</f>
        <v>čet</v>
      </c>
      <c r="N5" s="2" t="str">
        <f>TEXT(WEEKDAY(DATE(KalendarskaGodina,7,12),1),"aaa")</f>
        <v>pet</v>
      </c>
      <c r="O5" s="2" t="str">
        <f>TEXT(WEEKDAY(DATE(KalendarskaGodina,7,13),1),"aaa")</f>
        <v>sub</v>
      </c>
      <c r="P5" s="2" t="str">
        <f>TEXT(WEEKDAY(DATE(KalendarskaGodina,7,14),1),"aaa")</f>
        <v>ned</v>
      </c>
      <c r="Q5" s="2" t="str">
        <f>TEXT(WEEKDAY(DATE(KalendarskaGodina,7,15),1),"aaa")</f>
        <v>pon</v>
      </c>
      <c r="R5" s="2" t="str">
        <f>TEXT(WEEKDAY(DATE(KalendarskaGodina,7,16),1),"aaa")</f>
        <v>uto</v>
      </c>
      <c r="S5" s="2" t="str">
        <f>TEXT(WEEKDAY(DATE(KalendarskaGodina,7,17),1),"aaa")</f>
        <v>sri</v>
      </c>
      <c r="T5" s="2" t="str">
        <f>TEXT(WEEKDAY(DATE(KalendarskaGodina,7,18),1),"aaa")</f>
        <v>čet</v>
      </c>
      <c r="U5" s="2" t="str">
        <f>TEXT(WEEKDAY(DATE(KalendarskaGodina,7,19),1),"aaa")</f>
        <v>pet</v>
      </c>
      <c r="V5" s="2" t="str">
        <f>TEXT(WEEKDAY(DATE(KalendarskaGodina,7,20),1),"aaa")</f>
        <v>sub</v>
      </c>
      <c r="W5" s="2" t="str">
        <f>TEXT(WEEKDAY(DATE(KalendarskaGodina,7,21),1),"aaa")</f>
        <v>ned</v>
      </c>
      <c r="X5" s="2" t="str">
        <f>TEXT(WEEKDAY(DATE(KalendarskaGodina,7,22),1),"aaa")</f>
        <v>pon</v>
      </c>
      <c r="Y5" s="2" t="str">
        <f>TEXT(WEEKDAY(DATE(KalendarskaGodina,7,23),1),"aaa")</f>
        <v>uto</v>
      </c>
      <c r="Z5" s="2" t="str">
        <f>TEXT(WEEKDAY(DATE(KalendarskaGodina,7,24),1),"aaa")</f>
        <v>sri</v>
      </c>
      <c r="AA5" s="2" t="str">
        <f>TEXT(WEEKDAY(DATE(KalendarskaGodina,7,25),1),"aaa")</f>
        <v>čet</v>
      </c>
      <c r="AB5" s="2" t="str">
        <f>TEXT(WEEKDAY(DATE(KalendarskaGodina,7,26),1),"aaa")</f>
        <v>pet</v>
      </c>
      <c r="AC5" s="2" t="str">
        <f>TEXT(WEEKDAY(DATE(KalendarskaGodina,7,27),1),"aaa")</f>
        <v>sub</v>
      </c>
      <c r="AD5" s="2" t="str">
        <f>TEXT(WEEKDAY(DATE(KalendarskaGodina,7,28),1),"aaa")</f>
        <v>ned</v>
      </c>
      <c r="AE5" s="2" t="str">
        <f>TEXT(WEEKDAY(DATE(KalendarskaGodina,7,29),1),"aaa")</f>
        <v>pon</v>
      </c>
      <c r="AF5" s="2" t="str">
        <f>TEXT(WEEKDAY(DATE(KalendarskaGodina,7,30),1),"aaa")</f>
        <v>uto</v>
      </c>
      <c r="AG5" s="2" t="str">
        <f>TEXT(WEEKDAY(DATE(KalendarskaGodina,7,31),1),"aaa")</f>
        <v>sri</v>
      </c>
      <c r="AH5" s="12"/>
    </row>
    <row r="6" spans="2:34" ht="15" customHeight="1" x14ac:dyDescent="0.25">
      <c r="B6" s="15" t="s">
        <v>3</v>
      </c>
      <c r="C6" s="3" t="s">
        <v>11</v>
      </c>
      <c r="D6" s="3" t="s">
        <v>13</v>
      </c>
      <c r="E6" s="3" t="s">
        <v>63</v>
      </c>
      <c r="F6" s="3" t="s">
        <v>15</v>
      </c>
      <c r="G6" s="3" t="s">
        <v>17</v>
      </c>
      <c r="H6" s="3" t="s">
        <v>19</v>
      </c>
      <c r="I6" s="3" t="s">
        <v>64</v>
      </c>
      <c r="J6" s="3" t="s">
        <v>65</v>
      </c>
      <c r="K6" s="3" t="s">
        <v>20</v>
      </c>
      <c r="L6" s="3" t="s">
        <v>22</v>
      </c>
      <c r="M6" s="3" t="s">
        <v>23</v>
      </c>
      <c r="N6" s="3" t="s">
        <v>24</v>
      </c>
      <c r="O6" s="3" t="s">
        <v>26</v>
      </c>
      <c r="P6" s="3" t="s">
        <v>27</v>
      </c>
      <c r="Q6" s="3" t="s">
        <v>28</v>
      </c>
      <c r="R6" s="3" t="s">
        <v>29</v>
      </c>
      <c r="S6" s="3" t="s">
        <v>31</v>
      </c>
      <c r="T6" s="3" t="s">
        <v>32</v>
      </c>
      <c r="U6" s="3" t="s">
        <v>33</v>
      </c>
      <c r="V6" s="3" t="s">
        <v>34</v>
      </c>
      <c r="W6" s="3" t="s">
        <v>35</v>
      </c>
      <c r="X6" s="3" t="s">
        <v>36</v>
      </c>
      <c r="Y6" s="3" t="s">
        <v>37</v>
      </c>
      <c r="Z6" s="3" t="s">
        <v>38</v>
      </c>
      <c r="AA6" s="3" t="s">
        <v>39</v>
      </c>
      <c r="AB6" s="3" t="s">
        <v>40</v>
      </c>
      <c r="AC6" s="3" t="s">
        <v>41</v>
      </c>
      <c r="AD6" s="3" t="s">
        <v>42</v>
      </c>
      <c r="AE6" s="3" t="s">
        <v>43</v>
      </c>
      <c r="AF6" s="3" t="s">
        <v>44</v>
      </c>
      <c r="AG6" s="3" t="s">
        <v>45</v>
      </c>
      <c r="AH6" s="16" t="s">
        <v>47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COUNTA(Srpanj[[#This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COUNTA(Srpanj[[#This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COUNTA(Srpanj[[#This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COUNTA(Srpanj[[#This Row],[1]:[31]])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COUNTA(Srpanj[[#This Row],[1]:[31]])</f>
        <v>0</v>
      </c>
    </row>
    <row r="12" spans="2:34" ht="30" customHeight="1" x14ac:dyDescent="0.25">
      <c r="B12" s="21" t="str">
        <f>NazivMjeseca&amp;" Ukupno"</f>
        <v>Srpanj Ukupno</v>
      </c>
      <c r="C12" s="13">
        <f>SUBTOTAL(103,Srpanj[1])</f>
        <v>0</v>
      </c>
      <c r="D12" s="13">
        <f>SUBTOTAL(103,Srpanj[2])</f>
        <v>0</v>
      </c>
      <c r="E12" s="13">
        <f>SUBTOTAL(103,Srpanj[3])</f>
        <v>0</v>
      </c>
      <c r="F12" s="13">
        <f>SUBTOTAL(103,Srpanj[4])</f>
        <v>0</v>
      </c>
      <c r="G12" s="13">
        <f>SUBTOTAL(103,Srpanj[5])</f>
        <v>0</v>
      </c>
      <c r="H12" s="13">
        <f>SUBTOTAL(103,Srpanj[6])</f>
        <v>0</v>
      </c>
      <c r="I12" s="13">
        <f>SUBTOTAL(103,Srpanj[7])</f>
        <v>0</v>
      </c>
      <c r="J12" s="13">
        <f>SUBTOTAL(103,Srpanj[8])</f>
        <v>0</v>
      </c>
      <c r="K12" s="13">
        <f>SUBTOTAL(103,Srpanj[9])</f>
        <v>0</v>
      </c>
      <c r="L12" s="13">
        <f>SUBTOTAL(103,Srpanj[10])</f>
        <v>0</v>
      </c>
      <c r="M12" s="13">
        <f>SUBTOTAL(103,Srpanj[11])</f>
        <v>0</v>
      </c>
      <c r="N12" s="13">
        <f>SUBTOTAL(103,Srpanj[12])</f>
        <v>0</v>
      </c>
      <c r="O12" s="13">
        <f>SUBTOTAL(103,Srpanj[13])</f>
        <v>0</v>
      </c>
      <c r="P12" s="13">
        <f>SUBTOTAL(103,Srpanj[14])</f>
        <v>0</v>
      </c>
      <c r="Q12" s="13">
        <f>SUBTOTAL(103,Srpanj[15])</f>
        <v>0</v>
      </c>
      <c r="R12" s="13">
        <f>SUBTOTAL(103,Srpanj[16])</f>
        <v>0</v>
      </c>
      <c r="S12" s="13">
        <f>SUBTOTAL(103,Srpanj[17])</f>
        <v>0</v>
      </c>
      <c r="T12" s="13">
        <f>SUBTOTAL(103,Srpanj[18])</f>
        <v>0</v>
      </c>
      <c r="U12" s="13">
        <f>SUBTOTAL(103,Srpanj[19])</f>
        <v>0</v>
      </c>
      <c r="V12" s="13">
        <f>SUBTOTAL(103,Srpanj[20])</f>
        <v>0</v>
      </c>
      <c r="W12" s="13">
        <f>SUBTOTAL(103,Srpanj[21])</f>
        <v>0</v>
      </c>
      <c r="X12" s="13">
        <f>SUBTOTAL(103,Srpanj[22])</f>
        <v>0</v>
      </c>
      <c r="Y12" s="13">
        <f>SUBTOTAL(103,Srpanj[23])</f>
        <v>0</v>
      </c>
      <c r="Z12" s="13">
        <f>SUBTOTAL(103,Srpanj[24])</f>
        <v>0</v>
      </c>
      <c r="AA12" s="13">
        <f>SUBTOTAL(103,Srpanj[25])</f>
        <v>0</v>
      </c>
      <c r="AB12" s="13">
        <f>SUBTOTAL(103,Srpanj[26])</f>
        <v>0</v>
      </c>
      <c r="AC12" s="13">
        <f>SUBTOTAL(103,Srpanj[27])</f>
        <v>0</v>
      </c>
      <c r="AD12" s="13">
        <f>SUBTOTAL(103,Srpanj[28])</f>
        <v>0</v>
      </c>
      <c r="AE12" s="13">
        <f>SUBTOTAL(103,Srpanj[29])</f>
        <v>0</v>
      </c>
      <c r="AF12" s="13">
        <f>SUBTOTAL(103,Srpanj[30])</f>
        <v>0</v>
      </c>
      <c r="AG12" s="13">
        <f>SUBTOTAL(103,Srpanj[31])</f>
        <v>0</v>
      </c>
      <c r="AH12" s="13">
        <f>SUBTOTAL(109,Srpanj[UkupnoDana])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425" priority="2" stopIfTrue="1">
      <formula>C7=OznakaPrilagođeno2</formula>
    </cfRule>
    <cfRule type="expression" dxfId="424" priority="3" stopIfTrue="1">
      <formula>C7=OznakaPrilagođeno1</formula>
    </cfRule>
    <cfRule type="expression" dxfId="423" priority="4" stopIfTrue="1">
      <formula>C7=OznakaBolovanje</formula>
    </cfRule>
    <cfRule type="expression" dxfId="422" priority="5" stopIfTrue="1">
      <formula>C7=OznakaOsobniRazlozi</formula>
    </cfRule>
    <cfRule type="expression" dxfId="421" priority="6" stopIfTrue="1">
      <formula>C7=OznakaGodišnjiOdmor</formula>
    </cfRule>
  </conditionalFormatting>
  <conditionalFormatting sqref="AH7:AH11">
    <cfRule type="dataBar" priority="7">
      <dataBar>
        <cfvo type="min"/>
        <cfvo type="formula" val="DATEDIF(DATE(KalendarskaGodina,2,1),DATE(KalendarskaGodina,3,1),&quot;d&quot;)"/>
        <color theme="2" tint="-0.249977111117893"/>
      </dataBar>
      <extLst>
        <ext xmlns:x14="http://schemas.microsoft.com/office/spreadsheetml/2009/9/main" uri="{B025F937-C7B1-47D3-B67F-A62EFF666E3E}">
          <x14:id>{E0DCF129-9B2A-4CEB-9E56-27607F4BED20}</x14:id>
        </ext>
      </extLst>
    </cfRule>
  </conditionalFormatting>
  <dataValidations count="14">
    <dataValidation allowBlank="1" showInputMessage="1" showErrorMessage="1" prompt="U ovom se retku automatski generiraju dani u mjesecu. Unesite izostanak zaposlenika i vrstu izostanka u svaki stupac za svaki dan u mjesecu. Prazno znači da nema izostanaka" sqref="C6" xr:uid="{00000000-0002-0000-0600-000000000000}"/>
    <dataValidation allowBlank="1" showInputMessage="1" showErrorMessage="1" prompt="U ovoj se ćeliji nalazi naziv mjeseca za ovaj raspored izostanaka. Ukupni brojevi izostanaka za trenutni mjesec nalaze se u posljednjoj ćeliji tablice. Odaberite imena zaposlenika u stupcu B tablice" sqref="B4" xr:uid="{00000000-0002-0000-0600-000001000000}"/>
    <dataValidation allowBlank="1" showInputMessage="1" showErrorMessage="1" prompt="Ovaj redak definira oznake koje se koriste u tablici: ćelija C2 je Godišnji odmor, G2 Osobni razlozi, K2 Bolovanje. Ćelije N2 i R2 mogu se prilagoditi." sqref="B2" xr:uid="{00000000-0002-0000-0600-000002000000}"/>
    <dataValidation allowBlank="1" showInputMessage="1" showErrorMessage="1" prompt="Unesite natpis da biste opisali prilagođenu oznaku zdesna" sqref="O2:Q2 S2:U2" xr:uid="{00000000-0002-0000-0600-000003000000}"/>
    <dataValidation allowBlank="1" showInputMessage="1" showErrorMessage="1" prompt="Unesite slovo i prilagodite natpis zdesna da biste dodali još jednu stavku oznake" sqref="N2 R2" xr:uid="{00000000-0002-0000-0600-000004000000}"/>
    <dataValidation allowBlank="1" showInputMessage="1" showErrorMessage="1" prompt="Slovo &quot;B&quot; označava izostanak zbog bolesti" sqref="K2" xr:uid="{00000000-0002-0000-0600-000005000000}"/>
    <dataValidation allowBlank="1" showInputMessage="1" showErrorMessage="1" prompt="Sovo &quot;O&quot; označava izostanak iz osobnih razloga" sqref="G2" xr:uid="{00000000-0002-0000-0600-000006000000}"/>
    <dataValidation allowBlank="1" showInputMessage="1" showErrorMessage="1" prompt="Slovo &quot;G&quot; označava izostanak zbog godišnjeg odmora" sqref="C2" xr:uid="{00000000-0002-0000-0600-000007000000}"/>
    <dataValidation allowBlank="1" showInputMessage="1" showErrorMessage="1" prompt="U ovoj se ćeliji nalazi automatski ažurirani naslov. Da biste izmijenili naslov, ažurirajte ćeliju B1 na radnom listu Siječanj" sqref="B1" xr:uid="{00000000-0002-0000-0600-000008000000}"/>
    <dataValidation errorStyle="warning" allowBlank="1" showInputMessage="1" showErrorMessage="1" error="Odaberite ime s popisa. Odaberite ODUSTANI, a zatim pritisnite ALT + STRELICA DOLJE, a zatim ENTER za odabir imena" prompt="Unesite imena zaposlenika na radnom listu Imena zaposlenika, a zatim odaberite jedno od tih imena s popisa u ovom stupcu. Pritisnite ALT + STRELICA DOLJE, a zatim ENTER za odabir imena" sqref="B6" xr:uid="{00000000-0002-0000-0600-000009000000}"/>
    <dataValidation allowBlank="1" showInputMessage="1" showErrorMessage="1" prompt="Na ovom radnom listu evidentirajte izostanke za srpanj" sqref="A1" xr:uid="{00000000-0002-0000-0600-00000A000000}"/>
    <dataValidation allowBlank="1" showInputMessage="1" showErrorMessage="1" prompt="U ovom stupcu automatski izračunava ukupan broj dana tijekom kojih je zaposlenik izostao ovog mjeseca" sqref="AH6" xr:uid="{00000000-0002-0000-0600-00000B000000}"/>
    <dataValidation allowBlank="1" showInputMessage="1" showErrorMessage="1" prompt="Automatski ažurirana godina na temelju godine unesene na radnom listu Siječanj" sqref="AH4" xr:uid="{00000000-0002-0000-0600-00000C000000}"/>
    <dataValidation allowBlank="1" showInputMessage="1" showErrorMessage="1" prompt="Dani u tjednu u ovom retku automatski se ažuriraju za mjesec u skladu s godinom u ćeliji AH4. Svaki je dan u mjesecu stupac za bilježenje zaposlenikova izostanka i vrste izostanka" sqref="C5" xr:uid="{00000000-0002-0000-0600-00000D000000}"/>
  </dataValidations>
  <printOptions horizontalCentered="1"/>
  <pageMargins left="0.25" right="0.25" top="0.75" bottom="0.75" header="0.3" footer="0.3"/>
  <pageSetup paperSize="9" scale="64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0DCF129-9B2A-4CEB-9E56-27607F4BED20}">
            <x14:dataBar minLength="0" maxLength="100">
              <x14:cfvo type="autoMin"/>
              <x14:cfvo type="formula">
                <xm:f>DATEDIF(DATE(KalendarskaGodina,2,1),DATE(KalendarskaGodina,3,1),"d")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E000000}">
          <x14:formula1>
            <xm:f>'Imena zaposlenika'!$B$4:$B$8</xm:f>
          </x14:formula1>
          <xm:sqref>B7:B11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749992370372631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5.7109375" style="11" customWidth="1"/>
    <col min="34" max="34" width="17.140625" style="11" customWidth="1"/>
    <col min="35" max="35" width="2.7109375" customWidth="1"/>
  </cols>
  <sheetData>
    <row r="1" spans="2:34" ht="50.1" customHeight="1" x14ac:dyDescent="0.25">
      <c r="B1" s="14" t="str">
        <f>Naslov_Izostanak_zaposlenika</f>
        <v>Raspored izostanaka zaposlenika</v>
      </c>
    </row>
    <row r="2" spans="2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14</v>
      </c>
      <c r="H2" s="25" t="s">
        <v>18</v>
      </c>
      <c r="I2" s="25"/>
      <c r="J2" s="25"/>
      <c r="K2" s="6" t="s">
        <v>16</v>
      </c>
      <c r="L2" s="25" t="s">
        <v>21</v>
      </c>
      <c r="M2" s="25"/>
      <c r="N2" s="7"/>
      <c r="O2" s="25" t="s">
        <v>25</v>
      </c>
      <c r="P2" s="25"/>
      <c r="Q2" s="25"/>
      <c r="R2" s="8"/>
      <c r="S2" s="25" t="s">
        <v>30</v>
      </c>
      <c r="T2" s="25"/>
      <c r="U2" s="25"/>
    </row>
    <row r="3" spans="2:34" ht="15" customHeight="1" x14ac:dyDescent="0.25">
      <c r="B3" s="14"/>
    </row>
    <row r="4" spans="2:34" ht="30" customHeight="1" x14ac:dyDescent="0.25">
      <c r="B4" s="12" t="s">
        <v>56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KalendarskaGodina</f>
        <v>2019</v>
      </c>
    </row>
    <row r="5" spans="2:34" ht="15" customHeight="1" x14ac:dyDescent="0.25">
      <c r="B5" s="12"/>
      <c r="C5" s="2" t="str">
        <f>TEXT(WEEKDAY(DATE(KalendarskaGodina,8,1),1),"aaa")</f>
        <v>čet</v>
      </c>
      <c r="D5" s="2" t="str">
        <f>TEXT(WEEKDAY(DATE(KalendarskaGodina,8,2),1),"aaa")</f>
        <v>pet</v>
      </c>
      <c r="E5" s="2" t="str">
        <f>TEXT(WEEKDAY(DATE(KalendarskaGodina,8,3),1),"aaa")</f>
        <v>sub</v>
      </c>
      <c r="F5" s="2" t="str">
        <f>TEXT(WEEKDAY(DATE(KalendarskaGodina,8,4),1),"aaa")</f>
        <v>ned</v>
      </c>
      <c r="G5" s="2" t="str">
        <f>TEXT(WEEKDAY(DATE(KalendarskaGodina,8,5),1),"aaa")</f>
        <v>pon</v>
      </c>
      <c r="H5" s="2" t="str">
        <f>TEXT(WEEKDAY(DATE(KalendarskaGodina,8,6),1),"aaa")</f>
        <v>uto</v>
      </c>
      <c r="I5" s="2" t="str">
        <f>TEXT(WEEKDAY(DATE(KalendarskaGodina,8,7),1),"aaa")</f>
        <v>sri</v>
      </c>
      <c r="J5" s="2" t="str">
        <f>TEXT(WEEKDAY(DATE(KalendarskaGodina,8,8),1),"aaa")</f>
        <v>čet</v>
      </c>
      <c r="K5" s="2" t="str">
        <f>TEXT(WEEKDAY(DATE(KalendarskaGodina,8,9),1),"aaa")</f>
        <v>pet</v>
      </c>
      <c r="L5" s="2" t="str">
        <f>TEXT(WEEKDAY(DATE(KalendarskaGodina,8,10),1),"aaa")</f>
        <v>sub</v>
      </c>
      <c r="M5" s="2" t="str">
        <f>TEXT(WEEKDAY(DATE(KalendarskaGodina,8,11),1),"aaa")</f>
        <v>ned</v>
      </c>
      <c r="N5" s="2" t="str">
        <f>TEXT(WEEKDAY(DATE(KalendarskaGodina,8,12),1),"aaa")</f>
        <v>pon</v>
      </c>
      <c r="O5" s="2" t="str">
        <f>TEXT(WEEKDAY(DATE(KalendarskaGodina,8,13),1),"aaa")</f>
        <v>uto</v>
      </c>
      <c r="P5" s="2" t="str">
        <f>TEXT(WEEKDAY(DATE(KalendarskaGodina,8,14),1),"aaa")</f>
        <v>sri</v>
      </c>
      <c r="Q5" s="2" t="str">
        <f>TEXT(WEEKDAY(DATE(KalendarskaGodina,8,15),1),"aaa")</f>
        <v>čet</v>
      </c>
      <c r="R5" s="2" t="str">
        <f>TEXT(WEEKDAY(DATE(KalendarskaGodina,8,16),1),"aaa")</f>
        <v>pet</v>
      </c>
      <c r="S5" s="2" t="str">
        <f>TEXT(WEEKDAY(DATE(KalendarskaGodina,8,17),1),"aaa")</f>
        <v>sub</v>
      </c>
      <c r="T5" s="2" t="str">
        <f>TEXT(WEEKDAY(DATE(KalendarskaGodina,8,18),1),"aaa")</f>
        <v>ned</v>
      </c>
      <c r="U5" s="2" t="str">
        <f>TEXT(WEEKDAY(DATE(KalendarskaGodina,8,19),1),"aaa")</f>
        <v>pon</v>
      </c>
      <c r="V5" s="2" t="str">
        <f>TEXT(WEEKDAY(DATE(KalendarskaGodina,8,20),1),"aaa")</f>
        <v>uto</v>
      </c>
      <c r="W5" s="2" t="str">
        <f>TEXT(WEEKDAY(DATE(KalendarskaGodina,8,21),1),"aaa")</f>
        <v>sri</v>
      </c>
      <c r="X5" s="2" t="str">
        <f>TEXT(WEEKDAY(DATE(KalendarskaGodina,8,22),1),"aaa")</f>
        <v>čet</v>
      </c>
      <c r="Y5" s="2" t="str">
        <f>TEXT(WEEKDAY(DATE(KalendarskaGodina,8,23),1),"aaa")</f>
        <v>pet</v>
      </c>
      <c r="Z5" s="2" t="str">
        <f>TEXT(WEEKDAY(DATE(KalendarskaGodina,8,24),1),"aaa")</f>
        <v>sub</v>
      </c>
      <c r="AA5" s="2" t="str">
        <f>TEXT(WEEKDAY(DATE(KalendarskaGodina,8,25),1),"aaa")</f>
        <v>ned</v>
      </c>
      <c r="AB5" s="2" t="str">
        <f>TEXT(WEEKDAY(DATE(KalendarskaGodina,8,26),1),"aaa")</f>
        <v>pon</v>
      </c>
      <c r="AC5" s="2" t="str">
        <f>TEXT(WEEKDAY(DATE(KalendarskaGodina,8,27),1),"aaa")</f>
        <v>uto</v>
      </c>
      <c r="AD5" s="2" t="str">
        <f>TEXT(WEEKDAY(DATE(KalendarskaGodina,8,28),1),"aaa")</f>
        <v>sri</v>
      </c>
      <c r="AE5" s="2" t="str">
        <f>TEXT(WEEKDAY(DATE(KalendarskaGodina,8,29),1),"aaa")</f>
        <v>čet</v>
      </c>
      <c r="AF5" s="2" t="str">
        <f>TEXT(WEEKDAY(DATE(KalendarskaGodina,8,30),1),"aaa")</f>
        <v>pet</v>
      </c>
      <c r="AG5" s="2" t="str">
        <f>TEXT(WEEKDAY(DATE(KalendarskaGodina,8,31),1),"aaa")</f>
        <v>sub</v>
      </c>
      <c r="AH5" s="12"/>
    </row>
    <row r="6" spans="2:34" ht="15" customHeight="1" x14ac:dyDescent="0.25">
      <c r="B6" s="15" t="s">
        <v>3</v>
      </c>
      <c r="C6" s="3" t="s">
        <v>11</v>
      </c>
      <c r="D6" s="3" t="s">
        <v>13</v>
      </c>
      <c r="E6" s="3" t="s">
        <v>63</v>
      </c>
      <c r="F6" s="3" t="s">
        <v>15</v>
      </c>
      <c r="G6" s="3" t="s">
        <v>17</v>
      </c>
      <c r="H6" s="3" t="s">
        <v>19</v>
      </c>
      <c r="I6" s="3" t="s">
        <v>64</v>
      </c>
      <c r="J6" s="3" t="s">
        <v>65</v>
      </c>
      <c r="K6" s="3" t="s">
        <v>20</v>
      </c>
      <c r="L6" s="3" t="s">
        <v>22</v>
      </c>
      <c r="M6" s="3" t="s">
        <v>23</v>
      </c>
      <c r="N6" s="3" t="s">
        <v>24</v>
      </c>
      <c r="O6" s="3" t="s">
        <v>26</v>
      </c>
      <c r="P6" s="3" t="s">
        <v>27</v>
      </c>
      <c r="Q6" s="3" t="s">
        <v>28</v>
      </c>
      <c r="R6" s="3" t="s">
        <v>29</v>
      </c>
      <c r="S6" s="3" t="s">
        <v>31</v>
      </c>
      <c r="T6" s="3" t="s">
        <v>32</v>
      </c>
      <c r="U6" s="3" t="s">
        <v>33</v>
      </c>
      <c r="V6" s="3" t="s">
        <v>34</v>
      </c>
      <c r="W6" s="3" t="s">
        <v>35</v>
      </c>
      <c r="X6" s="3" t="s">
        <v>36</v>
      </c>
      <c r="Y6" s="3" t="s">
        <v>37</v>
      </c>
      <c r="Z6" s="3" t="s">
        <v>38</v>
      </c>
      <c r="AA6" s="3" t="s">
        <v>39</v>
      </c>
      <c r="AB6" s="3" t="s">
        <v>40</v>
      </c>
      <c r="AC6" s="3" t="s">
        <v>41</v>
      </c>
      <c r="AD6" s="3" t="s">
        <v>42</v>
      </c>
      <c r="AE6" s="3" t="s">
        <v>43</v>
      </c>
      <c r="AF6" s="3" t="s">
        <v>44</v>
      </c>
      <c r="AG6" s="3" t="s">
        <v>45</v>
      </c>
      <c r="AH6" s="16" t="s">
        <v>47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COUNTA(Kolovoz[[#This Row],[1]:[31]])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COUNTA(Kolovoz[[#This Row],[1]:[31]])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COUNTA(Kolovoz[[#This Row],[1]:[31]])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COUNTA(Kolovoz[[#This Row],[1]:[31]])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COUNTA(Kolovoz[[#This Row],[1]:[31]])</f>
        <v>0</v>
      </c>
    </row>
    <row r="12" spans="2:34" ht="30" customHeight="1" x14ac:dyDescent="0.25">
      <c r="B12" s="21" t="str">
        <f>NazivMjeseca&amp;" Ukupno"</f>
        <v>Kolovoz Ukupno</v>
      </c>
      <c r="C12" s="13">
        <f>SUBTOTAL(103,Kolovoz[1])</f>
        <v>0</v>
      </c>
      <c r="D12" s="13">
        <f>SUBTOTAL(103,Kolovoz[2])</f>
        <v>0</v>
      </c>
      <c r="E12" s="13">
        <f>SUBTOTAL(103,Kolovoz[3])</f>
        <v>0</v>
      </c>
      <c r="F12" s="13">
        <f>SUBTOTAL(103,Kolovoz[4])</f>
        <v>0</v>
      </c>
      <c r="G12" s="13">
        <f>SUBTOTAL(103,Kolovoz[5])</f>
        <v>0</v>
      </c>
      <c r="H12" s="13">
        <f>SUBTOTAL(103,Kolovoz[6])</f>
        <v>0</v>
      </c>
      <c r="I12" s="13">
        <f>SUBTOTAL(103,Kolovoz[7])</f>
        <v>0</v>
      </c>
      <c r="J12" s="13">
        <f>SUBTOTAL(103,Kolovoz[8])</f>
        <v>0</v>
      </c>
      <c r="K12" s="13">
        <f>SUBTOTAL(103,Kolovoz[9])</f>
        <v>0</v>
      </c>
      <c r="L12" s="13">
        <f>SUBTOTAL(103,Kolovoz[10])</f>
        <v>0</v>
      </c>
      <c r="M12" s="13">
        <f>SUBTOTAL(103,Kolovoz[11])</f>
        <v>0</v>
      </c>
      <c r="N12" s="13">
        <f>SUBTOTAL(103,Kolovoz[12])</f>
        <v>0</v>
      </c>
      <c r="O12" s="13">
        <f>SUBTOTAL(103,Kolovoz[13])</f>
        <v>0</v>
      </c>
      <c r="P12" s="13">
        <f>SUBTOTAL(103,Kolovoz[14])</f>
        <v>0</v>
      </c>
      <c r="Q12" s="13">
        <f>SUBTOTAL(103,Kolovoz[15])</f>
        <v>0</v>
      </c>
      <c r="R12" s="13">
        <f>SUBTOTAL(103,Kolovoz[16])</f>
        <v>0</v>
      </c>
      <c r="S12" s="13">
        <f>SUBTOTAL(103,Kolovoz[17])</f>
        <v>0</v>
      </c>
      <c r="T12" s="13">
        <f>SUBTOTAL(103,Kolovoz[18])</f>
        <v>0</v>
      </c>
      <c r="U12" s="13">
        <f>SUBTOTAL(103,Kolovoz[19])</f>
        <v>0</v>
      </c>
      <c r="V12" s="13">
        <f>SUBTOTAL(103,Kolovoz[20])</f>
        <v>0</v>
      </c>
      <c r="W12" s="13">
        <f>SUBTOTAL(103,Kolovoz[21])</f>
        <v>0</v>
      </c>
      <c r="X12" s="13">
        <f>SUBTOTAL(103,Kolovoz[22])</f>
        <v>0</v>
      </c>
      <c r="Y12" s="13">
        <f>SUBTOTAL(103,Kolovoz[23])</f>
        <v>0</v>
      </c>
      <c r="Z12" s="13">
        <f>SUBTOTAL(103,Kolovoz[24])</f>
        <v>0</v>
      </c>
      <c r="AA12" s="13">
        <f>SUBTOTAL(103,Kolovoz[25])</f>
        <v>0</v>
      </c>
      <c r="AB12" s="13">
        <f>SUBTOTAL(103,Kolovoz[26])</f>
        <v>0</v>
      </c>
      <c r="AC12" s="13">
        <f>SUBTOTAL(103,Kolovoz[27])</f>
        <v>0</v>
      </c>
      <c r="AD12" s="13">
        <f>SUBTOTAL(103,Kolovoz[28])</f>
        <v>0</v>
      </c>
      <c r="AE12" s="13">
        <f>SUBTOTAL(103,Kolovoz[29])</f>
        <v>0</v>
      </c>
      <c r="AF12" s="13">
        <f>SUBTOTAL(103,Kolovoz[30])</f>
        <v>0</v>
      </c>
      <c r="AG12" s="13">
        <f>SUBTOTAL(103,Kolovoz[31])</f>
        <v>0</v>
      </c>
      <c r="AH12" s="13">
        <f>SUBTOTAL(109,Kolovoz[UkupnoDana])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420" priority="2" stopIfTrue="1">
      <formula>C7=OznakaPrilagođeno2</formula>
    </cfRule>
    <cfRule type="expression" dxfId="419" priority="3" stopIfTrue="1">
      <formula>C7=OznakaPrilagođeno1</formula>
    </cfRule>
    <cfRule type="expression" dxfId="418" priority="4" stopIfTrue="1">
      <formula>C7=OznakaBolovanje</formula>
    </cfRule>
    <cfRule type="expression" dxfId="417" priority="5" stopIfTrue="1">
      <formula>C7=OznakaOsobniRazlozi</formula>
    </cfRule>
    <cfRule type="expression" dxfId="416" priority="6" stopIfTrue="1">
      <formula>C7=OznakaGodišnjiOdmor</formula>
    </cfRule>
  </conditionalFormatting>
  <conditionalFormatting sqref="AH7:AH11">
    <cfRule type="dataBar" priority="7">
      <dataBar>
        <cfvo type="min"/>
        <cfvo type="formula" val="DATEDIF(DATE(KalendarskaGodina,2,1),DATE(KalendarskaGodina,3,1),&quot;d&quot;)"/>
        <color theme="2" tint="-0.249977111117893"/>
      </dataBar>
      <extLst>
        <ext xmlns:x14="http://schemas.microsoft.com/office/spreadsheetml/2009/9/main" uri="{B025F937-C7B1-47D3-B67F-A62EFF666E3E}">
          <x14:id>{09900229-9536-43AB-AAE0-FC121BDECD61}</x14:id>
        </ext>
      </extLst>
    </cfRule>
  </conditionalFormatting>
  <dataValidations count="14">
    <dataValidation allowBlank="1" showInputMessage="1" showErrorMessage="1" prompt="Dani u tjednu u ovom retku automatski se ažuriraju za mjesec u skladu s godinom u ćeliji AH4. Svaki je dan u mjesecu stupac za bilježenje zaposlenikova izostanka i vrste izostanka" sqref="C5" xr:uid="{00000000-0002-0000-0700-000000000000}"/>
    <dataValidation allowBlank="1" showInputMessage="1" showErrorMessage="1" prompt="Automatski ažurirana godina na temelju godine unesene na radnom listu Siječanj" sqref="AH4" xr:uid="{00000000-0002-0000-0700-000001000000}"/>
    <dataValidation allowBlank="1" showInputMessage="1" showErrorMessage="1" prompt="U ovom stupcu automatski izračunava ukupan broj dana tijekom kojih je zaposlenik izostao ovog mjeseca" sqref="AH6" xr:uid="{00000000-0002-0000-0700-000002000000}"/>
    <dataValidation allowBlank="1" showInputMessage="1" showErrorMessage="1" prompt="Na ovom radnom listu evidentirajte izostanke za kolovoz" sqref="A1" xr:uid="{00000000-0002-0000-0700-000003000000}"/>
    <dataValidation errorStyle="warning" allowBlank="1" showInputMessage="1" showErrorMessage="1" error="Odaberite ime s popisa. Odaberite ODUSTANI, a zatim pritisnite ALT + STRELICA DOLJE, a zatim ENTER za odabir imena" prompt="Unesite imena zaposlenika na radnom listu Imena zaposlenika, a zatim odaberite jedno od tih imena s popisa u ovom stupcu. Pritisnite ALT + STRELICA DOLJE, a zatim ENTER za odabir imena" sqref="B6" xr:uid="{00000000-0002-0000-0700-000004000000}"/>
    <dataValidation allowBlank="1" showInputMessage="1" showErrorMessage="1" prompt="U ovoj se ćeliji nalazi automatski ažurirani naslov. Da biste izmijenili naslov, ažurirajte ćeliju B1 na radnom listu Siječanj" sqref="B1" xr:uid="{00000000-0002-0000-0700-000005000000}"/>
    <dataValidation allowBlank="1" showInputMessage="1" showErrorMessage="1" prompt="Slovo &quot;G&quot; označava izostanak zbog godišnjeg odmora" sqref="C2" xr:uid="{00000000-0002-0000-0700-000006000000}"/>
    <dataValidation allowBlank="1" showInputMessage="1" showErrorMessage="1" prompt="Sovo &quot;O&quot; označava izostanak iz osobnih razloga" sqref="G2" xr:uid="{00000000-0002-0000-0700-000007000000}"/>
    <dataValidation allowBlank="1" showInputMessage="1" showErrorMessage="1" prompt="Slovo &quot;B&quot; označava izostanak zbog bolesti" sqref="K2" xr:uid="{00000000-0002-0000-0700-000008000000}"/>
    <dataValidation allowBlank="1" showInputMessage="1" showErrorMessage="1" prompt="Unesite slovo i prilagodite natpis zdesna da biste dodali još jednu stavku oznake" sqref="N2 R2" xr:uid="{00000000-0002-0000-0700-000009000000}"/>
    <dataValidation allowBlank="1" showInputMessage="1" showErrorMessage="1" prompt="Unesite natpis da biste opisali prilagođenu oznaku zdesna" sqref="O2:Q2 S2:U2" xr:uid="{00000000-0002-0000-0700-00000A000000}"/>
    <dataValidation allowBlank="1" showInputMessage="1" showErrorMessage="1" prompt="Ovaj redak definira oznake koje se koriste u tablici: ćelija C2 je Godišnji odmor, G2 Osobni razlozi, K2 Bolovanje. Ćelije N2 i R2 mogu se prilagoditi." sqref="B2" xr:uid="{00000000-0002-0000-0700-00000B000000}"/>
    <dataValidation allowBlank="1" showInputMessage="1" showErrorMessage="1" prompt="U ovoj se ćeliji nalazi naziv mjeseca za ovaj raspored izostanaka. Ukupni brojevi izostanaka za trenutni mjesec nalaze se u posljednjoj ćeliji tablice. Odaberite imena zaposlenika u stupcu B tablice" sqref="B4" xr:uid="{00000000-0002-0000-0700-00000C000000}"/>
    <dataValidation allowBlank="1" showInputMessage="1" showErrorMessage="1" prompt="U ovom se retku automatski generiraju dani u mjesecu. Unesite izostanak zaposlenika i vrstu izostanka u svaki stupac za svaki dan u mjesecu. Prazno znači da nema izostanaka" sqref="C6" xr:uid="{00000000-0002-0000-0700-00000D000000}"/>
  </dataValidations>
  <printOptions horizontalCentered="1"/>
  <pageMargins left="0.25" right="0.25" top="0.75" bottom="0.75" header="0.3" footer="0.3"/>
  <pageSetup paperSize="9" scale="64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9900229-9536-43AB-AAE0-FC121BDECD61}">
            <x14:dataBar minLength="0" maxLength="100">
              <x14:cfvo type="autoMin"/>
              <x14:cfvo type="formula">
                <xm:f>DATEDIF(DATE(KalendarskaGodina,2,1),DATE(KalendarskaGodina,3,1),"d")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700-00000E000000}">
          <x14:formula1>
            <xm:f>'Imena zaposlenika'!$B$4:$B$8</xm:f>
          </x14:formula1>
          <xm:sqref>B7:B11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2" tint="-0.499984740745262"/>
    <pageSetUpPr fitToPage="1"/>
  </sheetPr>
  <dimension ref="A1:AH12"/>
  <sheetViews>
    <sheetView showGridLines="0" zoomScaleNormal="100" workbookViewId="0"/>
  </sheetViews>
  <sheetFormatPr defaultRowHeight="30" customHeight="1" x14ac:dyDescent="0.25"/>
  <cols>
    <col min="1" max="1" width="2.7109375" style="11" customWidth="1"/>
    <col min="2" max="2" width="25.7109375" style="11" customWidth="1"/>
    <col min="3" max="33" width="5.7109375" style="11" customWidth="1"/>
    <col min="34" max="34" width="17.140625" style="11" customWidth="1"/>
    <col min="35" max="35" width="2.7109375" customWidth="1"/>
  </cols>
  <sheetData>
    <row r="1" spans="2:34" ht="50.1" customHeight="1" x14ac:dyDescent="0.25">
      <c r="B1" s="14" t="str">
        <f>Naslov_Izostanak_zaposlenika</f>
        <v>Raspored izostanaka zaposlenika</v>
      </c>
    </row>
    <row r="2" spans="2:34" ht="15" customHeight="1" x14ac:dyDescent="0.25">
      <c r="B2" s="19" t="s">
        <v>1</v>
      </c>
      <c r="C2" s="4" t="s">
        <v>9</v>
      </c>
      <c r="D2" s="25" t="s">
        <v>12</v>
      </c>
      <c r="E2" s="25"/>
      <c r="F2" s="25"/>
      <c r="G2" s="5" t="s">
        <v>14</v>
      </c>
      <c r="H2" s="25" t="s">
        <v>18</v>
      </c>
      <c r="I2" s="25"/>
      <c r="J2" s="25"/>
      <c r="K2" s="6" t="s">
        <v>16</v>
      </c>
      <c r="L2" s="25" t="s">
        <v>21</v>
      </c>
      <c r="M2" s="25"/>
      <c r="N2" s="7"/>
      <c r="O2" s="25" t="s">
        <v>25</v>
      </c>
      <c r="P2" s="25"/>
      <c r="Q2" s="25"/>
      <c r="R2" s="8"/>
      <c r="S2" s="25" t="s">
        <v>30</v>
      </c>
      <c r="T2" s="25"/>
      <c r="U2" s="25"/>
    </row>
    <row r="3" spans="2:34" ht="15" customHeight="1" x14ac:dyDescent="0.25">
      <c r="B3" s="14"/>
    </row>
    <row r="4" spans="2:34" ht="30" customHeight="1" x14ac:dyDescent="0.25">
      <c r="B4" s="12" t="s">
        <v>57</v>
      </c>
      <c r="C4" s="24" t="s">
        <v>10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12">
        <f>KalendarskaGodina</f>
        <v>2019</v>
      </c>
    </row>
    <row r="5" spans="2:34" ht="15" customHeight="1" x14ac:dyDescent="0.25">
      <c r="B5" s="12"/>
      <c r="C5" s="2" t="str">
        <f>TEXT(WEEKDAY(DATE(KalendarskaGodina,9,1),1),"aaa")</f>
        <v>ned</v>
      </c>
      <c r="D5" s="2" t="str">
        <f>TEXT(WEEKDAY(DATE(KalendarskaGodina,9,2),1),"aaa")</f>
        <v>pon</v>
      </c>
      <c r="E5" s="2" t="str">
        <f>TEXT(WEEKDAY(DATE(KalendarskaGodina,9,3),1),"aaa")</f>
        <v>uto</v>
      </c>
      <c r="F5" s="2" t="str">
        <f>TEXT(WEEKDAY(DATE(KalendarskaGodina,9,4),1),"aaa")</f>
        <v>sri</v>
      </c>
      <c r="G5" s="2" t="str">
        <f>TEXT(WEEKDAY(DATE(KalendarskaGodina,9,5),1),"aaa")</f>
        <v>čet</v>
      </c>
      <c r="H5" s="2" t="str">
        <f>TEXT(WEEKDAY(DATE(KalendarskaGodina,9,6),1),"aaa")</f>
        <v>pet</v>
      </c>
      <c r="I5" s="2" t="str">
        <f>TEXT(WEEKDAY(DATE(KalendarskaGodina,9,7),1),"aaa")</f>
        <v>sub</v>
      </c>
      <c r="J5" s="2" t="str">
        <f>TEXT(WEEKDAY(DATE(KalendarskaGodina,9,8),1),"aaa")</f>
        <v>ned</v>
      </c>
      <c r="K5" s="2" t="str">
        <f>TEXT(WEEKDAY(DATE(KalendarskaGodina,9,9),1),"aaa")</f>
        <v>pon</v>
      </c>
      <c r="L5" s="2" t="str">
        <f>TEXT(WEEKDAY(DATE(KalendarskaGodina,9,10),1),"aaa")</f>
        <v>uto</v>
      </c>
      <c r="M5" s="2" t="str">
        <f>TEXT(WEEKDAY(DATE(KalendarskaGodina,9,11),1),"aaa")</f>
        <v>sri</v>
      </c>
      <c r="N5" s="2" t="str">
        <f>TEXT(WEEKDAY(DATE(KalendarskaGodina,9,12),1),"aaa")</f>
        <v>čet</v>
      </c>
      <c r="O5" s="2" t="str">
        <f>TEXT(WEEKDAY(DATE(KalendarskaGodina,9,13),1),"aaa")</f>
        <v>pet</v>
      </c>
      <c r="P5" s="2" t="str">
        <f>TEXT(WEEKDAY(DATE(KalendarskaGodina,9,14),1),"aaa")</f>
        <v>sub</v>
      </c>
      <c r="Q5" s="2" t="str">
        <f>TEXT(WEEKDAY(DATE(KalendarskaGodina,9,15),1),"aaa")</f>
        <v>ned</v>
      </c>
      <c r="R5" s="2" t="str">
        <f>TEXT(WEEKDAY(DATE(KalendarskaGodina,9,16),1),"aaa")</f>
        <v>pon</v>
      </c>
      <c r="S5" s="2" t="str">
        <f>TEXT(WEEKDAY(DATE(KalendarskaGodina,9,17),1),"aaa")</f>
        <v>uto</v>
      </c>
      <c r="T5" s="2" t="str">
        <f>TEXT(WEEKDAY(DATE(KalendarskaGodina,9,18),1),"aaa")</f>
        <v>sri</v>
      </c>
      <c r="U5" s="2" t="str">
        <f>TEXT(WEEKDAY(DATE(KalendarskaGodina,9,19),1),"aaa")</f>
        <v>čet</v>
      </c>
      <c r="V5" s="2" t="str">
        <f>TEXT(WEEKDAY(DATE(KalendarskaGodina,9,20),1),"aaa")</f>
        <v>pet</v>
      </c>
      <c r="W5" s="2" t="str">
        <f>TEXT(WEEKDAY(DATE(KalendarskaGodina,9,21),1),"aaa")</f>
        <v>sub</v>
      </c>
      <c r="X5" s="2" t="str">
        <f>TEXT(WEEKDAY(DATE(KalendarskaGodina,9,22),1),"aaa")</f>
        <v>ned</v>
      </c>
      <c r="Y5" s="2" t="str">
        <f>TEXT(WEEKDAY(DATE(KalendarskaGodina,9,23),1),"aaa")</f>
        <v>pon</v>
      </c>
      <c r="Z5" s="2" t="str">
        <f>TEXT(WEEKDAY(DATE(KalendarskaGodina,9,24),1),"aaa")</f>
        <v>uto</v>
      </c>
      <c r="AA5" s="2" t="str">
        <f>TEXT(WEEKDAY(DATE(KalendarskaGodina,9,25),1),"aaa")</f>
        <v>sri</v>
      </c>
      <c r="AB5" s="2" t="str">
        <f>TEXT(WEEKDAY(DATE(KalendarskaGodina,9,26),1),"aaa")</f>
        <v>čet</v>
      </c>
      <c r="AC5" s="2" t="str">
        <f>TEXT(WEEKDAY(DATE(KalendarskaGodina,9,27),1),"aaa")</f>
        <v>pet</v>
      </c>
      <c r="AD5" s="2" t="str">
        <f>TEXT(WEEKDAY(DATE(KalendarskaGodina,9,28),1),"aaa")</f>
        <v>sub</v>
      </c>
      <c r="AE5" s="2" t="str">
        <f>TEXT(WEEKDAY(DATE(KalendarskaGodina,9,29),1),"aaa")</f>
        <v>ned</v>
      </c>
      <c r="AF5" s="2" t="str">
        <f>TEXT(WEEKDAY(DATE(KalendarskaGodina,9,30),1),"aaa")</f>
        <v>pon</v>
      </c>
      <c r="AG5" s="2"/>
      <c r="AH5" s="12"/>
    </row>
    <row r="6" spans="2:34" ht="15" customHeight="1" x14ac:dyDescent="0.25">
      <c r="B6" s="15" t="s">
        <v>3</v>
      </c>
      <c r="C6" s="3" t="s">
        <v>11</v>
      </c>
      <c r="D6" s="3" t="s">
        <v>13</v>
      </c>
      <c r="E6" s="3" t="s">
        <v>63</v>
      </c>
      <c r="F6" s="3" t="s">
        <v>15</v>
      </c>
      <c r="G6" s="3" t="s">
        <v>17</v>
      </c>
      <c r="H6" s="3" t="s">
        <v>19</v>
      </c>
      <c r="I6" s="3" t="s">
        <v>64</v>
      </c>
      <c r="J6" s="3" t="s">
        <v>65</v>
      </c>
      <c r="K6" s="3" t="s">
        <v>20</v>
      </c>
      <c r="L6" s="3" t="s">
        <v>22</v>
      </c>
      <c r="M6" s="3" t="s">
        <v>23</v>
      </c>
      <c r="N6" s="3" t="s">
        <v>24</v>
      </c>
      <c r="O6" s="3" t="s">
        <v>26</v>
      </c>
      <c r="P6" s="3" t="s">
        <v>27</v>
      </c>
      <c r="Q6" s="3" t="s">
        <v>28</v>
      </c>
      <c r="R6" s="3" t="s">
        <v>29</v>
      </c>
      <c r="S6" s="3" t="s">
        <v>31</v>
      </c>
      <c r="T6" s="3" t="s">
        <v>32</v>
      </c>
      <c r="U6" s="3" t="s">
        <v>33</v>
      </c>
      <c r="V6" s="3" t="s">
        <v>34</v>
      </c>
      <c r="W6" s="3" t="s">
        <v>35</v>
      </c>
      <c r="X6" s="3" t="s">
        <v>36</v>
      </c>
      <c r="Y6" s="3" t="s">
        <v>37</v>
      </c>
      <c r="Z6" s="3" t="s">
        <v>38</v>
      </c>
      <c r="AA6" s="3" t="s">
        <v>39</v>
      </c>
      <c r="AB6" s="3" t="s">
        <v>40</v>
      </c>
      <c r="AC6" s="3" t="s">
        <v>41</v>
      </c>
      <c r="AD6" s="3" t="s">
        <v>42</v>
      </c>
      <c r="AE6" s="3" t="s">
        <v>43</v>
      </c>
      <c r="AF6" s="3" t="s">
        <v>44</v>
      </c>
      <c r="AG6" s="3" t="s">
        <v>49</v>
      </c>
      <c r="AH6" s="16" t="s">
        <v>53</v>
      </c>
    </row>
    <row r="7" spans="2:34" ht="30" customHeight="1" x14ac:dyDescent="0.25">
      <c r="B7" s="17" t="s">
        <v>4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10">
        <f>COUNTA(Rujan[[#This Row],[1]:[30]])</f>
        <v>0</v>
      </c>
    </row>
    <row r="8" spans="2:34" ht="30" customHeight="1" x14ac:dyDescent="0.25">
      <c r="B8" s="17" t="s">
        <v>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10">
        <f>COUNTA(Rujan[[#This Row],[1]:[30]])</f>
        <v>0</v>
      </c>
    </row>
    <row r="9" spans="2:34" ht="30" customHeight="1" x14ac:dyDescent="0.25">
      <c r="B9" s="17" t="s">
        <v>6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0">
        <f>COUNTA(Rujan[[#This Row],[1]:[30]])</f>
        <v>0</v>
      </c>
    </row>
    <row r="10" spans="2:34" ht="30" customHeight="1" x14ac:dyDescent="0.25">
      <c r="B10" s="17" t="s">
        <v>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10">
        <f>COUNTA(Rujan[[#This Row],[1]:[30]])</f>
        <v>0</v>
      </c>
    </row>
    <row r="11" spans="2:34" ht="30" customHeight="1" x14ac:dyDescent="0.25">
      <c r="B11" s="17" t="s">
        <v>8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10">
        <f>COUNTA(Rujan[[#This Row],[1]:[30]])</f>
        <v>0</v>
      </c>
    </row>
    <row r="12" spans="2:34" ht="30" customHeight="1" x14ac:dyDescent="0.25">
      <c r="B12" s="21" t="str">
        <f>NazivMjeseca&amp;" Ukupno"</f>
        <v>Rujan Ukupno</v>
      </c>
      <c r="C12" s="13">
        <f>SUBTOTAL(103,Rujan[1])</f>
        <v>0</v>
      </c>
      <c r="D12" s="13">
        <f>SUBTOTAL(103,Rujan[2])</f>
        <v>0</v>
      </c>
      <c r="E12" s="13">
        <f>SUBTOTAL(103,Rujan[3])</f>
        <v>0</v>
      </c>
      <c r="F12" s="13">
        <f>SUBTOTAL(103,Rujan[4])</f>
        <v>0</v>
      </c>
      <c r="G12" s="13">
        <f>SUBTOTAL(103,Rujan[5])</f>
        <v>0</v>
      </c>
      <c r="H12" s="13">
        <f>SUBTOTAL(103,Rujan[6])</f>
        <v>0</v>
      </c>
      <c r="I12" s="13">
        <f>SUBTOTAL(103,Rujan[7])</f>
        <v>0</v>
      </c>
      <c r="J12" s="13">
        <f>SUBTOTAL(103,Rujan[8])</f>
        <v>0</v>
      </c>
      <c r="K12" s="13">
        <f>SUBTOTAL(103,Rujan[9])</f>
        <v>0</v>
      </c>
      <c r="L12" s="13">
        <f>SUBTOTAL(103,Rujan[10])</f>
        <v>0</v>
      </c>
      <c r="M12" s="13">
        <f>SUBTOTAL(103,Rujan[11])</f>
        <v>0</v>
      </c>
      <c r="N12" s="13">
        <f>SUBTOTAL(103,Rujan[12])</f>
        <v>0</v>
      </c>
      <c r="O12" s="13">
        <f>SUBTOTAL(103,Rujan[13])</f>
        <v>0</v>
      </c>
      <c r="P12" s="13">
        <f>SUBTOTAL(103,Rujan[14])</f>
        <v>0</v>
      </c>
      <c r="Q12" s="13">
        <f>SUBTOTAL(103,Rujan[15])</f>
        <v>0</v>
      </c>
      <c r="R12" s="13">
        <f>SUBTOTAL(103,Rujan[16])</f>
        <v>0</v>
      </c>
      <c r="S12" s="13">
        <f>SUBTOTAL(103,Rujan[17])</f>
        <v>0</v>
      </c>
      <c r="T12" s="13">
        <f>SUBTOTAL(103,Rujan[18])</f>
        <v>0</v>
      </c>
      <c r="U12" s="13">
        <f>SUBTOTAL(103,Rujan[19])</f>
        <v>0</v>
      </c>
      <c r="V12" s="13">
        <f>SUBTOTAL(103,Rujan[20])</f>
        <v>0</v>
      </c>
      <c r="W12" s="13">
        <f>SUBTOTAL(103,Rujan[21])</f>
        <v>0</v>
      </c>
      <c r="X12" s="13">
        <f>SUBTOTAL(103,Rujan[22])</f>
        <v>0</v>
      </c>
      <c r="Y12" s="13">
        <f>SUBTOTAL(103,Rujan[23])</f>
        <v>0</v>
      </c>
      <c r="Z12" s="13">
        <f>SUBTOTAL(103,Rujan[24])</f>
        <v>0</v>
      </c>
      <c r="AA12" s="13">
        <f>SUBTOTAL(103,Rujan[25])</f>
        <v>0</v>
      </c>
      <c r="AB12" s="13">
        <f>SUBTOTAL(103,Rujan[26])</f>
        <v>0</v>
      </c>
      <c r="AC12" s="13">
        <f>SUBTOTAL(103,Rujan[27])</f>
        <v>0</v>
      </c>
      <c r="AD12" s="13">
        <f>SUBTOTAL(103,Rujan[28])</f>
        <v>0</v>
      </c>
      <c r="AE12" s="13">
        <f>SUBTOTAL(103,Rujan[29])</f>
        <v>0</v>
      </c>
      <c r="AF12" s="13">
        <f>SUBTOTAL(103,Rujan[30])</f>
        <v>0</v>
      </c>
      <c r="AG12" s="13">
        <f>SUBTOTAL(103,Rujan[[ ]])</f>
        <v>0</v>
      </c>
      <c r="AH12" s="13">
        <f>SUBTOTAL(109,Rujan[Ukupno dana])</f>
        <v>0</v>
      </c>
    </row>
  </sheetData>
  <mergeCells count="6">
    <mergeCell ref="C4:AG4"/>
    <mergeCell ref="D2:F2"/>
    <mergeCell ref="H2:J2"/>
    <mergeCell ref="L2:M2"/>
    <mergeCell ref="O2:Q2"/>
    <mergeCell ref="S2:U2"/>
  </mergeCells>
  <conditionalFormatting sqref="C7:AG11">
    <cfRule type="expression" priority="1" stopIfTrue="1">
      <formula>C7=""</formula>
    </cfRule>
  </conditionalFormatting>
  <conditionalFormatting sqref="C7:AG11">
    <cfRule type="expression" dxfId="415" priority="2" stopIfTrue="1">
      <formula>C7=OznakaPrilagođeno2</formula>
    </cfRule>
    <cfRule type="expression" dxfId="414" priority="3" stopIfTrue="1">
      <formula>C7=OznakaPrilagođeno1</formula>
    </cfRule>
    <cfRule type="expression" dxfId="413" priority="4" stopIfTrue="1">
      <formula>C7=OznakaBolovanje</formula>
    </cfRule>
    <cfRule type="expression" dxfId="412" priority="5" stopIfTrue="1">
      <formula>C7=OznakaOsobniRazlozi</formula>
    </cfRule>
    <cfRule type="expression" dxfId="411" priority="6" stopIfTrue="1">
      <formula>C7=OznakaGodišnjiOdmor</formula>
    </cfRule>
  </conditionalFormatting>
  <conditionalFormatting sqref="AH7:AH11">
    <cfRule type="dataBar" priority="7">
      <dataBar>
        <cfvo type="min"/>
        <cfvo type="formula" val="DATEDIF(DATE(KalendarskaGodina,2,1),DATE(KalendarskaGodina,3,1),&quot;d&quot;)"/>
        <color theme="2" tint="-0.249977111117893"/>
      </dataBar>
      <extLst>
        <ext xmlns:x14="http://schemas.microsoft.com/office/spreadsheetml/2009/9/main" uri="{B025F937-C7B1-47D3-B67F-A62EFF666E3E}">
          <x14:id>{1A021984-06A1-41D9-90D2-8C16E885020B}</x14:id>
        </ext>
      </extLst>
    </cfRule>
  </conditionalFormatting>
  <dataValidations count="14">
    <dataValidation allowBlank="1" showInputMessage="1" showErrorMessage="1" prompt="U ovom se retku automatski generiraju dani u mjesecu. Unesite izostanak zaposlenika i vrstu izostanka u svaki stupac za svaki dan u mjesecu. Prazno znači da nema izostanaka" sqref="C6" xr:uid="{00000000-0002-0000-0800-000000000000}"/>
    <dataValidation allowBlank="1" showInputMessage="1" showErrorMessage="1" prompt="U ovoj se ćeliji nalazi naziv mjeseca za ovaj raspored izostanaka. Ukupni brojevi izostanaka za trenutni mjesec nalaze se u posljednjoj ćeliji tablice. Odaberite imena zaposlenika u stupcu B tablice" sqref="B4" xr:uid="{00000000-0002-0000-0800-000001000000}"/>
    <dataValidation allowBlank="1" showInputMessage="1" showErrorMessage="1" prompt="Ovaj redak definira oznake koje se koriste u tablici: ćelija C2 je Godišnji odmor, G2 Osobni razlozi, K2 Bolovanje. Ćelije N2 i R2 mogu se prilagoditi." sqref="B2" xr:uid="{00000000-0002-0000-0800-000002000000}"/>
    <dataValidation allowBlank="1" showInputMessage="1" showErrorMessage="1" prompt="Unesite natpis da biste opisali prilagođenu oznaku zdesna" sqref="O2:Q2 S2:U2" xr:uid="{00000000-0002-0000-0800-000003000000}"/>
    <dataValidation allowBlank="1" showInputMessage="1" showErrorMessage="1" prompt="Unesite slovo i prilagodite natpis zdesna da biste dodali još jednu stavku oznake" sqref="N2 R2" xr:uid="{00000000-0002-0000-0800-000004000000}"/>
    <dataValidation allowBlank="1" showInputMessage="1" showErrorMessage="1" prompt="Slovo &quot;B&quot; označava izostanak zbog bolesti" sqref="K2" xr:uid="{00000000-0002-0000-0800-000005000000}"/>
    <dataValidation allowBlank="1" showInputMessage="1" showErrorMessage="1" prompt="Sovo &quot;O&quot; označava izostanak iz osobnih razloga" sqref="G2" xr:uid="{00000000-0002-0000-0800-000006000000}"/>
    <dataValidation allowBlank="1" showInputMessage="1" showErrorMessage="1" prompt="Slovo &quot;G&quot; označava izostanak zbog godišnjeg odmora" sqref="C2" xr:uid="{00000000-0002-0000-0800-000007000000}"/>
    <dataValidation allowBlank="1" showInputMessage="1" showErrorMessage="1" prompt="U ovoj se ćeliji nalazi automatski ažurirani naslov. Da biste izmijenili naslov, ažurirajte ćeliju B1 na radnom listu Siječanj" sqref="B1" xr:uid="{00000000-0002-0000-0800-000008000000}"/>
    <dataValidation errorStyle="warning" allowBlank="1" showInputMessage="1" showErrorMessage="1" error="Odaberite ime s popisa. Odaberite ODUSTANI, a zatim pritisnite ALT + STRELICA DOLJE, a zatim ENTER za odabir imena" prompt="Unesite imena zaposlenika na radnom listu Imena zaposlenika, a zatim odaberite jedno od tih imena s popisa u ovom stupcu. Pritisnite ALT + STRELICA DOLJE, a zatim ENTER za odabir imena" sqref="B6" xr:uid="{00000000-0002-0000-0800-000009000000}"/>
    <dataValidation allowBlank="1" showInputMessage="1" showErrorMessage="1" prompt="Na ovom radnom listu evidentirajte izostanke za rujan" sqref="A1" xr:uid="{00000000-0002-0000-0800-00000A000000}"/>
    <dataValidation allowBlank="1" showInputMessage="1" showErrorMessage="1" prompt="U ovom stupcu automatski izračunava ukupan broj dana tijekom kojih je zaposlenik izostao ovog mjeseca" sqref="AH6" xr:uid="{00000000-0002-0000-0800-00000B000000}"/>
    <dataValidation allowBlank="1" showInputMessage="1" showErrorMessage="1" prompt="Automatski ažurirana godina na temelju godine unesene na radnom listu Siječanj" sqref="AH4" xr:uid="{00000000-0002-0000-0800-00000C000000}"/>
    <dataValidation allowBlank="1" showInputMessage="1" showErrorMessage="1" prompt="Dani u tjednu u ovom retku automatski se ažuriraju za mjesec u skladu s godinom u ćeliji AH4. Svaki je dan u mjesecu stupac za bilježenje zaposlenikova izostanka i vrste izostanka" sqref="C5" xr:uid="{00000000-0002-0000-0800-00000D000000}"/>
  </dataValidations>
  <printOptions horizontalCentered="1"/>
  <pageMargins left="0.25" right="0.25" top="0.75" bottom="0.75" header="0.3" footer="0.3"/>
  <pageSetup paperSize="9" scale="64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A021984-06A1-41D9-90D2-8C16E885020B}">
            <x14:dataBar minLength="0" maxLength="100">
              <x14:cfvo type="autoMin"/>
              <x14:cfvo type="formula">
                <xm:f>DATEDIF(DATE(KalendarskaGodina,2,1),DATE(KalendarskaGodina,3,1),"d")</xm:f>
              </x14:cfvo>
              <x14:negativeFillColor rgb="FFFF0000"/>
              <x14:axisColor rgb="FF000000"/>
            </x14:dataBar>
          </x14:cfRule>
          <xm:sqref>AH7:AH11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E000000}">
          <x14:formula1>
            <xm:f>'Imena zaposlenika'!$B$4:$B$8</xm:f>
          </x14:formula1>
          <xm:sqref>B7:B11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13</vt:i4>
      </vt:variant>
      <vt:variant>
        <vt:lpstr>Imenovani rasponi</vt:lpstr>
      </vt:variant>
      <vt:variant>
        <vt:i4>50</vt:i4>
      </vt:variant>
    </vt:vector>
  </HeadingPairs>
  <TitlesOfParts>
    <vt:vector size="63" baseType="lpstr">
      <vt:lpstr>Siječanj</vt:lpstr>
      <vt:lpstr>Veljača</vt:lpstr>
      <vt:lpstr>Ožujak</vt:lpstr>
      <vt:lpstr>Travanj</vt:lpstr>
      <vt:lpstr>Svibanj</vt:lpstr>
      <vt:lpstr>Lipanj</vt:lpstr>
      <vt:lpstr>Srpanj</vt:lpstr>
      <vt:lpstr>Kolovoz</vt:lpstr>
      <vt:lpstr>Rujan</vt:lpstr>
      <vt:lpstr>Listopad</vt:lpstr>
      <vt:lpstr>Studeni</vt:lpstr>
      <vt:lpstr>Prosinac</vt:lpstr>
      <vt:lpstr>Imena zaposlenika</vt:lpstr>
      <vt:lpstr>Kolovoz!Ispis_naslova</vt:lpstr>
      <vt:lpstr>Lipanj!Ispis_naslova</vt:lpstr>
      <vt:lpstr>Listopad!Ispis_naslova</vt:lpstr>
      <vt:lpstr>Ožujak!Ispis_naslova</vt:lpstr>
      <vt:lpstr>Prosinac!Ispis_naslova</vt:lpstr>
      <vt:lpstr>Rujan!Ispis_naslova</vt:lpstr>
      <vt:lpstr>Siječanj!Ispis_naslova</vt:lpstr>
      <vt:lpstr>Srpanj!Ispis_naslova</vt:lpstr>
      <vt:lpstr>Studeni!Ispis_naslova</vt:lpstr>
      <vt:lpstr>Svibanj!Ispis_naslova</vt:lpstr>
      <vt:lpstr>Travanj!Ispis_naslova</vt:lpstr>
      <vt:lpstr>Veljača!Ispis_naslova</vt:lpstr>
      <vt:lpstr>KalendarskaGodina</vt:lpstr>
      <vt:lpstr>Naslov_Izostanak_zaposlenika</vt:lpstr>
      <vt:lpstr>Naslov1</vt:lpstr>
      <vt:lpstr>Naslov10</vt:lpstr>
      <vt:lpstr>Naslov11</vt:lpstr>
      <vt:lpstr>Naslov12</vt:lpstr>
      <vt:lpstr>Naslov2</vt:lpstr>
      <vt:lpstr>Naslov3</vt:lpstr>
      <vt:lpstr>Naslov4</vt:lpstr>
      <vt:lpstr>Naslov5</vt:lpstr>
      <vt:lpstr>Naslov6</vt:lpstr>
      <vt:lpstr>Naslov7</vt:lpstr>
      <vt:lpstr>Naslov8</vt:lpstr>
      <vt:lpstr>Naslov9</vt:lpstr>
      <vt:lpstr>Kolovoz!NazivMjeseca</vt:lpstr>
      <vt:lpstr>Lipanj!NazivMjeseca</vt:lpstr>
      <vt:lpstr>Listopad!NazivMjeseca</vt:lpstr>
      <vt:lpstr>Ožujak!NazivMjeseca</vt:lpstr>
      <vt:lpstr>Prosinac!NazivMjeseca</vt:lpstr>
      <vt:lpstr>Rujan!NazivMjeseca</vt:lpstr>
      <vt:lpstr>Siječanj!NazivMjeseca</vt:lpstr>
      <vt:lpstr>Srpanj!NazivMjeseca</vt:lpstr>
      <vt:lpstr>Studeni!NazivMjeseca</vt:lpstr>
      <vt:lpstr>Svibanj!NazivMjeseca</vt:lpstr>
      <vt:lpstr>Travanj!NazivMjeseca</vt:lpstr>
      <vt:lpstr>Veljača!NazivMjeseca</vt:lpstr>
      <vt:lpstr>NazivStupca13</vt:lpstr>
      <vt:lpstr>Oznaka_ime</vt:lpstr>
      <vt:lpstr>OznakaBolovanje</vt:lpstr>
      <vt:lpstr>OznakaBolovanjeNatpis</vt:lpstr>
      <vt:lpstr>OznakaGodišnjiOdmor</vt:lpstr>
      <vt:lpstr>OznakaGodišnjiOdmorNatpis</vt:lpstr>
      <vt:lpstr>OznakaOsobniRazlozi</vt:lpstr>
      <vt:lpstr>OznakaOsobniRazloziNatpis</vt:lpstr>
      <vt:lpstr>OznakaPrilagođeno1</vt:lpstr>
      <vt:lpstr>OznakaPrilagođeno1Natpis</vt:lpstr>
      <vt:lpstr>OznakaPrilagođeno2</vt:lpstr>
      <vt:lpstr>OznakaPrilagođeno2Natpis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2016-12-06T04:52:27Z</dcterms:created>
  <dcterms:modified xsi:type="dcterms:W3CDTF">2019-07-24T09:41:27Z</dcterms:modified>
</cp:coreProperties>
</file>