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303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HRV\Desktop\12\"/>
    </mc:Choice>
  </mc:AlternateContent>
  <bookViews>
    <workbookView xWindow="0" yWindow="60" windowWidth="19440" windowHeight="14175"/>
  </bookViews>
  <sheets>
    <sheet name="Unos podataka" sheetId="1" r:id="rId1"/>
    <sheet name="Izvješće o prodaji" sheetId="2" r:id="rId2"/>
    <sheet name="Predviđanje prodaje" sheetId="5" r:id="rId3"/>
  </sheets>
  <definedNames>
    <definedName name="DatumPrognoze">'Predviđanje prodaje'!$D$3</definedName>
    <definedName name="fDan">'Predviđanje prodaje'!$H$2</definedName>
    <definedName name="fDatum">'Predviđanje prodaje'!$D$3</definedName>
    <definedName name="fGodina">'Predviđanje prodaje'!$I$2</definedName>
    <definedName name="fMjesec">'Predviđanje prodaje'!$G$2</definedName>
    <definedName name="_xlnm.Print_Titles" localSheetId="1">'Izvješće o prodaji'!$B:$E,'Izvješće o prodaji'!$5:$5</definedName>
    <definedName name="Područje_ispisa" localSheetId="2">'Predviđanje prodaje'!$B$2:$J$43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N6" i="1" l="1"/>
  <c r="L6" i="1"/>
  <c r="K6" i="1"/>
  <c r="O6" i="1" s="1"/>
  <c r="J6" i="1"/>
  <c r="Q6" i="1" s="1"/>
  <c r="H6" i="1"/>
  <c r="I6" i="1" s="1"/>
  <c r="N7" i="1"/>
  <c r="L7" i="1"/>
  <c r="K7" i="1"/>
  <c r="O7" i="1" s="1"/>
  <c r="J7" i="1"/>
  <c r="Q7" i="1" s="1"/>
  <c r="H7" i="1"/>
  <c r="I7" i="1" s="1"/>
  <c r="N8" i="1"/>
  <c r="L8" i="1"/>
  <c r="K8" i="1"/>
  <c r="O8" i="1" s="1"/>
  <c r="J8" i="1"/>
  <c r="Q8" i="1" s="1"/>
  <c r="H8" i="1"/>
  <c r="I8" i="1" s="1"/>
  <c r="N9" i="1"/>
  <c r="L9" i="1"/>
  <c r="K9" i="1"/>
  <c r="O9" i="1" s="1"/>
  <c r="J9" i="1"/>
  <c r="Q9" i="1" s="1"/>
  <c r="H9" i="1"/>
  <c r="I9" i="1" s="1"/>
  <c r="N10" i="1"/>
  <c r="L10" i="1"/>
  <c r="K10" i="1"/>
  <c r="O10" i="1" s="1"/>
  <c r="J10" i="1"/>
  <c r="Q10" i="1" s="1"/>
  <c r="H10" i="1"/>
  <c r="I10" i="1" s="1"/>
  <c r="N11" i="1"/>
  <c r="L11" i="1"/>
  <c r="K11" i="1"/>
  <c r="O11" i="1" s="1"/>
  <c r="J11" i="1"/>
  <c r="Q11" i="1" s="1"/>
  <c r="H11" i="1"/>
  <c r="I11" i="1" s="1"/>
  <c r="N12" i="1"/>
  <c r="L12" i="1"/>
  <c r="K12" i="1"/>
  <c r="O12" i="1" s="1"/>
  <c r="J12" i="1"/>
  <c r="Q12" i="1" s="1"/>
  <c r="H12" i="1"/>
  <c r="I12" i="1" s="1"/>
  <c r="N13" i="1"/>
  <c r="L13" i="1"/>
  <c r="K13" i="1"/>
  <c r="O13" i="1" s="1"/>
  <c r="J13" i="1"/>
  <c r="Q13" i="1" s="1"/>
  <c r="H13" i="1"/>
  <c r="I13" i="1" s="1"/>
  <c r="N14" i="1"/>
  <c r="L14" i="1"/>
  <c r="K14" i="1"/>
  <c r="O14" i="1" s="1"/>
  <c r="J14" i="1"/>
  <c r="Q14" i="1" s="1"/>
  <c r="H14" i="1"/>
  <c r="I14" i="1" s="1"/>
  <c r="N15" i="1"/>
  <c r="L15" i="1"/>
  <c r="K15" i="1"/>
  <c r="O15" i="1" s="1"/>
  <c r="J15" i="1"/>
  <c r="Q15" i="1" s="1"/>
  <c r="H15" i="1"/>
  <c r="I15" i="1" s="1"/>
  <c r="N16" i="1"/>
  <c r="L16" i="1"/>
  <c r="K16" i="1"/>
  <c r="O16" i="1" s="1"/>
  <c r="J16" i="1"/>
  <c r="Q16" i="1" s="1"/>
  <c r="H16" i="1"/>
  <c r="I16" i="1" s="1"/>
  <c r="N17" i="1"/>
  <c r="L17" i="1"/>
  <c r="K17" i="1"/>
  <c r="O17" i="1" s="1"/>
  <c r="J17" i="1"/>
  <c r="Q17" i="1" s="1"/>
  <c r="H17" i="1"/>
  <c r="I17" i="1" s="1"/>
  <c r="N18" i="1"/>
  <c r="L18" i="1"/>
  <c r="K18" i="1"/>
  <c r="O18" i="1" s="1"/>
  <c r="J18" i="1"/>
  <c r="Q18" i="1" s="1"/>
  <c r="H18" i="1"/>
  <c r="I18" i="1" s="1"/>
  <c r="N19" i="1"/>
  <c r="L19" i="1"/>
  <c r="K19" i="1"/>
  <c r="O19" i="1" s="1"/>
  <c r="J19" i="1"/>
  <c r="Q19" i="1" s="1"/>
  <c r="H19" i="1"/>
  <c r="I19" i="1" s="1"/>
  <c r="N20" i="1"/>
  <c r="L20" i="1"/>
  <c r="K20" i="1"/>
  <c r="O20" i="1" s="1"/>
  <c r="J20" i="1"/>
  <c r="Q20" i="1" s="1"/>
  <c r="H20" i="1"/>
  <c r="I20" i="1" s="1"/>
  <c r="N21" i="1"/>
  <c r="L21" i="1"/>
  <c r="K21" i="1"/>
  <c r="O21" i="1" s="1"/>
  <c r="J21" i="1"/>
  <c r="Q21" i="1" s="1"/>
  <c r="H21" i="1"/>
  <c r="I21" i="1" s="1"/>
  <c r="N22" i="1"/>
  <c r="L22" i="1"/>
  <c r="K22" i="1"/>
  <c r="O22" i="1" s="1"/>
  <c r="J22" i="1"/>
  <c r="Q22" i="1" s="1"/>
  <c r="H22" i="1"/>
  <c r="I22" i="1" s="1"/>
  <c r="N23" i="1"/>
  <c r="L23" i="1"/>
  <c r="K23" i="1"/>
  <c r="O23" i="1" s="1"/>
  <c r="J23" i="1"/>
  <c r="Q23" i="1" s="1"/>
  <c r="H23" i="1"/>
  <c r="I23" i="1" s="1"/>
  <c r="N24" i="1"/>
  <c r="L24" i="1"/>
  <c r="K24" i="1"/>
  <c r="O24" i="1" s="1"/>
  <c r="J24" i="1"/>
  <c r="Q24" i="1" s="1"/>
  <c r="H24" i="1"/>
  <c r="I24" i="1" s="1"/>
  <c r="D3" i="5"/>
  <c r="I14" i="5" s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P24" i="1" s="1"/>
  <c r="D14" i="5"/>
  <c r="F14" i="5"/>
  <c r="H7" i="5"/>
  <c r="H8" i="5"/>
  <c r="G8" i="5"/>
  <c r="G10" i="5"/>
  <c r="G6" i="5"/>
  <c r="G7" i="5"/>
  <c r="D7" i="5"/>
  <c r="D8" i="5"/>
  <c r="C8" i="5"/>
  <c r="C10" i="5"/>
  <c r="C6" i="5"/>
  <c r="C7" i="5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J7" i="5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<sst xmlns="http://schemas.openxmlformats.org/spreadsheetml/2006/main" count="94" uniqueCount="57">
  <si>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Datum Corporation</t>
  </si>
  <si>
    <t>Contoso Pharmaceuticals</t>
  </si>
  <si>
    <t>Consolidated Messenger</t>
  </si>
  <si>
    <t>Proseware, Inc.</t>
  </si>
  <si>
    <t>School of Fine Art</t>
  </si>
  <si>
    <t>Trey Research</t>
  </si>
  <si>
    <t>%</t>
  </si>
  <si>
    <t>Količina</t>
  </si>
  <si>
    <t>Prihodi</t>
  </si>
  <si>
    <t>Marža</t>
  </si>
  <si>
    <t>Broj narudžbi</t>
  </si>
  <si>
    <t>Prosječna vrijednost narudžbe</t>
  </si>
  <si>
    <t>Prodaja</t>
  </si>
  <si>
    <r>
      <rPr>
        <sz val="22"/>
        <color theme="3"/>
        <rFont val="Arial Black"/>
        <family val="2"/>
        <scheme val="major"/>
      </rPr>
      <t xml:space="preserve">MJESEČNO </t>
    </r>
    <r>
      <rPr>
        <sz val="22"/>
        <color theme="4"/>
        <rFont val="Arial"/>
        <family val="2"/>
        <scheme val="minor"/>
      </rPr>
      <t>UNOS PODATAKA</t>
    </r>
  </si>
  <si>
    <t>MJESEC</t>
  </si>
  <si>
    <t>TROMJESEČJE</t>
  </si>
  <si>
    <t xml:space="preserve"> MJESEC</t>
  </si>
  <si>
    <t>GODIŠNJE</t>
  </si>
  <si>
    <t>GODINA</t>
  </si>
  <si>
    <t>DATUM</t>
  </si>
  <si>
    <t>TVRTKA</t>
  </si>
  <si>
    <t>IZNOS</t>
  </si>
  <si>
    <t>PLANIRANO</t>
  </si>
  <si>
    <t>TROŠAK</t>
  </si>
  <si>
    <t>PRIHOD</t>
  </si>
  <si>
    <t>BR. MJESECA (SAKRIJ)</t>
  </si>
  <si>
    <t>PREDVIĐANJE</t>
  </si>
  <si>
    <t>UKUPNO</t>
  </si>
  <si>
    <r>
      <rPr>
        <sz val="22"/>
        <color theme="3"/>
        <rFont val="Arial Black"/>
        <family val="2"/>
        <scheme val="major"/>
      </rPr>
      <t xml:space="preserve">MJESEČNO </t>
    </r>
    <r>
      <rPr>
        <sz val="22"/>
        <color theme="4"/>
        <rFont val="Arial"/>
        <family val="2"/>
        <scheme val="minor"/>
      </rPr>
      <t>PREDVIĐANJE PRODAJE</t>
    </r>
  </si>
  <si>
    <t>OVAJ MJESEC</t>
  </si>
  <si>
    <t>STVARNO</t>
  </si>
  <si>
    <t>PLANIRANO –</t>
  </si>
  <si>
    <t>ODSTUPANJE</t>
  </si>
  <si>
    <t>OSTVARENJE ZA OVU GODINU DO DANAS</t>
  </si>
  <si>
    <t>PLANIRANO ZA OVU GODINU DO DANAS</t>
  </si>
  <si>
    <t>ODSTUPANJE ZA OVU GODINU DO DANAS</t>
  </si>
  <si>
    <t>SLJEDEĆI MJESEC</t>
  </si>
  <si>
    <t>SLJEDEĆE TROMJESEČJE</t>
  </si>
  <si>
    <t>SLJEDEĆA GODINA</t>
  </si>
  <si>
    <t>PROŠLA PRODAJA</t>
  </si>
  <si>
    <t>PREDVIĐANJE ZA GODINU</t>
  </si>
  <si>
    <t>TOK PRIHODA</t>
  </si>
  <si>
    <t>PREDVIĐANJE ZA MJESEC</t>
  </si>
  <si>
    <t>PREDVIĐANJE ZA TROMJESEČJE</t>
  </si>
  <si>
    <r>
      <rPr>
        <sz val="22"/>
        <color theme="3"/>
        <rFont val="Arial Black"/>
        <family val="2"/>
        <scheme val="major"/>
      </rPr>
      <t xml:space="preserve">MJESEČNO </t>
    </r>
    <r>
      <rPr>
        <sz val="22"/>
        <color theme="4"/>
        <rFont val="Arial"/>
        <family val="2"/>
        <scheme val="minor"/>
      </rPr>
      <t>IZVJEŠĆE O PRODAJI</t>
    </r>
  </si>
  <si>
    <t xml:space="preserve"> </t>
  </si>
  <si>
    <t>% OVE GODINE DO DANAS</t>
  </si>
  <si>
    <t>TROMJESEČJE2</t>
  </si>
  <si>
    <t xml:space="preserve"> MJESEC3</t>
  </si>
  <si>
    <t>TROMJESEČJE4</t>
  </si>
  <si>
    <t>GODINA5</t>
  </si>
  <si>
    <t>Ukupni zbroj</t>
  </si>
  <si>
    <t>2013 Zbroj</t>
  </si>
  <si>
    <t>Tromjesečje 2 Zbroj</t>
  </si>
  <si>
    <t>Tromjesečje 3 Zbroj</t>
  </si>
  <si>
    <t>Tromjesečje 4 Zbroj</t>
  </si>
  <si>
    <t>PRODEJ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</si>
</sst>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k_n_-;\-* #,##0.00\ _k_n_-;_-* &quot;-&quot;??\ _k_n_-;_-@_-"/>
    <numFmt numFmtId="165" formatCode="&quot;$&quot;#,##0.00"/>
    <numFmt numFmtId="166" formatCode="mmmm"/>
    <numFmt numFmtId="167" formatCode="#,##0.00\ &quot;kn&quot;"/>
    <numFmt numFmtId="168" formatCode="&quot;Tromjesečje &quot;0"/>
  </numFmts>
  <fonts count="15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165" fontId="7" fillId="0" borderId="4" xfId="4" applyNumberFormat="1" applyFill="1" applyBorder="1" applyAlignment="1">
      <alignment horizontal="left" vertical="center"/>
    </xf>
    <xf numFmtId="165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5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5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7" fontId="0" fillId="0" borderId="0" xfId="0" applyNumberFormat="1">
      <alignment vertical="center"/>
    </xf>
    <xf numFmtId="167" fontId="10" fillId="0" borderId="0" xfId="0" applyNumberFormat="1" applyFont="1">
      <alignment vertical="center"/>
    </xf>
    <xf numFmtId="167" fontId="3" fillId="4" borderId="0" xfId="0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7" fontId="9" fillId="5" borderId="1" xfId="0" applyNumberFormat="1" applyFont="1" applyFill="1" applyBorder="1" applyAlignment="1">
      <alignment horizontal="left" vertical="center" indent="1"/>
    </xf>
    <xf numFmtId="167" fontId="11" fillId="0" borderId="3" xfId="0" applyNumberFormat="1" applyFont="1" applyBorder="1" applyAlignment="1">
      <alignment horizontal="left"/>
    </xf>
    <xf numFmtId="168" fontId="0" fillId="0" borderId="0" xfId="0" applyNumberFormat="1">
      <alignment vertical="center"/>
    </xf>
    <xf numFmtId="0" fontId="0" fillId="0" borderId="0" xfId="0" applyNumberFormat="1">
      <alignment vertical="center"/>
    </xf>
    <xf numFmtId="168" fontId="3" fillId="5" borderId="0" xfId="0" applyNumberFormat="1" applyFont="1" applyFill="1" applyBorder="1" applyAlignment="1">
      <alignment horizontal="left" vertical="center"/>
    </xf>
    <xf numFmtId="166" fontId="0" fillId="0" borderId="0" xfId="0" applyNumberFormat="1">
      <alignment vertical="center"/>
    </xf>
  </cellXfs>
  <cellStyles count="5">
    <cellStyle name="Naslov 1" xfId="2" builtinId="16" customBuiltin="1"/>
    <cellStyle name="Naslov 2" xfId="3" builtinId="17" customBuiltin="1"/>
    <cellStyle name="Naslov 4" xfId="4" builtinId="19" customBuiltin="1"/>
    <cellStyle name="Normalno" xfId="0" builtinId="0" customBuiltin="1"/>
    <cellStyle name="Zarez" xfId="1" builtinId="3"/>
  </cellStyles>
  <dxfs count="39">
    <dxf>
      <numFmt numFmtId="167" formatCode="#,##0.00\ &quot;kn&quot;"/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numFmt numFmtId="167" formatCode="#,##0.00\ &quot;kn&quot;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Tromjesečje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6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Tromjesečje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Tromjesečje &quot;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Izvješće o prodaji Table Style" defaultPivotStyle="Monthly Izvješće o prodaji PivotTable Style">
    <tableStyle name="Monthly Izvješće o prodaji PivotTable Style" table="0" count="8">
      <tableStyleElement type="wholeTable" dxfId="38"/>
      <tableStyleElement type="headerRow" dxfId="37"/>
      <tableStyleElement type="totalRow" dxfId="36"/>
      <tableStyleElement type="secondSubtotalRow" dxfId="35"/>
      <tableStyleElement type="thirdSubtotalRow" dxfId="34"/>
      <tableStyleElement type="firstRowSubheading" dxfId="33"/>
      <tableStyleElement type="secondRowSubheading" dxfId="32"/>
      <tableStyleElement type="thirdRowSubheading" dxfId="31"/>
    </tableStyle>
    <tableStyle name="Monthly Izvješće o prodaji Table Style" pivot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podataka'!$D$5</c:f>
              <c:strCache>
                <c:ptCount val="1"/>
                <c:pt idx="0">
                  <c:v>IZNOS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podataka'!$D$6:$D$24</c:f>
              <c:numCache>
                <c:formatCode>#,##0.00\ "kn"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'Unos podataka'!$E$5</c:f>
              <c:strCache>
                <c:ptCount val="1"/>
                <c:pt idx="0">
                  <c:v>PLANIRANO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podataka'!$E$6:$E$24</c:f>
              <c:numCache>
                <c:formatCode>#,##0.00\ "kn"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'Unos podataka'!$F$5</c:f>
              <c:strCache>
                <c:ptCount val="1"/>
                <c:pt idx="0">
                  <c:v>TROŠAK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podataka'!$F$6:$F$24</c:f>
              <c:numCache>
                <c:formatCode>#,##0.00\ "kn"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'Unos podataka'!$G$5</c:f>
              <c:strCache>
                <c:ptCount val="1"/>
                <c:pt idx="0">
                  <c:v>PRIHOD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podataka'!$G$6:$G$24</c:f>
              <c:numCache>
                <c:formatCode>#,##0.00\ "kn"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17296"/>
        <c:axId val="122317688"/>
      </c:lineChart>
      <c:dateAx>
        <c:axId val="122317296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22317688"/>
        <c:crosses val="autoZero"/>
        <c:auto val="1"/>
        <c:lblOffset val="100"/>
        <c:baseTimeUnit val="days"/>
        <c:majorUnit val="1"/>
        <c:majorTimeUnit val="months"/>
      </c:dateAx>
      <c:valAx>
        <c:axId val="12231768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kn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22317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podataka'!$O$5</c:f>
              <c:strCache>
                <c:ptCount val="1"/>
                <c:pt idx="0">
                  <c:v> MJESEC3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podataka'!$O$6:$O$24</c:f>
              <c:numCache>
                <c:formatCode>#,##0.00\ "kn"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18472"/>
        <c:axId val="122318864"/>
      </c:lineChart>
      <c:dateAx>
        <c:axId val="12231847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22318864"/>
        <c:crosses val="autoZero"/>
        <c:auto val="1"/>
        <c:lblOffset val="100"/>
        <c:baseTimeUnit val="days"/>
        <c:majorUnit val="1"/>
        <c:majorTimeUnit val="months"/>
      </c:dateAx>
      <c:valAx>
        <c:axId val="1223188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kn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223184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podataka'!$P$5</c:f>
              <c:strCache>
                <c:ptCount val="1"/>
                <c:pt idx="0">
                  <c:v>TROMJESEČJE4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podataka'!$P$6:$P$24</c:f>
              <c:numCache>
                <c:formatCode>#,##0.00\ "kn"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19648"/>
        <c:axId val="122320040"/>
      </c:lineChart>
      <c:dateAx>
        <c:axId val="12231964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22320040"/>
        <c:crosses val="autoZero"/>
        <c:auto val="1"/>
        <c:lblOffset val="100"/>
        <c:baseTimeUnit val="days"/>
        <c:majorUnit val="1"/>
        <c:majorTimeUnit val="months"/>
      </c:dateAx>
      <c:valAx>
        <c:axId val="1223200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kn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22319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podataka'!$Q$5</c:f>
              <c:strCache>
                <c:ptCount val="1"/>
                <c:pt idx="0">
                  <c:v>GODINA5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podataka'!$Q$6:$Q$24</c:f>
              <c:numCache>
                <c:formatCode>#,##0.00\ "kn"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20824"/>
        <c:axId val="122321216"/>
      </c:lineChart>
      <c:dateAx>
        <c:axId val="12232082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22321216"/>
        <c:crosses val="autoZero"/>
        <c:auto val="1"/>
        <c:lblOffset val="100"/>
        <c:baseTimeUnit val="days"/>
        <c:majorUnit val="1"/>
        <c:majorTimeUnit val="months"/>
      </c:dateAx>
      <c:valAx>
        <c:axId val="1223212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kn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223208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podataka'!$G$5</c:f>
              <c:strCache>
                <c:ptCount val="1"/>
                <c:pt idx="0">
                  <c:v>PRIHOD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podataka'!$G$6:$G$24</c:f>
              <c:numCache>
                <c:formatCode>#,##0.00\ "kn"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75344"/>
        <c:axId val="167575736"/>
      </c:lineChart>
      <c:dateAx>
        <c:axId val="16757534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7575736"/>
        <c:crosses val="autoZero"/>
        <c:auto val="1"/>
        <c:lblOffset val="100"/>
        <c:baseTimeUnit val="days"/>
        <c:majorUnit val="1"/>
        <c:majorTimeUnit val="months"/>
      </c:dateAx>
      <c:valAx>
        <c:axId val="1675757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kn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675753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edvi&#273;anje prodaje'!A1"/><Relationship Id="rId1" Type="http://schemas.openxmlformats.org/officeDocument/2006/relationships/hyperlink" Target="#'Izvje&#353;&#263;e o prodaj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edvi&#273;anje prodaje'!A1"/><Relationship Id="rId1" Type="http://schemas.openxmlformats.org/officeDocument/2006/relationships/hyperlink" Target="#'Unos podatak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Izvje&#353;&#263;e o prodaj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Unos podataka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</xdr:row>
      <xdr:rowOff>76200</xdr:rowOff>
    </xdr:from>
    <xdr:to>
      <xdr:col>8</xdr:col>
      <xdr:colOff>123825</xdr:colOff>
      <xdr:row>1</xdr:row>
      <xdr:rowOff>304800</xdr:rowOff>
    </xdr:to>
    <xdr:sp macro="" textlink="">
      <xdr:nvSpPr>
        <xdr:cNvPr id="2" name="Izvješće o prodaji" descr="Click to view Izvješće o prodaji sheet." title="Izvješće o prodaji navigation button">
          <a:hlinkClick xmlns:r="http://schemas.openxmlformats.org/officeDocument/2006/relationships" r:id="rId1" tooltip="Kliknite da biste prikazali list izvješća o prodaji"/>
        </xdr:cNvPr>
        <xdr:cNvSpPr/>
      </xdr:nvSpPr>
      <xdr:spPr>
        <a:xfrm>
          <a:off x="5514975" y="219075"/>
          <a:ext cx="1381125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Izvješće o prodaji</a:t>
          </a:r>
        </a:p>
      </xdr:txBody>
    </xdr:sp>
    <xdr:clientData fPrintsWithSheet="0"/>
  </xdr:twoCellAnchor>
  <xdr:twoCellAnchor>
    <xdr:from>
      <xdr:col>8</xdr:col>
      <xdr:colOff>190500</xdr:colOff>
      <xdr:row>1</xdr:row>
      <xdr:rowOff>76200</xdr:rowOff>
    </xdr:from>
    <xdr:to>
      <xdr:col>9</xdr:col>
      <xdr:colOff>485775</xdr:colOff>
      <xdr:row>1</xdr:row>
      <xdr:rowOff>304799</xdr:rowOff>
    </xdr:to>
    <xdr:sp macro="" textlink="">
      <xdr:nvSpPr>
        <xdr:cNvPr id="3" name="Predviđanje prodaje" descr="Click to view Predviđanje prodaje sheet." title="Predviđanje prodaje navigation button">
          <a:hlinkClick xmlns:r="http://schemas.openxmlformats.org/officeDocument/2006/relationships" r:id="rId2" tooltip="Kliknite da biste prikazali list Prognoza prodaje"/>
        </xdr:cNvPr>
        <xdr:cNvSpPr/>
      </xdr:nvSpPr>
      <xdr:spPr>
        <a:xfrm>
          <a:off x="6962775" y="219075"/>
          <a:ext cx="1466850" cy="22859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Predviđanje prodaje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1714501</xdr:colOff>
      <xdr:row>1</xdr:row>
      <xdr:rowOff>85724</xdr:rowOff>
    </xdr:from>
    <xdr:to>
      <xdr:col>6</xdr:col>
      <xdr:colOff>228601</xdr:colOff>
      <xdr:row>1</xdr:row>
      <xdr:rowOff>316124</xdr:rowOff>
    </xdr:to>
    <xdr:sp macro="" textlink="">
      <xdr:nvSpPr>
        <xdr:cNvPr id="7" name="Izvješće o prodaji" descr="Click to view Unos podataka sheet." title="Unos podataka navigation button">
          <a:hlinkClick xmlns:r="http://schemas.openxmlformats.org/officeDocument/2006/relationships" r:id="rId1" tooltip="Kliknite da biste prikazali list Unos podataka"/>
        </xdr:cNvPr>
        <xdr:cNvSpPr/>
      </xdr:nvSpPr>
      <xdr:spPr>
        <a:xfrm>
          <a:off x="6115051" y="228599"/>
          <a:ext cx="1371600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Unos podataka</a:t>
          </a:r>
        </a:p>
      </xdr:txBody>
    </xdr:sp>
    <xdr:clientData fPrintsWithSheet="0"/>
  </xdr:twoCellAnchor>
  <xdr:twoCellAnchor>
    <xdr:from>
      <xdr:col>6</xdr:col>
      <xdr:colOff>295275</xdr:colOff>
      <xdr:row>1</xdr:row>
      <xdr:rowOff>85727</xdr:rowOff>
    </xdr:from>
    <xdr:to>
      <xdr:col>9</xdr:col>
      <xdr:colOff>180975</xdr:colOff>
      <xdr:row>1</xdr:row>
      <xdr:rowOff>304801</xdr:rowOff>
    </xdr:to>
    <xdr:sp macro="" textlink="">
      <xdr:nvSpPr>
        <xdr:cNvPr id="8" name="Predviđanje prodaje" descr="Click to view Predviđanje prodaje sheet." title="Predviđanje prodaje navigation button">
          <a:hlinkClick xmlns:r="http://schemas.openxmlformats.org/officeDocument/2006/relationships" r:id="rId2" tooltip="Kliknite da biste prikazali list Prognoza prodaje"/>
        </xdr:cNvPr>
        <xdr:cNvSpPr/>
      </xdr:nvSpPr>
      <xdr:spPr>
        <a:xfrm>
          <a:off x="7058025" y="228602"/>
          <a:ext cx="1485900" cy="21907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Predviđanje prodaje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114299</xdr:rowOff>
    </xdr:from>
    <xdr:to>
      <xdr:col>7</xdr:col>
      <xdr:colOff>1238250</xdr:colOff>
      <xdr:row>28</xdr:row>
      <xdr:rowOff>76200</xdr:rowOff>
    </xdr:to>
    <xdr:graphicFrame macro="">
      <xdr:nvGraphicFramePr>
        <xdr:cNvPr id="4" name="Povijest prodaje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Mjesečna prognoza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195265</xdr:colOff>
      <xdr:row>30</xdr:row>
      <xdr:rowOff>9526</xdr:rowOff>
    </xdr:from>
    <xdr:to>
      <xdr:col>7</xdr:col>
      <xdr:colOff>1333500</xdr:colOff>
      <xdr:row>36</xdr:row>
      <xdr:rowOff>76200</xdr:rowOff>
    </xdr:to>
    <xdr:graphicFrame macro="">
      <xdr:nvGraphicFramePr>
        <xdr:cNvPr id="6" name="Tromjesečna prognoza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Godišnja prognoza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198493</xdr:colOff>
      <xdr:row>38</xdr:row>
      <xdr:rowOff>9524</xdr:rowOff>
    </xdr:from>
    <xdr:to>
      <xdr:col>7</xdr:col>
      <xdr:colOff>1457325</xdr:colOff>
      <xdr:row>43</xdr:row>
      <xdr:rowOff>123825</xdr:rowOff>
    </xdr:to>
    <xdr:graphicFrame macro="">
      <xdr:nvGraphicFramePr>
        <xdr:cNvPr id="8" name="Tok prihoda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209550</xdr:colOff>
      <xdr:row>1</xdr:row>
      <xdr:rowOff>76200</xdr:rowOff>
    </xdr:from>
    <xdr:to>
      <xdr:col>6</xdr:col>
      <xdr:colOff>1285950</xdr:colOff>
      <xdr:row>1</xdr:row>
      <xdr:rowOff>304800</xdr:rowOff>
    </xdr:to>
    <xdr:sp macro="" textlink="">
      <xdr:nvSpPr>
        <xdr:cNvPr id="10" name="Izvješće o prodaji" descr="Click to view Unos podataka sheet." title="Unos podataka navigation button">
          <a:hlinkClick xmlns:r="http://schemas.openxmlformats.org/officeDocument/2006/relationships" r:id="rId6" tooltip="Kliknite da biste prikazali list Unos podataka"/>
        </xdr:cNvPr>
        <xdr:cNvSpPr/>
      </xdr:nvSpPr>
      <xdr:spPr>
        <a:xfrm>
          <a:off x="5715000" y="219075"/>
          <a:ext cx="1076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Unos podataka</a:t>
          </a:r>
        </a:p>
      </xdr:txBody>
    </xdr:sp>
    <xdr:clientData fPrintsWithSheet="0"/>
  </xdr:twoCellAnchor>
  <xdr:twoCellAnchor>
    <xdr:from>
      <xdr:col>6</xdr:col>
      <xdr:colOff>1352550</xdr:colOff>
      <xdr:row>1</xdr:row>
      <xdr:rowOff>76201</xdr:rowOff>
    </xdr:from>
    <xdr:to>
      <xdr:col>7</xdr:col>
      <xdr:colOff>123825</xdr:colOff>
      <xdr:row>1</xdr:row>
      <xdr:rowOff>304800</xdr:rowOff>
    </xdr:to>
    <xdr:sp macro="" textlink="">
      <xdr:nvSpPr>
        <xdr:cNvPr id="11" name="Predviđanje prodaje" descr="Click to view Izvješće o prodaji sheet." title="Izvješće o prodaji navigation button">
          <a:hlinkClick xmlns:r="http://schemas.openxmlformats.org/officeDocument/2006/relationships" r:id="rId7" tooltip="Kliknite da biste prikazali list izvješća o prodaji"/>
        </xdr:cNvPr>
        <xdr:cNvSpPr/>
      </xdr:nvSpPr>
      <xdr:spPr>
        <a:xfrm>
          <a:off x="6858000" y="219076"/>
          <a:ext cx="1447800" cy="22859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Izvješće o prodaji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korisnik" refreshedDate="41211.411590046293" createdVersion="5" refreshedVersion="5" minRefreshableVersion="3" recordCount="19">
  <cacheSource type="worksheet">
    <worksheetSource name="tblPodaci"/>
  </cacheSource>
  <cacheFields count="16">
    <cacheField name="DATUM" numFmtId="14">
      <sharedItems containsSemiMixedTypes="0" containsNonDate="0" containsDate="1" containsString="0" minDate="2013-04-23T00:00:00" maxDate="2013-12-12T00:00:00"/>
    </cacheField>
    <cacheField name="TVRTKA" numFmtId="0">
      <sharedItems count="6">
        <s v="A. Datum Corporation"/>
        <s v="Contoso Pharmaceuticals"/>
        <s v="Consolidated Messenger"/>
        <s v="Proseware, Inc."/>
        <s v="School of Fine Art"/>
        <s v="Trey Research"/>
      </sharedItems>
    </cacheField>
    <cacheField name="IZNOS" numFmtId="167">
      <sharedItems containsSemiMixedTypes="0" containsString="0" containsNumber="1" containsInteger="1" minValue="4400" maxValue="9500"/>
    </cacheField>
    <cacheField name="PLANIRANO" numFmtId="167">
      <sharedItems containsSemiMixedTypes="0" containsString="0" containsNumber="1" containsInteger="1" minValue="4200" maxValue="10000"/>
    </cacheField>
    <cacheField name="TROŠAK" numFmtId="167">
      <sharedItems containsSemiMixedTypes="0" containsString="0" containsNumber="1" containsInteger="1" minValue="2600" maxValue="8500"/>
    </cacheField>
    <cacheField name="PRIHOD" numFmtId="167">
      <sharedItems containsSemiMixedTypes="0" containsString="0" containsNumber="1" containsInteger="1" minValue="900" maxValue="1950"/>
    </cacheField>
    <cacheField name="MJESEC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TROMJESEČJE" numFmtId="168">
      <sharedItems containsSemiMixedTypes="0" containsString="0" containsNumber="1" containsInteger="1" minValue="2" maxValue="4" count="3">
        <n v="2"/>
        <n v="3"/>
        <n v="4"/>
      </sharedItems>
    </cacheField>
    <cacheField name="GODINA" numFmtId="0">
      <sharedItems containsSemiMixedTypes="0" containsString="0" containsNumber="1" containsInteger="1" minValue="2013" maxValue="2013" count="1">
        <n v="2013"/>
      </sharedItems>
    </cacheField>
    <cacheField name="BR. MJESECA (SAKRIJ)" numFmtId="0">
      <sharedItems containsSemiMixedTypes="0" containsString="0" containsNumber="1" containsInteger="1" minValue="4" maxValue="12"/>
    </cacheField>
    <cacheField name=" MJESEC" numFmtId="167">
      <sharedItems containsSemiMixedTypes="0" containsString="0" containsNumber="1" containsInteger="1" minValue="8700" maxValue="25600"/>
    </cacheField>
    <cacheField name="TROMJESEČJE2" numFmtId="167">
      <sharedItems containsSemiMixedTypes="0" containsString="0" containsNumber="1" containsInteger="1" minValue="43900" maxValue="50800"/>
    </cacheField>
    <cacheField name="GODIŠNJE" numFmtId="167">
      <sharedItems containsSemiMixedTypes="0" containsString="0" containsNumber="1" containsInteger="1" minValue="143800" maxValue="143800"/>
    </cacheField>
    <cacheField name=" MJESEC3" numFmtId="167">
      <sharedItems containsSemiMixedTypes="0" containsString="0" containsNumber="1" minValue="10776.470588235294" maxValue="29000"/>
    </cacheField>
    <cacheField name="TROMJESEČJE4" numFmtId="167">
      <sharedItems containsSemiMixedTypes="0" containsString="0" containsNumber="1" minValue="41288.23529411765" maxValue="50800"/>
    </cacheField>
    <cacheField name="GODINA5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2" cacheId="6" applyNumberFormats="0" applyBorderFormats="0" applyFontFormats="0" applyPatternFormats="0" applyAlignmentFormats="0" applyWidthHeightFormats="1" dataCaption="Vrijednosti" updatedVersion="5" minRefreshableVersion="3" showDrill="0" useAutoFormatting="1" itemPrintTitles="1" createdVersion="5" indent="0" compact="0" compactData="0" multipleFieldFilters="0">
  <location ref="B5:F28" firstHeaderRow="1" firstDataRow="1" firstDataCol="4"/>
  <pivotFields count="16">
    <pivotField compact="0" numFmtId="14" outline="0" showAll="0"/>
    <pivotField axis="axisRow" compact="0" outline="0" showAll="0">
      <items count="7">
        <item x="0"/>
        <item x="2"/>
        <item x="1"/>
        <item x="3"/>
        <item x="4"/>
        <item x="5"/>
        <item t="default"/>
      </items>
    </pivotField>
    <pivotField dataField="1" compact="0" numFmtId="167" outline="0" showAll="0"/>
    <pivotField compact="0" numFmtId="167" outline="0" showAll="0"/>
    <pivotField compact="0" numFmtId="167" outline="0" showAll="0"/>
    <pivotField compact="0" numFmtId="167" outline="0" showAll="0"/>
    <pivotField axis="axisRow" compact="0" numFmtId="166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8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PRODEJ CELKEM" fld="2" baseField="0" baseItem="0" numFmtId="167"/>
  </dataFields>
  <formats count="2">
    <format dxfId="6">
      <pivotArea outline="0" collapsedLevelsAreSubtotals="1" fieldPosition="0"/>
    </format>
    <format dxfId="5">
      <pivotArea dataOnly="0" outline="0" fieldPosition="0">
        <references count="1">
          <reference field="8" count="0" defaultSubtotal="1"/>
        </references>
      </pivotArea>
    </format>
  </formats>
  <pivotTableStyleInfo name="Monthly Izvješće o prodaji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Podaci" displayName="tblPodaci" ref="B5:Q24" totalsRowShown="0" headerRowDxfId="28" dataDxfId="27">
  <autoFilter ref="B5:Q24"/>
  <tableColumns count="16">
    <tableColumn id="1" name="DATUM" dataDxfId="26"/>
    <tableColumn id="2" name="TVRTKA" dataDxfId="25"/>
    <tableColumn id="3" name="IZNOS" dataDxfId="24"/>
    <tableColumn id="4" name="PLANIRANO" dataDxfId="23"/>
    <tableColumn id="5" name="TROŠAK" dataDxfId="22"/>
    <tableColumn id="16" name="PRIHOD" dataDxfId="21">
      <calculatedColumnFormula>tblPodaci[IZNOS]-tblPodaci[TROŠAK]</calculatedColumnFormula>
    </tableColumn>
    <tableColumn id="6" name="MJESEC" dataDxfId="20">
      <calculatedColumnFormula>DATE(YEAR('Unos podataka'!$B6),MONTH('Unos podataka'!$B6),1)</calculatedColumnFormula>
    </tableColumn>
    <tableColumn id="7" name="TROMJESEČJE" dataDxfId="19">
      <calculatedColumnFormula>LOOKUP(MONTH('Unos podataka'!$H6),{1,1;2,1;3,1;4,2;5,2;6,2;7,3;8,3;9,3;10,4;11,4;12,4})</calculatedColumnFormula>
    </tableColumn>
    <tableColumn id="8" name="GODINA" dataDxfId="18">
      <calculatedColumnFormula>YEAR('Unos podataka'!$B6)</calculatedColumnFormula>
    </tableColumn>
    <tableColumn id="12" name="BR. MJESECA (SAKRIJ)" dataDxfId="17">
      <calculatedColumnFormula>MONTH(tblPodaci[[#This Row],[DATUM]])</calculatedColumnFormula>
    </tableColumn>
    <tableColumn id="9" name=" MJESEC" dataDxfId="16">
      <calculatedColumnFormula>SUMIFS(tblPodaci[IZNOS],tblPodaci[DATUM],"&gt;="&amp;EOMONTH(tblPodaci[[#This Row],[DATUM]],-1)+1,tblPodaci[DATUM],"&lt;="&amp;EOMONTH(tblPodaci[[#This Row],[DATUM]],0))</calculatedColumnFormula>
    </tableColumn>
    <tableColumn id="10" name="TROMJESEČJE2" dataDxfId="15">
      <calculatedColumnFormula>SUMIFS(tblPodaci[IZNOS],tblPodaci[DATUM],"&gt;="&amp;DATE(YEAR(tblPodaci[[#This Row],[DATUM]]),1,1),tblPodaci[DATUM],"&lt;="&amp;DATE(YEAR(tblPodaci[[#This Row],[DATUM]]),12,31),tblPodaci[TROMJESEČJE],tblPodaci[[#This Row],[TROMJESEČJE]])</calculatedColumnFormula>
    </tableColumn>
    <tableColumn id="11" name="GODIŠNJE" dataDxfId="14">
      <calculatedColumnFormula>SUMIFS(tblPodaci[IZNOS],tblPodaci[DATUM],"&gt;="&amp;DATE(YEAR(tblPodaci[[#This Row],[DATUM]]),1,1),tblPodaci[DATUM],"&lt;="&amp;DATE(YEAR(tblPodaci[[#This Row],[DATUM]]),12,31))</calculatedColumnFormula>
    </tableColumn>
    <tableColumn id="13" name=" MJESEC3" dataDxfId="13">
      <calculatedColumnFormula>IFERROR(TREND($L$6:INDEX($L:$L,ROW(),1),$K$6:INDEX($K:$K,ROW(),1),IF(MONTH(tblPodaci[[#This Row],[DATUM]])=12,13,MONTH(tblPodaci[[#This Row],[DATUM]])+1)),"")</calculatedColumnFormula>
    </tableColumn>
    <tableColumn id="14" name="TROMJESEČJE4" dataDxfId="12">
      <calculatedColumnFormula>IFERROR(TREND($M$6:INDEX($M:$M,ROW(),1),$I$6:INDEX($I:$I,ROW(),1),IF(tblPodaci[[#This Row],[TROMJESEČJE]]=4,5,tblPodaci[[#This Row],[TROMJESEČJE]]+1)),"")</calculatedColumnFormula>
    </tableColumn>
    <tableColumn id="15" name="GODINA5" dataDxfId="11">
      <calculatedColumnFormula>IFERROR(TREND($N$6:INDEX($N:$N,ROW(),1),$J$6:INDEX($J:$J,ROW(),1),tblPodaci[[#This Row],[GODINA]]+1),"")</calculatedColumnFormula>
    </tableColumn>
  </tableColumns>
  <tableStyleInfo name="Monthly Izvješće o prodaji Table Style" showFirstColumn="0" showLastColumn="0" showRowStripes="0" showColumnStripes="0"/>
  <extLst>
    <ext xmlns:x14="http://schemas.microsoft.com/office/spreadsheetml/2009/9/main" uri="{504A1905-F514-4f6f-8877-14C23A59335A}">
      <x14:table altText="Tablica za unos mjesečnih podataka " altTextSummary="U ovu tablicu unesite mjesečne podatke kao što su datum, tvrtka, iznos, planirano, trošak, prihod, mjesec, tromjesečje i godina. Automatski će se izračunati trenutni i predviđeni podaci. "/>
    </ext>
  </extLst>
</table>
</file>

<file path=xl/theme/theme1.xml><?xml version="1.0" encoding="utf-8"?>
<a:theme xmlns:a="http://schemas.openxmlformats.org/drawingml/2006/main" name="Office Theme">
  <a:themeElements>
    <a:clrScheme name="Monthly Izvješće o prodaji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Izvješće o prodaj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16.6640625" style="3" customWidth="1"/>
    <col min="6" max="6" width="13.6640625" style="3" customWidth="1"/>
    <col min="7" max="7" width="16.83203125" style="3" customWidth="1"/>
    <col min="8" max="8" width="14.33203125" style="3" customWidth="1"/>
    <col min="9" max="9" width="20.5" style="3" customWidth="1"/>
    <col min="10" max="10" width="13.6640625" style="3" customWidth="1"/>
    <col min="11" max="11" width="0.83203125" style="3" customWidth="1"/>
    <col min="12" max="12" width="13.83203125" style="3" customWidth="1"/>
    <col min="13" max="13" width="20.83203125" style="3" customWidth="1"/>
    <col min="14" max="14" width="15.83203125" style="3" customWidth="1"/>
    <col min="15" max="15" width="14" style="3" customWidth="1"/>
    <col min="16" max="16" width="20.33203125" style="3" customWidth="1"/>
    <col min="17" max="17" width="14.332031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13</v>
      </c>
    </row>
    <row r="3" spans="2:17" customFormat="1" ht="17.25" customHeight="1" x14ac:dyDescent="0.2">
      <c r="J3" s="60"/>
      <c r="L3" s="23" t="s">
        <v>27</v>
      </c>
      <c r="M3" s="6"/>
      <c r="N3" s="6"/>
      <c r="O3" s="23" t="s">
        <v>26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48" t="s">
        <v>19</v>
      </c>
      <c r="C5" s="48" t="s">
        <v>20</v>
      </c>
      <c r="D5" s="36" t="s">
        <v>21</v>
      </c>
      <c r="E5" s="36" t="s">
        <v>22</v>
      </c>
      <c r="F5" s="36" t="s">
        <v>23</v>
      </c>
      <c r="G5" s="36" t="s">
        <v>24</v>
      </c>
      <c r="H5" s="36" t="s">
        <v>14</v>
      </c>
      <c r="I5" s="36" t="s">
        <v>15</v>
      </c>
      <c r="J5" s="36" t="s">
        <v>18</v>
      </c>
      <c r="K5" s="36" t="s">
        <v>25</v>
      </c>
      <c r="L5" s="36" t="s">
        <v>16</v>
      </c>
      <c r="M5" s="36" t="s">
        <v>47</v>
      </c>
      <c r="N5" s="36" t="s">
        <v>17</v>
      </c>
      <c r="O5" s="36" t="s">
        <v>48</v>
      </c>
      <c r="P5" s="36" t="s">
        <v>49</v>
      </c>
      <c r="Q5" s="36" t="s">
        <v>50</v>
      </c>
    </row>
    <row r="6" spans="2:17" ht="17.25" customHeight="1" x14ac:dyDescent="0.2">
      <c r="B6" s="49">
        <f>40657+(365*2)</f>
        <v>41387</v>
      </c>
      <c r="C6" s="4" t="s">
        <v>0</v>
      </c>
      <c r="D6" s="55">
        <v>6400</v>
      </c>
      <c r="E6" s="55">
        <v>6200</v>
      </c>
      <c r="F6" s="55">
        <v>4450</v>
      </c>
      <c r="G6" s="56">
        <f>tblPodaci[IZNOS]-tblPodaci[TROŠAK]</f>
        <v>1950</v>
      </c>
      <c r="H6" s="5">
        <f>DATE(YEAR('Unos podataka'!$B6),MONTH('Unos podataka'!$B6),1)</f>
        <v>41365</v>
      </c>
      <c r="I6" s="61">
        <f>LOOKUP(MONTH('Unos podataka'!$H6),{1,1;2,1;3,1;4,2;5,2;6,2;7,3;8,3;9,3;10,4;11,4;12,4})</f>
        <v>2</v>
      </c>
      <c r="J6" s="7">
        <f>YEAR('Unos podataka'!$B6)</f>
        <v>2013</v>
      </c>
      <c r="K6" s="8">
        <f>MONTH(tblPodaci[[#This Row],[DATUM]])</f>
        <v>4</v>
      </c>
      <c r="L6" s="53">
        <f>SUMIFS(tblPodaci[IZNOS],tblPodaci[DATUM],"&gt;="&amp;EOMONTH(tblPodaci[[#This Row],[DATUM]],-1)+1,tblPodaci[DATUM],"&lt;="&amp;EOMONTH(tblPodaci[[#This Row],[DATUM]],0))</f>
        <v>14600</v>
      </c>
      <c r="M6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6" s="53">
        <f>SUMIFS(tblPodaci[IZNOS],tblPodaci[DATUM],"&gt;="&amp;DATE(YEAR(tblPodaci[[#This Row],[DATUM]]),1,1),tblPodaci[DATUM],"&lt;="&amp;DATE(YEAR(tblPodaci[[#This Row],[DATUM]]),12,31))</f>
        <v>143800</v>
      </c>
      <c r="O6" s="54">
        <f>IFERROR(TREND($L$6:INDEX($L:$L,ROW(),1),$K$6:INDEX($K:$K,ROW(),1),IF(MONTH(tblPodaci[[#This Row],[DATUM]])=12,13,MONTH(tblPodaci[[#This Row],[DATUM]])+1)),"")</f>
        <v>14600</v>
      </c>
      <c r="P6" s="54">
        <f>IFERROR(TREND($M$6:INDEX($M:$M,ROW(),1),$I$6:INDEX($I:$I,ROW(),1),IF(tblPodaci[[#This Row],[TROMJESEČJE]]=4,5,tblPodaci[[#This Row],[TROMJESEČJE]]+1)),"")</f>
        <v>50800</v>
      </c>
      <c r="Q6" s="54">
        <f>IFERROR(TREND($N$6:INDEX($N:$N,ROW(),1),$J$6:INDEX($J:$J,ROW(),1),tblPodaci[[#This Row],[GODINA]]+1),"")</f>
        <v>143800</v>
      </c>
    </row>
    <row r="7" spans="2:17" ht="17.25" customHeight="1" x14ac:dyDescent="0.2">
      <c r="B7" s="49">
        <f>40659+(365*2)</f>
        <v>41389</v>
      </c>
      <c r="C7" s="4" t="s">
        <v>1</v>
      </c>
      <c r="D7" s="55">
        <v>8200</v>
      </c>
      <c r="E7" s="55">
        <v>8000</v>
      </c>
      <c r="F7" s="55">
        <v>6400</v>
      </c>
      <c r="G7" s="56">
        <f>tblPodaci[IZNOS]-tblPodaci[TROŠAK]</f>
        <v>1800</v>
      </c>
      <c r="H7" s="5">
        <f>DATE(YEAR('Unos podataka'!$B7),MONTH('Unos podataka'!$B7),1)</f>
        <v>41365</v>
      </c>
      <c r="I7" s="61">
        <f>LOOKUP(MONTH('Unos podataka'!$H7),{1,1;2,1;3,1;4,2;5,2;6,2;7,3;8,3;9,3;10,4;11,4;12,4})</f>
        <v>2</v>
      </c>
      <c r="J7" s="7">
        <f>YEAR('Unos podataka'!$B7)</f>
        <v>2013</v>
      </c>
      <c r="K7" s="8">
        <f>MONTH(tblPodaci[[#This Row],[DATUM]])</f>
        <v>4</v>
      </c>
      <c r="L7" s="53">
        <f>SUMIFS(tblPodaci[IZNOS],tblPodaci[DATUM],"&gt;="&amp;EOMONTH(tblPodaci[[#This Row],[DATUM]],-1)+1,tblPodaci[DATUM],"&lt;="&amp;EOMONTH(tblPodaci[[#This Row],[DATUM]],0))</f>
        <v>14600</v>
      </c>
      <c r="M7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7" s="53">
        <f>SUMIFS(tblPodaci[IZNOS],tblPodaci[DATUM],"&gt;="&amp;DATE(YEAR(tblPodaci[[#This Row],[DATUM]]),1,1),tblPodaci[DATUM],"&lt;="&amp;DATE(YEAR(tblPodaci[[#This Row],[DATUM]]),12,31))</f>
        <v>143800</v>
      </c>
      <c r="O7" s="54">
        <f>IFERROR(TREND($L$6:INDEX($L:$L,ROW(),1),$K$6:INDEX($K:$K,ROW(),1),IF(MONTH(tblPodaci[[#This Row],[DATUM]])=12,13,MONTH(tblPodaci[[#This Row],[DATUM]])+1)),"")</f>
        <v>14600</v>
      </c>
      <c r="P7" s="54">
        <f>IFERROR(TREND($M$6:INDEX($M:$M,ROW(),1),$I$6:INDEX($I:$I,ROW(),1),IF(tblPodaci[[#This Row],[TROMJESEČJE]]=4,5,tblPodaci[[#This Row],[TROMJESEČJE]]+1)),"")</f>
        <v>50800</v>
      </c>
      <c r="Q7" s="54">
        <f>IFERROR(TREND($N$6:INDEX($N:$N,ROW(),1),$J$6:INDEX($J:$J,ROW(),1),tblPodaci[[#This Row],[GODINA]]+1),"")</f>
        <v>143800</v>
      </c>
    </row>
    <row r="8" spans="2:17" ht="17.25" customHeight="1" x14ac:dyDescent="0.2">
      <c r="B8" s="49">
        <f>40671+(365*2)</f>
        <v>41401</v>
      </c>
      <c r="C8" s="4" t="s">
        <v>2</v>
      </c>
      <c r="D8" s="55">
        <v>4400</v>
      </c>
      <c r="E8" s="55">
        <v>4200</v>
      </c>
      <c r="F8" s="55">
        <v>2600</v>
      </c>
      <c r="G8" s="56">
        <f>tblPodaci[IZNOS]-tblPodaci[TROŠAK]</f>
        <v>1800</v>
      </c>
      <c r="H8" s="5">
        <f>DATE(YEAR('Unos podataka'!$B8),MONTH('Unos podataka'!$B8),1)</f>
        <v>41395</v>
      </c>
      <c r="I8" s="61">
        <f>LOOKUP(MONTH('Unos podataka'!$H8),{1,1;2,1;3,1;4,2;5,2;6,2;7,3;8,3;9,3;10,4;11,4;12,4})</f>
        <v>2</v>
      </c>
      <c r="J8" s="7">
        <f>YEAR('Unos podataka'!$B8)</f>
        <v>2013</v>
      </c>
      <c r="K8" s="8">
        <f>MONTH(tblPodaci[[#This Row],[DATUM]])</f>
        <v>5</v>
      </c>
      <c r="L8" s="53">
        <f>SUMIFS(tblPodaci[IZNOS],tblPodaci[DATUM],"&gt;="&amp;EOMONTH(tblPodaci[[#This Row],[DATUM]],-1)+1,tblPodaci[DATUM],"&lt;="&amp;EOMONTH(tblPodaci[[#This Row],[DATUM]],0))</f>
        <v>21800</v>
      </c>
      <c r="M8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8" s="53">
        <f>SUMIFS(tblPodaci[IZNOS],tblPodaci[DATUM],"&gt;="&amp;DATE(YEAR(tblPodaci[[#This Row],[DATUM]]),1,1),tblPodaci[DATUM],"&lt;="&amp;DATE(YEAR(tblPodaci[[#This Row],[DATUM]]),12,31))</f>
        <v>143800</v>
      </c>
      <c r="O8" s="54">
        <f>IFERROR(TREND($L$6:INDEX($L:$L,ROW(),1),$K$6:INDEX($K:$K,ROW(),1),IF(MONTH(tblPodaci[[#This Row],[DATUM]])=12,13,MONTH(tblPodaci[[#This Row],[DATUM]])+1)),"")</f>
        <v>28999.999999999996</v>
      </c>
      <c r="P8" s="54">
        <f>IFERROR(TREND($M$6:INDEX($M:$M,ROW(),1),$I$6:INDEX($I:$I,ROW(),1),IF(tblPodaci[[#This Row],[TROMJESEČJE]]=4,5,tblPodaci[[#This Row],[TROMJESEČJE]]+1)),"")</f>
        <v>50800</v>
      </c>
      <c r="Q8" s="54">
        <f>IFERROR(TREND($N$6:INDEX($N:$N,ROW(),1),$J$6:INDEX($J:$J,ROW(),1),tblPodaci[[#This Row],[GODINA]]+1),"")</f>
        <v>143800</v>
      </c>
    </row>
    <row r="9" spans="2:17" ht="17.25" customHeight="1" x14ac:dyDescent="0.2">
      <c r="B9" s="49">
        <f>40678+(365*2)</f>
        <v>41408</v>
      </c>
      <c r="C9" s="4" t="s">
        <v>3</v>
      </c>
      <c r="D9" s="55">
        <v>5400</v>
      </c>
      <c r="E9" s="55">
        <v>5500</v>
      </c>
      <c r="F9" s="55">
        <v>4500</v>
      </c>
      <c r="G9" s="56">
        <f>tblPodaci[IZNOS]-tblPodaci[TROŠAK]</f>
        <v>900</v>
      </c>
      <c r="H9" s="5">
        <f>DATE(YEAR('Unos podataka'!$B9),MONTH('Unos podataka'!$B9),1)</f>
        <v>41395</v>
      </c>
      <c r="I9" s="61">
        <f>LOOKUP(MONTH('Unos podataka'!$H9),{1,1;2,1;3,1;4,2;5,2;6,2;7,3;8,3;9,3;10,4;11,4;12,4})</f>
        <v>2</v>
      </c>
      <c r="J9" s="7">
        <f>YEAR('Unos podataka'!$B9)</f>
        <v>2013</v>
      </c>
      <c r="K9" s="8">
        <f>MONTH(tblPodaci[[#This Row],[DATUM]])</f>
        <v>5</v>
      </c>
      <c r="L9" s="53">
        <f>SUMIFS(tblPodaci[IZNOS],tblPodaci[DATUM],"&gt;="&amp;EOMONTH(tblPodaci[[#This Row],[DATUM]],-1)+1,tblPodaci[DATUM],"&lt;="&amp;EOMONTH(tblPodaci[[#This Row],[DATUM]],0))</f>
        <v>21800</v>
      </c>
      <c r="M9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9" s="53">
        <f>SUMIFS(tblPodaci[IZNOS],tblPodaci[DATUM],"&gt;="&amp;DATE(YEAR(tblPodaci[[#This Row],[DATUM]]),1,1),tblPodaci[DATUM],"&lt;="&amp;DATE(YEAR(tblPodaci[[#This Row],[DATUM]]),12,31))</f>
        <v>143800</v>
      </c>
      <c r="O9" s="54">
        <f>IFERROR(TREND($L$6:INDEX($L:$L,ROW(),1),$K$6:INDEX($K:$K,ROW(),1),IF(MONTH(tblPodaci[[#This Row],[DATUM]])=12,13,MONTH(tblPodaci[[#This Row],[DATUM]])+1)),"")</f>
        <v>29000</v>
      </c>
      <c r="P9" s="54">
        <f>IFERROR(TREND($M$6:INDEX($M:$M,ROW(),1),$I$6:INDEX($I:$I,ROW(),1),IF(tblPodaci[[#This Row],[TROMJESEČJE]]=4,5,tblPodaci[[#This Row],[TROMJESEČJE]]+1)),"")</f>
        <v>50800</v>
      </c>
      <c r="Q9" s="54">
        <f>IFERROR(TREND($N$6:INDEX($N:$N,ROW(),1),$J$6:INDEX($J:$J,ROW(),1),tblPodaci[[#This Row],[GODINA]]+1),"")</f>
        <v>143800</v>
      </c>
    </row>
    <row r="10" spans="2:17" ht="17.25" customHeight="1" x14ac:dyDescent="0.2">
      <c r="B10" s="49">
        <f>40678+(365*2)</f>
        <v>41408</v>
      </c>
      <c r="C10" s="4" t="s">
        <v>4</v>
      </c>
      <c r="D10" s="55">
        <v>5800</v>
      </c>
      <c r="E10" s="55">
        <v>6000</v>
      </c>
      <c r="F10" s="55">
        <v>4500</v>
      </c>
      <c r="G10" s="56">
        <f>tblPodaci[IZNOS]-tblPodaci[TROŠAK]</f>
        <v>1300</v>
      </c>
      <c r="H10" s="5">
        <f>DATE(YEAR('Unos podataka'!$B10),MONTH('Unos podataka'!$B10),1)</f>
        <v>41395</v>
      </c>
      <c r="I10" s="61">
        <f>LOOKUP(MONTH('Unos podataka'!$H10),{1,1;2,1;3,1;4,2;5,2;6,2;7,3;8,3;9,3;10,4;11,4;12,4})</f>
        <v>2</v>
      </c>
      <c r="J10" s="7">
        <f>YEAR('Unos podataka'!$B10)</f>
        <v>2013</v>
      </c>
      <c r="K10" s="8">
        <f>MONTH(tblPodaci[[#This Row],[DATUM]])</f>
        <v>5</v>
      </c>
      <c r="L10" s="53">
        <f>SUMIFS(tblPodaci[IZNOS],tblPodaci[DATUM],"&gt;="&amp;EOMONTH(tblPodaci[[#This Row],[DATUM]],-1)+1,tblPodaci[DATUM],"&lt;="&amp;EOMONTH(tblPodaci[[#This Row],[DATUM]],0))</f>
        <v>21800</v>
      </c>
      <c r="M10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10" s="53">
        <f>SUMIFS(tblPodaci[IZNOS],tblPodaci[DATUM],"&gt;="&amp;DATE(YEAR(tblPodaci[[#This Row],[DATUM]]),1,1),tblPodaci[DATUM],"&lt;="&amp;DATE(YEAR(tblPodaci[[#This Row],[DATUM]]),12,31))</f>
        <v>143800</v>
      </c>
      <c r="O10" s="54">
        <f>IFERROR(TREND($L$6:INDEX($L:$L,ROW(),1),$K$6:INDEX($K:$K,ROW(),1),IF(MONTH(tblPodaci[[#This Row],[DATUM]])=12,13,MONTH(tblPodaci[[#This Row],[DATUM]])+1)),"")</f>
        <v>29000</v>
      </c>
      <c r="P10" s="54">
        <f>IFERROR(TREND($M$6:INDEX($M:$M,ROW(),1),$I$6:INDEX($I:$I,ROW(),1),IF(tblPodaci[[#This Row],[TROMJESEČJE]]=4,5,tblPodaci[[#This Row],[TROMJESEČJE]]+1)),"")</f>
        <v>50800</v>
      </c>
      <c r="Q10" s="54">
        <f>IFERROR(TREND($N$6:INDEX($N:$N,ROW(),1),$J$6:INDEX($J:$J,ROW(),1),tblPodaci[[#This Row],[GODINA]]+1),"")</f>
        <v>143800</v>
      </c>
    </row>
    <row r="11" spans="2:17" ht="17.25" customHeight="1" x14ac:dyDescent="0.2">
      <c r="B11" s="49">
        <f>40693+(365*2)</f>
        <v>41423</v>
      </c>
      <c r="C11" s="4" t="s">
        <v>5</v>
      </c>
      <c r="D11" s="55">
        <v>6200</v>
      </c>
      <c r="E11" s="55">
        <v>6000</v>
      </c>
      <c r="F11" s="55">
        <v>4500</v>
      </c>
      <c r="G11" s="56">
        <f>tblPodaci[IZNOS]-tblPodaci[TROŠAK]</f>
        <v>1700</v>
      </c>
      <c r="H11" s="5">
        <f>DATE(YEAR('Unos podataka'!$B11),MONTH('Unos podataka'!$B11),1)</f>
        <v>41395</v>
      </c>
      <c r="I11" s="61">
        <f>LOOKUP(MONTH('Unos podataka'!$H11),{1,1;2,1;3,1;4,2;5,2;6,2;7,3;8,3;9,3;10,4;11,4;12,4})</f>
        <v>2</v>
      </c>
      <c r="J11" s="7">
        <f>YEAR('Unos podataka'!$B11)</f>
        <v>2013</v>
      </c>
      <c r="K11" s="8">
        <f>MONTH(tblPodaci[[#This Row],[DATUM]])</f>
        <v>5</v>
      </c>
      <c r="L11" s="53">
        <f>SUMIFS(tblPodaci[IZNOS],tblPodaci[DATUM],"&gt;="&amp;EOMONTH(tblPodaci[[#This Row],[DATUM]],-1)+1,tblPodaci[DATUM],"&lt;="&amp;EOMONTH(tblPodaci[[#This Row],[DATUM]],0))</f>
        <v>21800</v>
      </c>
      <c r="M11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11" s="53">
        <f>SUMIFS(tblPodaci[IZNOS],tblPodaci[DATUM],"&gt;="&amp;DATE(YEAR(tblPodaci[[#This Row],[DATUM]]),1,1),tblPodaci[DATUM],"&lt;="&amp;DATE(YEAR(tblPodaci[[#This Row],[DATUM]]),12,31))</f>
        <v>143800</v>
      </c>
      <c r="O11" s="54">
        <f>IFERROR(TREND($L$6:INDEX($L:$L,ROW(),1),$K$6:INDEX($K:$K,ROW(),1),IF(MONTH(tblPodaci[[#This Row],[DATUM]])=12,13,MONTH(tblPodaci[[#This Row],[DATUM]])+1)),"")</f>
        <v>29000</v>
      </c>
      <c r="P11" s="54">
        <f>IFERROR(TREND($M$6:INDEX($M:$M,ROW(),1),$I$6:INDEX($I:$I,ROW(),1),IF(tblPodaci[[#This Row],[TROMJESEČJE]]=4,5,tblPodaci[[#This Row],[TROMJESEČJE]]+1)),"")</f>
        <v>50800</v>
      </c>
      <c r="Q11" s="54">
        <f>IFERROR(TREND($N$6:INDEX($N:$N,ROW(),1),$J$6:INDEX($J:$J,ROW(),1),tblPodaci[[#This Row],[GODINA]]+1),"")</f>
        <v>143800</v>
      </c>
    </row>
    <row r="12" spans="2:17" ht="17.25" customHeight="1" x14ac:dyDescent="0.2">
      <c r="B12" s="49">
        <f>40705+(365*2)</f>
        <v>41435</v>
      </c>
      <c r="C12" s="4" t="s">
        <v>0</v>
      </c>
      <c r="D12" s="55">
        <v>6900</v>
      </c>
      <c r="E12" s="55">
        <v>7500</v>
      </c>
      <c r="F12" s="55">
        <v>5400</v>
      </c>
      <c r="G12" s="56">
        <f>tblPodaci[IZNOS]-tblPodaci[TROŠAK]</f>
        <v>1500</v>
      </c>
      <c r="H12" s="5">
        <f>DATE(YEAR('Unos podataka'!$B12),MONTH('Unos podataka'!$B12),1)</f>
        <v>41426</v>
      </c>
      <c r="I12" s="61">
        <f>LOOKUP(MONTH('Unos podataka'!$H12),{1,1;2,1;3,1;4,2;5,2;6,2;7,3;8,3;9,3;10,4;11,4;12,4})</f>
        <v>2</v>
      </c>
      <c r="J12" s="7">
        <f>YEAR('Unos podataka'!$B12)</f>
        <v>2013</v>
      </c>
      <c r="K12" s="8">
        <f>MONTH(tblPodaci[[#This Row],[DATUM]])</f>
        <v>6</v>
      </c>
      <c r="L12" s="53">
        <f>SUMIFS(tblPodaci[IZNOS],tblPodaci[DATUM],"&gt;="&amp;EOMONTH(tblPodaci[[#This Row],[DATUM]],-1)+1,tblPodaci[DATUM],"&lt;="&amp;EOMONTH(tblPodaci[[#This Row],[DATUM]],0))</f>
        <v>14400</v>
      </c>
      <c r="M12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12" s="53">
        <f>SUMIFS(tblPodaci[IZNOS],tblPodaci[DATUM],"&gt;="&amp;DATE(YEAR(tblPodaci[[#This Row],[DATUM]]),1,1),tblPodaci[DATUM],"&lt;="&amp;DATE(YEAR(tblPodaci[[#This Row],[DATUM]]),12,31))</f>
        <v>143800</v>
      </c>
      <c r="O12" s="54">
        <f>IFERROR(TREND($L$6:INDEX($L:$L,ROW(),1),$K$6:INDEX($K:$K,ROW(),1),IF(MONTH(tblPodaci[[#This Row],[DATUM]])=12,13,MONTH(tblPodaci[[#This Row],[DATUM]])+1)),"")</f>
        <v>21600.000000000004</v>
      </c>
      <c r="P12" s="54">
        <f>IFERROR(TREND($M$6:INDEX($M:$M,ROW(),1),$I$6:INDEX($I:$I,ROW(),1),IF(tblPodaci[[#This Row],[TROMJESEČJE]]=4,5,tblPodaci[[#This Row],[TROMJESEČJE]]+1)),"")</f>
        <v>50800</v>
      </c>
      <c r="Q12" s="54">
        <f>IFERROR(TREND($N$6:INDEX($N:$N,ROW(),1),$J$6:INDEX($J:$J,ROW(),1),tblPodaci[[#This Row],[GODINA]]+1),"")</f>
        <v>143800</v>
      </c>
    </row>
    <row r="13" spans="2:17" ht="17.25" customHeight="1" x14ac:dyDescent="0.2">
      <c r="B13" s="49">
        <f>40716+(365*2)</f>
        <v>41446</v>
      </c>
      <c r="C13" s="4" t="s">
        <v>1</v>
      </c>
      <c r="D13" s="55">
        <v>7500</v>
      </c>
      <c r="E13" s="55">
        <v>7200</v>
      </c>
      <c r="F13" s="55">
        <v>6500</v>
      </c>
      <c r="G13" s="56">
        <f>tblPodaci[IZNOS]-tblPodaci[TROŠAK]</f>
        <v>1000</v>
      </c>
      <c r="H13" s="5">
        <f>DATE(YEAR('Unos podataka'!$B13),MONTH('Unos podataka'!$B13),1)</f>
        <v>41426</v>
      </c>
      <c r="I13" s="61">
        <f>LOOKUP(MONTH('Unos podataka'!$H13),{1,1;2,1;3,1;4,2;5,2;6,2;7,3;8,3;9,3;10,4;11,4;12,4})</f>
        <v>2</v>
      </c>
      <c r="J13" s="7">
        <f>YEAR('Unos podataka'!$B13)</f>
        <v>2013</v>
      </c>
      <c r="K13" s="8">
        <f>MONTH(tblPodaci[[#This Row],[DATUM]])</f>
        <v>6</v>
      </c>
      <c r="L13" s="53">
        <f>SUMIFS(tblPodaci[IZNOS],tblPodaci[DATUM],"&gt;="&amp;EOMONTH(tblPodaci[[#This Row],[DATUM]],-1)+1,tblPodaci[DATUM],"&lt;="&amp;EOMONTH(tblPodaci[[#This Row],[DATUM]],0))</f>
        <v>14400</v>
      </c>
      <c r="M13" s="53">
        <f>SUMIFS(tblPodaci[IZNOS],tblPodaci[DATUM],"&gt;="&amp;DATE(YEAR(tblPodaci[[#This Row],[DATUM]]),1,1),tblPodaci[DATUM],"&lt;="&amp;DATE(YEAR(tblPodaci[[#This Row],[DATUM]]),12,31),tblPodaci[TROMJESEČJE],tblPodaci[[#This Row],[TROMJESEČJE]])</f>
        <v>50800</v>
      </c>
      <c r="N13" s="53">
        <f>SUMIFS(tblPodaci[IZNOS],tblPodaci[DATUM],"&gt;="&amp;DATE(YEAR(tblPodaci[[#This Row],[DATUM]]),1,1),tblPodaci[DATUM],"&lt;="&amp;DATE(YEAR(tblPodaci[[#This Row],[DATUM]]),12,31))</f>
        <v>143800</v>
      </c>
      <c r="O13" s="54">
        <f>IFERROR(TREND($L$6:INDEX($L:$L,ROW(),1),$K$6:INDEX($K:$K,ROW(),1),IF(MONTH(tblPodaci[[#This Row],[DATUM]])=12,13,MONTH(tblPodaci[[#This Row],[DATUM]])+1)),"")</f>
        <v>17950</v>
      </c>
      <c r="P13" s="54">
        <f>IFERROR(TREND($M$6:INDEX($M:$M,ROW(),1),$I$6:INDEX($I:$I,ROW(),1),IF(tblPodaci[[#This Row],[TROMJESEČJE]]=4,5,tblPodaci[[#This Row],[TROMJESEČJE]]+1)),"")</f>
        <v>50800</v>
      </c>
      <c r="Q13" s="54">
        <f>IFERROR(TREND($N$6:INDEX($N:$N,ROW(),1),$J$6:INDEX($J:$J,ROW(),1),tblPodaci[[#This Row],[GODINA]]+1),"")</f>
        <v>143800</v>
      </c>
    </row>
    <row r="14" spans="2:17" ht="17.25" customHeight="1" x14ac:dyDescent="0.2">
      <c r="B14" s="49">
        <f>40731+(365*2)</f>
        <v>41461</v>
      </c>
      <c r="C14" s="4" t="s">
        <v>2</v>
      </c>
      <c r="D14" s="55">
        <v>8700</v>
      </c>
      <c r="E14" s="55">
        <v>8500</v>
      </c>
      <c r="F14" s="55">
        <v>7250</v>
      </c>
      <c r="G14" s="56">
        <f>tblPodaci[IZNOS]-tblPodaci[TROŠAK]</f>
        <v>1450</v>
      </c>
      <c r="H14" s="5">
        <f>DATE(YEAR('Unos podataka'!$B14),MONTH('Unos podataka'!$B14),1)</f>
        <v>41456</v>
      </c>
      <c r="I14" s="61">
        <f>LOOKUP(MONTH('Unos podataka'!$H14),{1,1;2,1;3,1;4,2;5,2;6,2;7,3;8,3;9,3;10,4;11,4;12,4})</f>
        <v>3</v>
      </c>
      <c r="J14" s="7">
        <f>YEAR('Unos podataka'!$B14)</f>
        <v>2013</v>
      </c>
      <c r="K14" s="8">
        <f>MONTH(tblPodaci[[#This Row],[DATUM]])</f>
        <v>7</v>
      </c>
      <c r="L14" s="53">
        <f>SUMIFS(tblPodaci[IZNOS],tblPodaci[DATUM],"&gt;="&amp;EOMONTH(tblPodaci[[#This Row],[DATUM]],-1)+1,tblPodaci[DATUM],"&lt;="&amp;EOMONTH(tblPodaci[[#This Row],[DATUM]],0))</f>
        <v>8700</v>
      </c>
      <c r="M14" s="53">
        <f>SUMIFS(tblPodaci[IZNOS],tblPodaci[DATUM],"&gt;="&amp;DATE(YEAR(tblPodaci[[#This Row],[DATUM]]),1,1),tblPodaci[DATUM],"&lt;="&amp;DATE(YEAR(tblPodaci[[#This Row],[DATUM]]),12,31),tblPodaci[TROMJESEČJE],tblPodaci[[#This Row],[TROMJESEČJE]])</f>
        <v>49100</v>
      </c>
      <c r="N14" s="53">
        <f>SUMIFS(tblPodaci[IZNOS],tblPodaci[DATUM],"&gt;="&amp;DATE(YEAR(tblPodaci[[#This Row],[DATUM]]),1,1),tblPodaci[DATUM],"&lt;="&amp;DATE(YEAR(tblPodaci[[#This Row],[DATUM]]),12,31))</f>
        <v>143800</v>
      </c>
      <c r="O14" s="54">
        <f>IFERROR(TREND($L$6:INDEX($L:$L,ROW(),1),$K$6:INDEX($K:$K,ROW(),1),IF(MONTH(tblPodaci[[#This Row],[DATUM]])=12,13,MONTH(tblPodaci[[#This Row],[DATUM]])+1)),"")</f>
        <v>10776.470588235294</v>
      </c>
      <c r="P14" s="54">
        <f>IFERROR(TREND($M$6:INDEX($M:$M,ROW(),1),$I$6:INDEX($I:$I,ROW(),1),IF(tblPodaci[[#This Row],[TROMJESEČJE]]=4,5,tblPodaci[[#This Row],[TROMJESEČJE]]+1)),"")</f>
        <v>47400</v>
      </c>
      <c r="Q14" s="54">
        <f>IFERROR(TREND($N$6:INDEX($N:$N,ROW(),1),$J$6:INDEX($J:$J,ROW(),1),tblPodaci[[#This Row],[GODINA]]+1),"")</f>
        <v>143800</v>
      </c>
    </row>
    <row r="15" spans="2:17" ht="17.25" customHeight="1" x14ac:dyDescent="0.2">
      <c r="B15" s="49">
        <f>40761+(365*2)</f>
        <v>41491</v>
      </c>
      <c r="C15" s="4" t="s">
        <v>3</v>
      </c>
      <c r="D15" s="55">
        <v>8500</v>
      </c>
      <c r="E15" s="55">
        <v>8300</v>
      </c>
      <c r="F15" s="55">
        <v>7100</v>
      </c>
      <c r="G15" s="56">
        <f>tblPodaci[IZNOS]-tblPodaci[TROŠAK]</f>
        <v>1400</v>
      </c>
      <c r="H15" s="5">
        <f>DATE(YEAR('Unos podataka'!$B15),MONTH('Unos podataka'!$B15),1)</f>
        <v>41487</v>
      </c>
      <c r="I15" s="61">
        <f>LOOKUP(MONTH('Unos podataka'!$H15),{1,1;2,1;3,1;4,2;5,2;6,2;7,3;8,3;9,3;10,4;11,4;12,4})</f>
        <v>3</v>
      </c>
      <c r="J15" s="7">
        <f>YEAR('Unos podataka'!$B15)</f>
        <v>2013</v>
      </c>
      <c r="K15" s="8">
        <f>MONTH(tblPodaci[[#This Row],[DATUM]])</f>
        <v>8</v>
      </c>
      <c r="L15" s="53">
        <f>SUMIFS(tblPodaci[IZNOS],tblPodaci[DATUM],"&gt;="&amp;EOMONTH(tblPodaci[[#This Row],[DATUM]],-1)+1,tblPodaci[DATUM],"&lt;="&amp;EOMONTH(tblPodaci[[#This Row],[DATUM]],0))</f>
        <v>16400</v>
      </c>
      <c r="M15" s="53">
        <f>SUMIFS(tblPodaci[IZNOS],tblPodaci[DATUM],"&gt;="&amp;DATE(YEAR(tblPodaci[[#This Row],[DATUM]]),1,1),tblPodaci[DATUM],"&lt;="&amp;DATE(YEAR(tblPodaci[[#This Row],[DATUM]]),12,31),tblPodaci[TROMJESEČJE],tblPodaci[[#This Row],[TROMJESEČJE]])</f>
        <v>49100</v>
      </c>
      <c r="N15" s="53">
        <f>SUMIFS(tblPodaci[IZNOS],tblPodaci[DATUM],"&gt;="&amp;DATE(YEAR(tblPodaci[[#This Row],[DATUM]]),1,1),tblPodaci[DATUM],"&lt;="&amp;DATE(YEAR(tblPodaci[[#This Row],[DATUM]]),12,31))</f>
        <v>143800</v>
      </c>
      <c r="O15" s="54">
        <f>IFERROR(TREND($L$6:INDEX($L:$L,ROW(),1),$K$6:INDEX($K:$K,ROW(),1),IF(MONTH(tblPodaci[[#This Row],[DATUM]])=12,13,MONTH(tblPodaci[[#This Row],[DATUM]])+1)),"")</f>
        <v>12455.862068965516</v>
      </c>
      <c r="P15" s="54">
        <f>IFERROR(TREND($M$6:INDEX($M:$M,ROW(),1),$I$6:INDEX($I:$I,ROW(),1),IF(tblPodaci[[#This Row],[TROMJESEČJE]]=4,5,tblPodaci[[#This Row],[TROMJESEČJE]]+1)),"")</f>
        <v>47400</v>
      </c>
      <c r="Q15" s="54">
        <f>IFERROR(TREND($N$6:INDEX($N:$N,ROW(),1),$J$6:INDEX($J:$J,ROW(),1),tblPodaci[[#This Row],[GODINA]]+1),"")</f>
        <v>143800</v>
      </c>
    </row>
    <row r="16" spans="2:17" ht="17.25" customHeight="1" x14ac:dyDescent="0.2">
      <c r="B16" s="49">
        <f>40775+(365*2)</f>
        <v>41505</v>
      </c>
      <c r="C16" s="4" t="s">
        <v>4</v>
      </c>
      <c r="D16" s="55">
        <v>7900</v>
      </c>
      <c r="E16" s="55">
        <v>7700</v>
      </c>
      <c r="F16" s="55">
        <v>6600</v>
      </c>
      <c r="G16" s="56">
        <f>tblPodaci[IZNOS]-tblPodaci[TROŠAK]</f>
        <v>1300</v>
      </c>
      <c r="H16" s="5">
        <f>DATE(YEAR('Unos podataka'!$B16),MONTH('Unos podataka'!$B16),1)</f>
        <v>41487</v>
      </c>
      <c r="I16" s="61">
        <f>LOOKUP(MONTH('Unos podataka'!$H16),{1,1;2,1;3,1;4,2;5,2;6,2;7,3;8,3;9,3;10,4;11,4;12,4})</f>
        <v>3</v>
      </c>
      <c r="J16" s="7">
        <f>YEAR('Unos podataka'!$B16)</f>
        <v>2013</v>
      </c>
      <c r="K16" s="8">
        <f>MONTH(tblPodaci[[#This Row],[DATUM]])</f>
        <v>8</v>
      </c>
      <c r="L16" s="53">
        <f>SUMIFS(tblPodaci[IZNOS],tblPodaci[DATUM],"&gt;="&amp;EOMONTH(tblPodaci[[#This Row],[DATUM]],-1)+1,tblPodaci[DATUM],"&lt;="&amp;EOMONTH(tblPodaci[[#This Row],[DATUM]],0))</f>
        <v>16400</v>
      </c>
      <c r="M16" s="53">
        <f>SUMIFS(tblPodaci[IZNOS],tblPodaci[DATUM],"&gt;="&amp;DATE(YEAR(tblPodaci[[#This Row],[DATUM]]),1,1),tblPodaci[DATUM],"&lt;="&amp;DATE(YEAR(tblPodaci[[#This Row],[DATUM]]),12,31),tblPodaci[TROMJESEČJE],tblPodaci[[#This Row],[TROMJESEČJE]])</f>
        <v>49100</v>
      </c>
      <c r="N16" s="53">
        <f>SUMIFS(tblPodaci[IZNOS],tblPodaci[DATUM],"&gt;="&amp;DATE(YEAR(tblPodaci[[#This Row],[DATUM]]),1,1),tblPodaci[DATUM],"&lt;="&amp;DATE(YEAR(tblPodaci[[#This Row],[DATUM]]),12,31))</f>
        <v>143800</v>
      </c>
      <c r="O16" s="54">
        <f>IFERROR(TREND($L$6:INDEX($L:$L,ROW(),1),$K$6:INDEX($K:$K,ROW(),1),IF(MONTH(tblPodaci[[#This Row],[DATUM]])=12,13,MONTH(tblPodaci[[#This Row],[DATUM]])+1)),"")</f>
        <v>13667.567567567567</v>
      </c>
      <c r="P16" s="54">
        <f>IFERROR(TREND($M$6:INDEX($M:$M,ROW(),1),$I$6:INDEX($I:$I,ROW(),1),IF(tblPodaci[[#This Row],[TROMJESEČJE]]=4,5,tblPodaci[[#This Row],[TROMJESEČJE]]+1)),"")</f>
        <v>47400.000000000007</v>
      </c>
      <c r="Q16" s="54">
        <f>IFERROR(TREND($N$6:INDEX($N:$N,ROW(),1),$J$6:INDEX($J:$J,ROW(),1),tblPodaci[[#This Row],[GODINA]]+1),"")</f>
        <v>143800</v>
      </c>
    </row>
    <row r="17" spans="2:17" ht="17.25" customHeight="1" x14ac:dyDescent="0.2">
      <c r="B17" s="49">
        <f>40791+(365*2)</f>
        <v>41521</v>
      </c>
      <c r="C17" s="4" t="s">
        <v>5</v>
      </c>
      <c r="D17" s="55">
        <v>9100</v>
      </c>
      <c r="E17" s="55">
        <v>8900</v>
      </c>
      <c r="F17" s="55">
        <v>7900</v>
      </c>
      <c r="G17" s="56">
        <f>tblPodaci[IZNOS]-tblPodaci[TROŠAK]</f>
        <v>1200</v>
      </c>
      <c r="H17" s="5">
        <f>DATE(YEAR('Unos podataka'!$B17),MONTH('Unos podataka'!$B17),1)</f>
        <v>41518</v>
      </c>
      <c r="I17" s="61">
        <f>LOOKUP(MONTH('Unos podataka'!$H17),{1,1;2,1;3,1;4,2;5,2;6,2;7,3;8,3;9,3;10,4;11,4;12,4})</f>
        <v>3</v>
      </c>
      <c r="J17" s="7">
        <f>YEAR('Unos podataka'!$B17)</f>
        <v>2013</v>
      </c>
      <c r="K17" s="8">
        <f>MONTH(tblPodaci[[#This Row],[DATUM]])</f>
        <v>9</v>
      </c>
      <c r="L17" s="53">
        <f>SUMIFS(tblPodaci[IZNOS],tblPodaci[DATUM],"&gt;="&amp;EOMONTH(tblPodaci[[#This Row],[DATUM]],-1)+1,tblPodaci[DATUM],"&lt;="&amp;EOMONTH(tblPodaci[[#This Row],[DATUM]],0))</f>
        <v>24000</v>
      </c>
      <c r="M17" s="53">
        <f>SUMIFS(tblPodaci[IZNOS],tblPodaci[DATUM],"&gt;="&amp;DATE(YEAR(tblPodaci[[#This Row],[DATUM]]),1,1),tblPodaci[DATUM],"&lt;="&amp;DATE(YEAR(tblPodaci[[#This Row],[DATUM]]),12,31),tblPodaci[TROMJESEČJE],tblPodaci[[#This Row],[TROMJESEČJE]])</f>
        <v>49100</v>
      </c>
      <c r="N17" s="53">
        <f>SUMIFS(tblPodaci[IZNOS],tblPodaci[DATUM],"&gt;="&amp;DATE(YEAR(tblPodaci[[#This Row],[DATUM]]),1,1),tblPodaci[DATUM],"&lt;="&amp;DATE(YEAR(tblPodaci[[#This Row],[DATUM]]),12,31))</f>
        <v>143800</v>
      </c>
      <c r="O17" s="54">
        <f>IFERROR(TREND($L$6:INDEX($L:$L,ROW(),1),$K$6:INDEX($K:$K,ROW(),1),IF(MONTH(tblPodaci[[#This Row],[DATUM]])=12,13,MONTH(tblPodaci[[#This Row],[DATUM]])+1)),"")</f>
        <v>17651.666666666668</v>
      </c>
      <c r="P17" s="54">
        <f>IFERROR(TREND($M$6:INDEX($M:$M,ROW(),1),$I$6:INDEX($I:$I,ROW(),1),IF(tblPodaci[[#This Row],[TROMJESEČJE]]=4,5,tblPodaci[[#This Row],[TROMJESEČJE]]+1)),"")</f>
        <v>47400</v>
      </c>
      <c r="Q17" s="54">
        <f>IFERROR(TREND($N$6:INDEX($N:$N,ROW(),1),$J$6:INDEX($J:$J,ROW(),1),tblPodaci[[#This Row],[GODINA]]+1),"")</f>
        <v>143800</v>
      </c>
    </row>
    <row r="18" spans="2:17" ht="17.25" customHeight="1" x14ac:dyDescent="0.2">
      <c r="B18" s="49">
        <f>40807+(365*2)</f>
        <v>41537</v>
      </c>
      <c r="C18" s="4" t="s">
        <v>1</v>
      </c>
      <c r="D18" s="55">
        <v>5600</v>
      </c>
      <c r="E18" s="55">
        <v>5800</v>
      </c>
      <c r="F18" s="55">
        <v>4500</v>
      </c>
      <c r="G18" s="56">
        <f>tblPodaci[IZNOS]-tblPodaci[TROŠAK]</f>
        <v>1100</v>
      </c>
      <c r="H18" s="5">
        <f>DATE(YEAR('Unos podataka'!$B18),MONTH('Unos podataka'!$B18),1)</f>
        <v>41518</v>
      </c>
      <c r="I18" s="61">
        <f>LOOKUP(MONTH('Unos podataka'!$H18),{1,1;2,1;3,1;4,2;5,2;6,2;7,3;8,3;9,3;10,4;11,4;12,4})</f>
        <v>3</v>
      </c>
      <c r="J18" s="7">
        <f>YEAR('Unos podataka'!$B18)</f>
        <v>2013</v>
      </c>
      <c r="K18" s="8">
        <f>MONTH(tblPodaci[[#This Row],[DATUM]])</f>
        <v>9</v>
      </c>
      <c r="L18" s="53">
        <f>SUMIFS(tblPodaci[IZNOS],tblPodaci[DATUM],"&gt;="&amp;EOMONTH(tblPodaci[[#This Row],[DATUM]],-1)+1,tblPodaci[DATUM],"&lt;="&amp;EOMONTH(tblPodaci[[#This Row],[DATUM]],0))</f>
        <v>24000</v>
      </c>
      <c r="M18" s="53">
        <f>SUMIFS(tblPodaci[IZNOS],tblPodaci[DATUM],"&gt;="&amp;DATE(YEAR(tblPodaci[[#This Row],[DATUM]]),1,1),tblPodaci[DATUM],"&lt;="&amp;DATE(YEAR(tblPodaci[[#This Row],[DATUM]]),12,31),tblPodaci[TROMJESEČJE],tblPodaci[[#This Row],[TROMJESEČJE]])</f>
        <v>49100</v>
      </c>
      <c r="N18" s="53">
        <f>SUMIFS(tblPodaci[IZNOS],tblPodaci[DATUM],"&gt;="&amp;DATE(YEAR(tblPodaci[[#This Row],[DATUM]]),1,1),tblPodaci[DATUM],"&lt;="&amp;DATE(YEAR(tblPodaci[[#This Row],[DATUM]]),12,31))</f>
        <v>143800</v>
      </c>
      <c r="O18" s="54">
        <f>IFERROR(TREND($L$6:INDEX($L:$L,ROW(),1),$K$6:INDEX($K:$K,ROW(),1),IF(MONTH(tblPodaci[[#This Row],[DATUM]])=12,13,MONTH(tblPodaci[[#This Row],[DATUM]])+1)),"")</f>
        <v>19877.911646586344</v>
      </c>
      <c r="P18" s="54">
        <f>IFERROR(TREND($M$6:INDEX($M:$M,ROW(),1),$I$6:INDEX($I:$I,ROW(),1),IF(tblPodaci[[#This Row],[TROMJESEČJE]]=4,5,tblPodaci[[#This Row],[TROMJESEČJE]]+1)),"")</f>
        <v>47400</v>
      </c>
      <c r="Q18" s="54">
        <f>IFERROR(TREND($N$6:INDEX($N:$N,ROW(),1),$J$6:INDEX($J:$J,ROW(),1),tblPodaci[[#This Row],[GODINA]]+1),"")</f>
        <v>143800</v>
      </c>
    </row>
    <row r="19" spans="2:17" ht="17.25" customHeight="1" x14ac:dyDescent="0.2">
      <c r="B19" s="49">
        <f>40812+(365*2)</f>
        <v>41542</v>
      </c>
      <c r="C19" s="4" t="s">
        <v>2</v>
      </c>
      <c r="D19" s="55">
        <v>9300</v>
      </c>
      <c r="E19" s="55">
        <v>9100</v>
      </c>
      <c r="F19" s="55">
        <v>7500</v>
      </c>
      <c r="G19" s="56">
        <f>tblPodaci[IZNOS]-tblPodaci[TROŠAK]</f>
        <v>1800</v>
      </c>
      <c r="H19" s="5">
        <f>DATE(YEAR('Unos podataka'!$B19),MONTH('Unos podataka'!$B19),1)</f>
        <v>41518</v>
      </c>
      <c r="I19" s="61">
        <f>LOOKUP(MONTH('Unos podataka'!$H19),{1,1;2,1;3,1;4,2;5,2;6,2;7,3;8,3;9,3;10,4;11,4;12,4})</f>
        <v>3</v>
      </c>
      <c r="J19" s="7">
        <f>YEAR('Unos podataka'!$B19)</f>
        <v>2013</v>
      </c>
      <c r="K19" s="8">
        <f>MONTH(tblPodaci[[#This Row],[DATUM]])</f>
        <v>9</v>
      </c>
      <c r="L19" s="53">
        <f>SUMIFS(tblPodaci[IZNOS],tblPodaci[DATUM],"&gt;="&amp;EOMONTH(tblPodaci[[#This Row],[DATUM]],-1)+1,tblPodaci[DATUM],"&lt;="&amp;EOMONTH(tblPodaci[[#This Row],[DATUM]],0))</f>
        <v>24000</v>
      </c>
      <c r="M19" s="53">
        <f>SUMIFS(tblPodaci[IZNOS],tblPodaci[DATUM],"&gt;="&amp;DATE(YEAR(tblPodaci[[#This Row],[DATUM]]),1,1),tblPodaci[DATUM],"&lt;="&amp;DATE(YEAR(tblPodaci[[#This Row],[DATUM]]),12,31),tblPodaci[TROMJESEČJE],tblPodaci[[#This Row],[TROMJESEČJE]])</f>
        <v>49100</v>
      </c>
      <c r="N19" s="53">
        <f>SUMIFS(tblPodaci[IZNOS],tblPodaci[DATUM],"&gt;="&amp;DATE(YEAR(tblPodaci[[#This Row],[DATUM]]),1,1),tblPodaci[DATUM],"&lt;="&amp;DATE(YEAR(tblPodaci[[#This Row],[DATUM]]),12,31))</f>
        <v>143800</v>
      </c>
      <c r="O19" s="54">
        <f>IFERROR(TREND($L$6:INDEX($L:$L,ROW(),1),$K$6:INDEX($K:$K,ROW(),1),IF(MONTH(tblPodaci[[#This Row],[DATUM]])=12,13,MONTH(tblPodaci[[#This Row],[DATUM]])+1)),"")</f>
        <v>21138.050314465407</v>
      </c>
      <c r="P19" s="54">
        <f>IFERROR(TREND($M$6:INDEX($M:$M,ROW(),1),$I$6:INDEX($I:$I,ROW(),1),IF(tblPodaci[[#This Row],[TROMJESEČJE]]=4,5,tblPodaci[[#This Row],[TROMJESEČJE]]+1)),"")</f>
        <v>47400</v>
      </c>
      <c r="Q19" s="54">
        <f>IFERROR(TREND($N$6:INDEX($N:$N,ROW(),1),$J$6:INDEX($J:$J,ROW(),1),tblPodaci[[#This Row],[GODINA]]+1),"")</f>
        <v>143800</v>
      </c>
    </row>
    <row r="20" spans="2:17" ht="17.25" customHeight="1" x14ac:dyDescent="0.2">
      <c r="B20" s="49">
        <f>40832+(365*2)</f>
        <v>41562</v>
      </c>
      <c r="C20" s="4" t="s">
        <v>3</v>
      </c>
      <c r="D20" s="55">
        <v>8800</v>
      </c>
      <c r="E20" s="55">
        <v>9350</v>
      </c>
      <c r="F20" s="55">
        <v>7100</v>
      </c>
      <c r="G20" s="56">
        <f>tblPodaci[IZNOS]-tblPodaci[TROŠAK]</f>
        <v>1700</v>
      </c>
      <c r="H20" s="5">
        <f>DATE(YEAR('Unos podataka'!$B20),MONTH('Unos podataka'!$B20),1)</f>
        <v>41548</v>
      </c>
      <c r="I20" s="61">
        <f>LOOKUP(MONTH('Unos podataka'!$H20),{1,1;2,1;3,1;4,2;5,2;6,2;7,3;8,3;9,3;10,4;11,4;12,4})</f>
        <v>4</v>
      </c>
      <c r="J20" s="7">
        <f>YEAR('Unos podataka'!$B20)</f>
        <v>2013</v>
      </c>
      <c r="K20" s="8">
        <f>MONTH(tblPodaci[[#This Row],[DATUM]])</f>
        <v>10</v>
      </c>
      <c r="L20" s="53">
        <f>SUMIFS(tblPodaci[IZNOS],tblPodaci[DATUM],"&gt;="&amp;EOMONTH(tblPodaci[[#This Row],[DATUM]],-1)+1,tblPodaci[DATUM],"&lt;="&amp;EOMONTH(tblPodaci[[#This Row],[DATUM]],0))</f>
        <v>8800</v>
      </c>
      <c r="M20" s="53">
        <f>SUMIFS(tblPodaci[IZNOS],tblPodaci[DATUM],"&gt;="&amp;DATE(YEAR(tblPodaci[[#This Row],[DATUM]]),1,1),tblPodaci[DATUM],"&lt;="&amp;DATE(YEAR(tblPodaci[[#This Row],[DATUM]]),12,31),tblPodaci[TROMJESEČJE],tblPodaci[[#This Row],[TROMJESEČJE]])</f>
        <v>43900</v>
      </c>
      <c r="N20" s="53">
        <f>SUMIFS(tblPodaci[IZNOS],tblPodaci[DATUM],"&gt;="&amp;DATE(YEAR(tblPodaci[[#This Row],[DATUM]]),1,1),tblPodaci[DATUM],"&lt;="&amp;DATE(YEAR(tblPodaci[[#This Row],[DATUM]]),12,31))</f>
        <v>143800</v>
      </c>
      <c r="O20" s="54">
        <f>IFERROR(TREND($L$6:INDEX($L:$L,ROW(),1),$K$6:INDEX($K:$K,ROW(),1),IF(MONTH(tblPodaci[[#This Row],[DATUM]])=12,13,MONTH(tblPodaci[[#This Row],[DATUM]])+1)),"")</f>
        <v>17951.744186046511</v>
      </c>
      <c r="P20" s="54">
        <f>IFERROR(TREND($M$6:INDEX($M:$M,ROW(),1),$I$6:INDEX($I:$I,ROW(),1),IF(tblPodaci[[#This Row],[TROMJESEČJE]]=4,5,tblPodaci[[#This Row],[TROMJESEČJE]]+1)),"")</f>
        <v>43258.139534883725</v>
      </c>
      <c r="Q20" s="54">
        <f>IFERROR(TREND($N$6:INDEX($N:$N,ROW(),1),$J$6:INDEX($J:$J,ROW(),1),tblPodaci[[#This Row],[GODINA]]+1),"")</f>
        <v>143800</v>
      </c>
    </row>
    <row r="21" spans="2:17" ht="17.25" customHeight="1" x14ac:dyDescent="0.2">
      <c r="B21" s="49">
        <f>40853+(365*2)</f>
        <v>41583</v>
      </c>
      <c r="C21" s="4" t="s">
        <v>4</v>
      </c>
      <c r="D21" s="55">
        <v>9100</v>
      </c>
      <c r="E21" s="55">
        <v>9200</v>
      </c>
      <c r="F21" s="55">
        <v>7850</v>
      </c>
      <c r="G21" s="56">
        <f>tblPodaci[IZNOS]-tblPodaci[TROŠAK]</f>
        <v>1250</v>
      </c>
      <c r="H21" s="5">
        <f>DATE(YEAR('Unos podataka'!$B21),MONTH('Unos podataka'!$B21),1)</f>
        <v>41579</v>
      </c>
      <c r="I21" s="61">
        <f>LOOKUP(MONTH('Unos podataka'!$H21),{1,1;2,1;3,1;4,2;5,2;6,2;7,3;8,3;9,3;10,4;11,4;12,4})</f>
        <v>4</v>
      </c>
      <c r="J21" s="7">
        <f>YEAR('Unos podataka'!$B21)</f>
        <v>2013</v>
      </c>
      <c r="K21" s="8">
        <f>MONTH(tblPodaci[[#This Row],[DATUM]])</f>
        <v>11</v>
      </c>
      <c r="L21" s="53">
        <f>SUMIFS(tblPodaci[IZNOS],tblPodaci[DATUM],"&gt;="&amp;EOMONTH(tblPodaci[[#This Row],[DATUM]],-1)+1,tblPodaci[DATUM],"&lt;="&amp;EOMONTH(tblPodaci[[#This Row],[DATUM]],0))</f>
        <v>25600</v>
      </c>
      <c r="M21" s="53">
        <f>SUMIFS(tblPodaci[IZNOS],tblPodaci[DATUM],"&gt;="&amp;DATE(YEAR(tblPodaci[[#This Row],[DATUM]]),1,1),tblPodaci[DATUM],"&lt;="&amp;DATE(YEAR(tblPodaci[[#This Row],[DATUM]]),12,31),tblPodaci[TROMJESEČJE],tblPodaci[[#This Row],[TROMJESEČJE]])</f>
        <v>43900</v>
      </c>
      <c r="N21" s="53">
        <f>SUMIFS(tblPodaci[IZNOS],tblPodaci[DATUM],"&gt;="&amp;DATE(YEAR(tblPodaci[[#This Row],[DATUM]]),1,1),tblPodaci[DATUM],"&lt;="&amp;DATE(YEAR(tblPodaci[[#This Row],[DATUM]]),12,31))</f>
        <v>143800</v>
      </c>
      <c r="O21" s="54">
        <f>IFERROR(TREND($L$6:INDEX($L:$L,ROW(),1),$K$6:INDEX($K:$K,ROW(),1),IF(MONTH(tblPodaci[[#This Row],[DATUM]])=12,13,MONTH(tblPodaci[[#This Row],[DATUM]])+1)),"")</f>
        <v>20556.130108423687</v>
      </c>
      <c r="P21" s="54">
        <f>IFERROR(TREND($M$6:INDEX($M:$M,ROW(),1),$I$6:INDEX($I:$I,ROW(),1),IF(tblPodaci[[#This Row],[TROMJESEČJE]]=4,5,tblPodaci[[#This Row],[TROMJESEČJE]]+1)),"")</f>
        <v>42312.903225806447</v>
      </c>
      <c r="Q21" s="54">
        <f>IFERROR(TREND($N$6:INDEX($N:$N,ROW(),1),$J$6:INDEX($J:$J,ROW(),1),tblPodaci[[#This Row],[GODINA]]+1),"")</f>
        <v>143800</v>
      </c>
    </row>
    <row r="22" spans="2:17" ht="17.25" customHeight="1" x14ac:dyDescent="0.2">
      <c r="B22" s="49">
        <f>40874+(365*2)</f>
        <v>41604</v>
      </c>
      <c r="C22" s="4" t="s">
        <v>5</v>
      </c>
      <c r="D22" s="55">
        <v>9000</v>
      </c>
      <c r="E22" s="55">
        <v>10000</v>
      </c>
      <c r="F22" s="55">
        <v>7575</v>
      </c>
      <c r="G22" s="56">
        <f>tblPodaci[IZNOS]-tblPodaci[TROŠAK]</f>
        <v>1425</v>
      </c>
      <c r="H22" s="5">
        <f>DATE(YEAR('Unos podataka'!$B22),MONTH('Unos podataka'!$B22),1)</f>
        <v>41579</v>
      </c>
      <c r="I22" s="61">
        <f>LOOKUP(MONTH('Unos podataka'!$H22),{1,1;2,1;3,1;4,2;5,2;6,2;7,3;8,3;9,3;10,4;11,4;12,4})</f>
        <v>4</v>
      </c>
      <c r="J22" s="7">
        <f>YEAR('Unos podataka'!$B22)</f>
        <v>2013</v>
      </c>
      <c r="K22" s="8">
        <f>MONTH(tblPodaci[[#This Row],[DATUM]])</f>
        <v>11</v>
      </c>
      <c r="L22" s="53">
        <f>SUMIFS(tblPodaci[IZNOS],tblPodaci[DATUM],"&gt;="&amp;EOMONTH(tblPodaci[[#This Row],[DATUM]],-1)+1,tblPodaci[DATUM],"&lt;="&amp;EOMONTH(tblPodaci[[#This Row],[DATUM]],0))</f>
        <v>25600</v>
      </c>
      <c r="M22" s="53">
        <f>SUMIFS(tblPodaci[IZNOS],tblPodaci[DATUM],"&gt;="&amp;DATE(YEAR(tblPodaci[[#This Row],[DATUM]]),1,1),tblPodaci[DATUM],"&lt;="&amp;DATE(YEAR(tblPodaci[[#This Row],[DATUM]]),12,31),tblPodaci[TROMJESEČJE],tblPodaci[[#This Row],[TROMJESEČJE]])</f>
        <v>43900</v>
      </c>
      <c r="N22" s="53">
        <f>SUMIFS(tblPodaci[IZNOS],tblPodaci[DATUM],"&gt;="&amp;DATE(YEAR(tblPodaci[[#This Row],[DATUM]]),1,1),tblPodaci[DATUM],"&lt;="&amp;DATE(YEAR(tblPodaci[[#This Row],[DATUM]]),12,31))</f>
        <v>143800</v>
      </c>
      <c r="O22" s="54">
        <f>IFERROR(TREND($L$6:INDEX($L:$L,ROW(),1),$K$6:INDEX($K:$K,ROW(),1),IF(MONTH(tblPodaci[[#This Row],[DATUM]])=12,13,MONTH(tblPodaci[[#This Row],[DATUM]])+1)),"")</f>
        <v>21997.139141742522</v>
      </c>
      <c r="P22" s="54">
        <f>IFERROR(TREND($M$6:INDEX($M:$M,ROW(),1),$I$6:INDEX($I:$I,ROW(),1),IF(tblPodaci[[#This Row],[TROMJESEČJE]]=4,5,tblPodaci[[#This Row],[TROMJESEČJE]]+1)),"")</f>
        <v>41811.111111111109</v>
      </c>
      <c r="Q22" s="54">
        <f>IFERROR(TREND($N$6:INDEX($N:$N,ROW(),1),$J$6:INDEX($J:$J,ROW(),1),tblPodaci[[#This Row],[GODINA]]+1),"")</f>
        <v>143800</v>
      </c>
    </row>
    <row r="23" spans="2:17" ht="17.25" customHeight="1" x14ac:dyDescent="0.2">
      <c r="B23" s="49">
        <f>40878+(365*2)</f>
        <v>41608</v>
      </c>
      <c r="C23" s="4" t="s">
        <v>5</v>
      </c>
      <c r="D23" s="55">
        <v>7500</v>
      </c>
      <c r="E23" s="55">
        <v>8000</v>
      </c>
      <c r="F23" s="55">
        <v>5850</v>
      </c>
      <c r="G23" s="56">
        <f>tblPodaci[IZNOS]-tblPodaci[TROŠAK]</f>
        <v>1650</v>
      </c>
      <c r="H23" s="5">
        <f>DATE(YEAR('Unos podataka'!$B23),MONTH('Unos podataka'!$B23),1)</f>
        <v>41579</v>
      </c>
      <c r="I23" s="61">
        <f>LOOKUP(MONTH('Unos podataka'!$H23),{1,1;2,1;3,1;4,2;5,2;6,2;7,3;8,3;9,3;10,4;11,4;12,4})</f>
        <v>4</v>
      </c>
      <c r="J23" s="7">
        <f>YEAR('Unos podataka'!$B23)</f>
        <v>2013</v>
      </c>
      <c r="K23" s="8">
        <f>MONTH(tblPodaci[[#This Row],[DATUM]])</f>
        <v>11</v>
      </c>
      <c r="L23" s="53">
        <f>SUMIFS(tblPodaci[IZNOS],tblPodaci[DATUM],"&gt;="&amp;EOMONTH(tblPodaci[[#This Row],[DATUM]],-1)+1,tblPodaci[DATUM],"&lt;="&amp;EOMONTH(tblPodaci[[#This Row],[DATUM]],0))</f>
        <v>25600</v>
      </c>
      <c r="M23" s="53">
        <f>SUMIFS(tblPodaci[IZNOS],tblPodaci[DATUM],"&gt;="&amp;DATE(YEAR(tblPodaci[[#This Row],[DATUM]]),1,1),tblPodaci[DATUM],"&lt;="&amp;DATE(YEAR(tblPodaci[[#This Row],[DATUM]]),12,31),tblPodaci[TROMJESEČJE],tblPodaci[[#This Row],[TROMJESEČJE]])</f>
        <v>43900</v>
      </c>
      <c r="N23" s="53">
        <f>SUMIFS(tblPodaci[IZNOS],tblPodaci[DATUM],"&gt;="&amp;DATE(YEAR(tblPodaci[[#This Row],[DATUM]]),1,1),tblPodaci[DATUM],"&lt;="&amp;DATE(YEAR(tblPodaci[[#This Row],[DATUM]]),12,31))</f>
        <v>143800</v>
      </c>
      <c r="O23" s="54">
        <f>IFERROR(TREND($L$6:INDEX($L:$L,ROW(),1),$K$6:INDEX($K:$K,ROW(),1),IF(MONTH(tblPodaci[[#This Row],[DATUM]])=12,13,MONTH(tblPodaci[[#This Row],[DATUM]])+1)),"")</f>
        <v>22917.634523175278</v>
      </c>
      <c r="P23" s="54">
        <f>IFERROR(TREND($M$6:INDEX($M:$M,ROW(),1),$I$6:INDEX($I:$I,ROW(),1),IF(tblPodaci[[#This Row],[TROMJESEČJE]]=4,5,tblPodaci[[#This Row],[TROMJESEČJE]]+1)),"")</f>
        <v>41500</v>
      </c>
      <c r="Q23" s="54">
        <f>IFERROR(TREND($N$6:INDEX($N:$N,ROW(),1),$J$6:INDEX($J:$J,ROW(),1),tblPodaci[[#This Row],[GODINA]]+1),"")</f>
        <v>143800</v>
      </c>
    </row>
    <row r="24" spans="2:17" ht="17.25" customHeight="1" x14ac:dyDescent="0.2">
      <c r="B24" s="49">
        <f>40889+(365*2)</f>
        <v>41619</v>
      </c>
      <c r="C24" s="4" t="s">
        <v>1</v>
      </c>
      <c r="D24" s="55">
        <v>9500</v>
      </c>
      <c r="E24" s="55">
        <v>9200</v>
      </c>
      <c r="F24" s="55">
        <v>8500</v>
      </c>
      <c r="G24" s="56">
        <f>tblPodaci[IZNOS]-tblPodaci[TROŠAK]</f>
        <v>1000</v>
      </c>
      <c r="H24" s="5">
        <f>DATE(YEAR('Unos podataka'!$B24),MONTH('Unos podataka'!$B24),1)</f>
        <v>41609</v>
      </c>
      <c r="I24" s="61">
        <f>LOOKUP(MONTH('Unos podataka'!$H24),{1,1;2,1;3,1;4,2;5,2;6,2;7,3;8,3;9,3;10,4;11,4;12,4})</f>
        <v>4</v>
      </c>
      <c r="J24" s="7">
        <f>YEAR('Unos podataka'!$B24)</f>
        <v>2013</v>
      </c>
      <c r="K24" s="8">
        <f>MONTH(tblPodaci[[#This Row],[DATUM]])</f>
        <v>12</v>
      </c>
      <c r="L24" s="53">
        <f>SUMIFS(tblPodaci[IZNOS],tblPodaci[DATUM],"&gt;="&amp;EOMONTH(tblPodaci[[#This Row],[DATUM]],-1)+1,tblPodaci[DATUM],"&lt;="&amp;EOMONTH(tblPodaci[[#This Row],[DATUM]],0))</f>
        <v>9500</v>
      </c>
      <c r="M24" s="53">
        <f>SUMIFS(tblPodaci[IZNOS],tblPodaci[DATUM],"&gt;="&amp;DATE(YEAR(tblPodaci[[#This Row],[DATUM]]),1,1),tblPodaci[DATUM],"&lt;="&amp;DATE(YEAR(tblPodaci[[#This Row],[DATUM]]),12,31),tblPodaci[TROMJESEČJE],tblPodaci[[#This Row],[TROMJESEČJE]])</f>
        <v>43900</v>
      </c>
      <c r="N24" s="53">
        <f>SUMIFS(tblPodaci[IZNOS],tblPodaci[DATUM],"&gt;="&amp;DATE(YEAR(tblPodaci[[#This Row],[DATUM]]),1,1),tblPodaci[DATUM],"&lt;="&amp;DATE(YEAR(tblPodaci[[#This Row],[DATUM]]),12,31))</f>
        <v>143800</v>
      </c>
      <c r="O24" s="54">
        <f>IFERROR(TREND($L$6:INDEX($L:$L,ROW(),1),$K$6:INDEX($K:$K,ROW(),1),IF(MONTH(tblPodaci[[#This Row],[DATUM]])=12,13,MONTH(tblPodaci[[#This Row],[DATUM]])+1)),"")</f>
        <v>20504.314720812181</v>
      </c>
      <c r="P24" s="54">
        <f>IFERROR(TREND($M$6:INDEX($M:$M,ROW(),1),$I$6:INDEX($I:$I,ROW(),1),IF(tblPodaci[[#This Row],[TROMJESEČJE]]=4,5,tblPodaci[[#This Row],[TROMJESEČJE]]+1)),"")</f>
        <v>41288.23529411765</v>
      </c>
      <c r="Q24" s="54">
        <f>IFERROR(TREND($N$6:INDEX($N:$N,ROW(),1),$J$6:INDEX($J:$J,ROW(),1),tblPodaci[[#This Row],[GODINA]]+1),"")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43"/>
  <sheetViews>
    <sheetView showGridLines="0" zoomScaleNormal="100" workbookViewId="0"/>
  </sheetViews>
  <sheetFormatPr defaultRowHeight="17.25" customHeight="1" x14ac:dyDescent="0.2"/>
  <cols>
    <col min="1" max="1" width="2" style="31" customWidth="1"/>
    <col min="2" max="2" width="17" style="28" customWidth="1"/>
    <col min="3" max="3" width="33.5" style="28" customWidth="1"/>
    <col min="4" max="4" width="24.5" style="29" customWidth="1"/>
    <col min="5" max="5" width="27.6640625" style="29" customWidth="1"/>
    <col min="6" max="6" width="14.83203125" style="30" customWidth="1"/>
    <col min="7" max="16384" width="9.33203125" style="31"/>
  </cols>
  <sheetData>
    <row r="1" spans="1:6" s="27" customFormat="1" ht="11.25" customHeight="1" x14ac:dyDescent="0.2">
      <c r="B1" s="28"/>
      <c r="C1" s="28"/>
      <c r="D1" s="29"/>
      <c r="E1" s="29"/>
      <c r="F1" s="30"/>
    </row>
    <row r="2" spans="1:6" customFormat="1" ht="33.75" x14ac:dyDescent="0.2">
      <c r="B2" s="2" t="s">
        <v>44</v>
      </c>
    </row>
    <row r="3" spans="1:6" ht="17.25" customHeight="1" x14ac:dyDescent="0.2">
      <c r="A3" s="27"/>
    </row>
    <row r="4" spans="1:6" ht="17.25" customHeight="1" x14ac:dyDescent="0.2">
      <c r="A4" s="27"/>
    </row>
    <row r="5" spans="1:6" ht="11.25" x14ac:dyDescent="0.2">
      <c r="B5" s="50" t="s">
        <v>18</v>
      </c>
      <c r="C5" s="50" t="s">
        <v>15</v>
      </c>
      <c r="D5" s="50" t="s">
        <v>14</v>
      </c>
      <c r="E5" s="50" t="s">
        <v>20</v>
      </c>
      <c r="F5" t="s">
        <v>56</v>
      </c>
    </row>
    <row r="6" spans="1:6" ht="17.25" customHeight="1" x14ac:dyDescent="0.2">
      <c r="B6" s="33">
        <v>2013</v>
      </c>
      <c r="C6" s="59">
        <v>2</v>
      </c>
      <c r="D6" s="62">
        <v>41365</v>
      </c>
      <c r="E6" s="33" t="s">
        <v>0</v>
      </c>
      <c r="F6" s="51">
        <v>6400</v>
      </c>
    </row>
    <row r="7" spans="1:6" ht="17.25" customHeight="1" x14ac:dyDescent="0.2">
      <c r="B7"/>
      <c r="C7"/>
      <c r="D7"/>
      <c r="E7" s="33" t="s">
        <v>1</v>
      </c>
      <c r="F7" s="51">
        <v>8200</v>
      </c>
    </row>
    <row r="8" spans="1:6" ht="17.25" customHeight="1" x14ac:dyDescent="0.2">
      <c r="B8"/>
      <c r="C8"/>
      <c r="D8" s="62">
        <v>41395</v>
      </c>
      <c r="E8" s="33" t="s">
        <v>2</v>
      </c>
      <c r="F8" s="51">
        <v>4400</v>
      </c>
    </row>
    <row r="9" spans="1:6" ht="17.25" customHeight="1" x14ac:dyDescent="0.2">
      <c r="B9"/>
      <c r="C9"/>
      <c r="D9"/>
      <c r="E9" s="33" t="s">
        <v>3</v>
      </c>
      <c r="F9" s="51">
        <v>5400</v>
      </c>
    </row>
    <row r="10" spans="1:6" ht="17.25" customHeight="1" x14ac:dyDescent="0.2">
      <c r="B10"/>
      <c r="C10"/>
      <c r="D10"/>
      <c r="E10" s="33" t="s">
        <v>4</v>
      </c>
      <c r="F10" s="51">
        <v>5800</v>
      </c>
    </row>
    <row r="11" spans="1:6" ht="17.25" customHeight="1" x14ac:dyDescent="0.2">
      <c r="B11"/>
      <c r="C11"/>
      <c r="D11"/>
      <c r="E11" s="33" t="s">
        <v>5</v>
      </c>
      <c r="F11" s="51">
        <v>6200</v>
      </c>
    </row>
    <row r="12" spans="1:6" ht="17.25" customHeight="1" x14ac:dyDescent="0.2">
      <c r="B12"/>
      <c r="C12"/>
      <c r="D12" s="62">
        <v>41426</v>
      </c>
      <c r="E12" s="33" t="s">
        <v>0</v>
      </c>
      <c r="F12" s="51">
        <v>6900</v>
      </c>
    </row>
    <row r="13" spans="1:6" ht="17.25" customHeight="1" x14ac:dyDescent="0.2">
      <c r="B13"/>
      <c r="C13"/>
      <c r="D13"/>
      <c r="E13" s="33" t="s">
        <v>1</v>
      </c>
      <c r="F13" s="51">
        <v>7500</v>
      </c>
    </row>
    <row r="14" spans="1:6" ht="17.25" customHeight="1" x14ac:dyDescent="0.2">
      <c r="B14"/>
      <c r="C14" s="59" t="s">
        <v>53</v>
      </c>
      <c r="D14" s="33"/>
      <c r="E14" s="33"/>
      <c r="F14" s="51">
        <v>50800</v>
      </c>
    </row>
    <row r="15" spans="1:6" ht="17.25" customHeight="1" x14ac:dyDescent="0.2">
      <c r="B15"/>
      <c r="C15" s="59">
        <v>3</v>
      </c>
      <c r="D15" s="62">
        <v>41456</v>
      </c>
      <c r="E15" s="33" t="s">
        <v>2</v>
      </c>
      <c r="F15" s="51">
        <v>8700</v>
      </c>
    </row>
    <row r="16" spans="1:6" ht="17.25" customHeight="1" x14ac:dyDescent="0.2">
      <c r="B16"/>
      <c r="C16"/>
      <c r="D16" s="62">
        <v>41487</v>
      </c>
      <c r="E16" s="33" t="s">
        <v>3</v>
      </c>
      <c r="F16" s="51">
        <v>8500</v>
      </c>
    </row>
    <row r="17" spans="2:6" ht="17.25" customHeight="1" x14ac:dyDescent="0.2">
      <c r="B17"/>
      <c r="C17"/>
      <c r="D17"/>
      <c r="E17" s="33" t="s">
        <v>4</v>
      </c>
      <c r="F17" s="51">
        <v>7900</v>
      </c>
    </row>
    <row r="18" spans="2:6" ht="17.25" customHeight="1" x14ac:dyDescent="0.2">
      <c r="B18"/>
      <c r="C18"/>
      <c r="D18" s="62">
        <v>41518</v>
      </c>
      <c r="E18" s="33" t="s">
        <v>2</v>
      </c>
      <c r="F18" s="51">
        <v>9300</v>
      </c>
    </row>
    <row r="19" spans="2:6" ht="17.25" customHeight="1" x14ac:dyDescent="0.2">
      <c r="B19"/>
      <c r="C19"/>
      <c r="D19"/>
      <c r="E19" s="33" t="s">
        <v>1</v>
      </c>
      <c r="F19" s="51">
        <v>5600</v>
      </c>
    </row>
    <row r="20" spans="2:6" ht="17.25" customHeight="1" x14ac:dyDescent="0.2">
      <c r="B20"/>
      <c r="C20"/>
      <c r="D20"/>
      <c r="E20" s="33" t="s">
        <v>5</v>
      </c>
      <c r="F20" s="51">
        <v>9100</v>
      </c>
    </row>
    <row r="21" spans="2:6" ht="17.25" customHeight="1" x14ac:dyDescent="0.2">
      <c r="B21"/>
      <c r="C21" s="59" t="s">
        <v>54</v>
      </c>
      <c r="D21" s="33"/>
      <c r="E21" s="33"/>
      <c r="F21" s="51">
        <v>49100</v>
      </c>
    </row>
    <row r="22" spans="2:6" ht="17.25" customHeight="1" x14ac:dyDescent="0.2">
      <c r="B22"/>
      <c r="C22" s="59">
        <v>4</v>
      </c>
      <c r="D22" s="62">
        <v>41548</v>
      </c>
      <c r="E22" s="33" t="s">
        <v>3</v>
      </c>
      <c r="F22" s="51">
        <v>8800</v>
      </c>
    </row>
    <row r="23" spans="2:6" ht="17.25" customHeight="1" x14ac:dyDescent="0.2">
      <c r="B23"/>
      <c r="C23"/>
      <c r="D23" s="62">
        <v>41579</v>
      </c>
      <c r="E23" s="33" t="s">
        <v>4</v>
      </c>
      <c r="F23" s="51">
        <v>9100</v>
      </c>
    </row>
    <row r="24" spans="2:6" ht="17.25" customHeight="1" x14ac:dyDescent="0.2">
      <c r="B24"/>
      <c r="C24"/>
      <c r="D24"/>
      <c r="E24" s="33" t="s">
        <v>5</v>
      </c>
      <c r="F24" s="51">
        <v>16500</v>
      </c>
    </row>
    <row r="25" spans="2:6" ht="17.25" customHeight="1" x14ac:dyDescent="0.2">
      <c r="B25"/>
      <c r="C25"/>
      <c r="D25" s="62">
        <v>41609</v>
      </c>
      <c r="E25" s="33" t="s">
        <v>1</v>
      </c>
      <c r="F25" s="51">
        <v>9500</v>
      </c>
    </row>
    <row r="26" spans="2:6" ht="17.25" customHeight="1" x14ac:dyDescent="0.2">
      <c r="B26"/>
      <c r="C26" s="59" t="s">
        <v>55</v>
      </c>
      <c r="D26" s="33"/>
      <c r="E26" s="33"/>
      <c r="F26" s="51">
        <v>43900</v>
      </c>
    </row>
    <row r="27" spans="2:6" ht="11.25" x14ac:dyDescent="0.2">
      <c r="B27" s="32" t="s">
        <v>52</v>
      </c>
      <c r="C27" s="32"/>
      <c r="D27" s="32"/>
      <c r="E27" s="32"/>
      <c r="F27" s="52">
        <v>143800</v>
      </c>
    </row>
    <row r="28" spans="2:6" ht="11.25" x14ac:dyDescent="0.2">
      <c r="B28" s="33" t="s">
        <v>51</v>
      </c>
      <c r="C28"/>
      <c r="D28"/>
      <c r="E28"/>
      <c r="F28" s="51">
        <v>143800</v>
      </c>
    </row>
    <row r="29" spans="2:6" ht="17.25" customHeight="1" x14ac:dyDescent="0.2">
      <c r="B29"/>
      <c r="C29"/>
      <c r="D29"/>
      <c r="E29"/>
      <c r="F29"/>
    </row>
    <row r="30" spans="2:6" ht="11.25" x14ac:dyDescent="0.2">
      <c r="B30"/>
      <c r="C30"/>
      <c r="D30"/>
      <c r="E30"/>
    </row>
    <row r="31" spans="2:6" ht="11.25" x14ac:dyDescent="0.2">
      <c r="B31"/>
      <c r="C31"/>
      <c r="D31"/>
      <c r="E31"/>
    </row>
    <row r="32" spans="2:6" ht="11.25" x14ac:dyDescent="0.2">
      <c r="B32"/>
      <c r="C32"/>
      <c r="D32"/>
      <c r="E32"/>
    </row>
    <row r="33" spans="2:5" ht="11.25" x14ac:dyDescent="0.2">
      <c r="B33"/>
      <c r="C33"/>
      <c r="D33"/>
      <c r="E33"/>
    </row>
    <row r="34" spans="2:5" ht="11.25" x14ac:dyDescent="0.2">
      <c r="B34"/>
      <c r="C34"/>
      <c r="D34"/>
      <c r="E34"/>
    </row>
    <row r="35" spans="2:5" ht="11.25" x14ac:dyDescent="0.2">
      <c r="B35"/>
      <c r="C35"/>
      <c r="D35"/>
      <c r="E35"/>
    </row>
    <row r="36" spans="2:5" ht="11.25" x14ac:dyDescent="0.2">
      <c r="B36"/>
      <c r="C36"/>
      <c r="D36"/>
      <c r="E36"/>
    </row>
    <row r="37" spans="2:5" ht="11.25" x14ac:dyDescent="0.2">
      <c r="B37"/>
      <c r="C37"/>
      <c r="D37"/>
      <c r="E37"/>
    </row>
    <row r="38" spans="2:5" ht="11.25" x14ac:dyDescent="0.2">
      <c r="B38"/>
      <c r="C38"/>
    </row>
    <row r="39" spans="2:5" ht="11.25" x14ac:dyDescent="0.2">
      <c r="B39"/>
      <c r="C39"/>
    </row>
    <row r="40" spans="2:5" ht="11.25" x14ac:dyDescent="0.2">
      <c r="B40"/>
      <c r="C40"/>
    </row>
    <row r="41" spans="2:5" ht="11.25" x14ac:dyDescent="0.2">
      <c r="B41"/>
      <c r="C41"/>
    </row>
    <row r="42" spans="2:5" ht="11.25" x14ac:dyDescent="0.2">
      <c r="B42"/>
      <c r="C42"/>
    </row>
    <row r="43" spans="2:5" ht="11.25" x14ac:dyDescent="0.2">
      <c r="B43"/>
      <c r="C43"/>
    </row>
  </sheetData>
  <conditionalFormatting sqref="E1:E4 E38:E1048553">
    <cfRule type="expression" dxfId="10" priority="4">
      <formula>(LEN($E1)&gt;0)*(LEN($D2)&gt;0)</formula>
    </cfRule>
  </conditionalFormatting>
  <conditionalFormatting sqref="D1:D4 D38:D1048576 F30:F1048576">
    <cfRule type="expression" dxfId="9" priority="3">
      <formula>(LEN($D1)&gt;0)*(LEN($C1)=0)</formula>
    </cfRule>
  </conditionalFormatting>
  <conditionalFormatting sqref="F1:F4">
    <cfRule type="expression" dxfId="8" priority="1">
      <formula>(LEN($D1)&gt;0)*(LEN($C1)=0)</formula>
    </cfRule>
  </conditionalFormatting>
  <conditionalFormatting sqref="E1048554:E1048576">
    <cfRule type="expression" dxfId="7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30.33203125" customWidth="1"/>
    <col min="3" max="6" width="16" customWidth="1"/>
    <col min="7" max="7" width="46.83203125" customWidth="1"/>
    <col min="8" max="8" width="45" customWidth="1"/>
    <col min="9" max="9" width="46.5" customWidth="1"/>
    <col min="10" max="10" width="30.1640625" customWidth="1"/>
  </cols>
  <sheetData>
    <row r="2" spans="2:10" ht="33.75" x14ac:dyDescent="0.2">
      <c r="B2" s="2" t="s">
        <v>28</v>
      </c>
    </row>
    <row r="3" spans="2:10" ht="27.75" customHeight="1" x14ac:dyDescent="0.2">
      <c r="B3" s="20" t="str">
        <f ca="1">"DANAŠNJI DATUM: "&amp;UPPER(TEXT(TODAY(),"d.mmm.yyyy"))</f>
        <v>DANAŠNJI DATUM: 29.LIS.2012</v>
      </c>
      <c r="D3" s="22">
        <f ca="1">--TRIM(RIGHT(B3,LEN(B3)-FIND(":",B3)))</f>
        <v>41211</v>
      </c>
    </row>
    <row r="4" spans="2:10" ht="15" customHeight="1" x14ac:dyDescent="0.2"/>
    <row r="5" spans="2:10" ht="18.75" customHeight="1" x14ac:dyDescent="0.2">
      <c r="B5" s="47" t="s">
        <v>29</v>
      </c>
      <c r="C5" s="46" t="s">
        <v>30</v>
      </c>
      <c r="D5" s="46" t="s">
        <v>31</v>
      </c>
      <c r="E5" s="46" t="s">
        <v>32</v>
      </c>
      <c r="F5" s="46" t="s">
        <v>6</v>
      </c>
      <c r="G5" s="46" t="s">
        <v>33</v>
      </c>
      <c r="H5" s="46" t="s">
        <v>34</v>
      </c>
      <c r="I5" s="46" t="s">
        <v>35</v>
      </c>
      <c r="J5" s="35" t="s">
        <v>46</v>
      </c>
    </row>
    <row r="6" spans="2:10" s="3" customFormat="1" ht="15" customHeight="1" x14ac:dyDescent="0.2">
      <c r="B6" s="9" t="s">
        <v>7</v>
      </c>
      <c r="C6" s="41">
        <f ca="1">COUNTIF('Unos podataka'!$B$6:$B$24,"&gt;="&amp;DATE(fGodina,MONTH(fDatum),1))-COUNTIF('Unos podataka'!$B$6:$B$24,"&gt;"&amp;EOMONTH(fDatum,0))</f>
        <v>0</v>
      </c>
      <c r="D6" s="45"/>
      <c r="E6" s="11"/>
      <c r="F6" s="12"/>
      <c r="G6" s="41">
        <f ca="1">COUNTIF(tblPodaci[DATUM],"&lt;="&amp;EOMONTH(fDatum,0))</f>
        <v>0</v>
      </c>
      <c r="H6" s="10"/>
      <c r="I6" s="10"/>
      <c r="J6" s="13"/>
    </row>
    <row r="7" spans="2:10" s="3" customFormat="1" ht="15" customHeight="1" x14ac:dyDescent="0.2">
      <c r="B7" s="14" t="s">
        <v>12</v>
      </c>
      <c r="C7" s="57">
        <f ca="1">SUMIF(tblPodaci[DATUM],"&gt;="&amp;DATE(fGodina,MONTH(fDatum),1),tblPodaci[IZNOS])-SUMIF(tblPodaci[DATUM],"&gt;"&amp;EOMONTH(fDatum,0),tblPodaci[IZNOS])</f>
        <v>0</v>
      </c>
      <c r="D7" s="57">
        <f ca="1">SUMIF('Unos podataka'!$B$6:$B$24,"&gt;="&amp;DATE(fGodina,MONTH(fDatum),1),'Unos podataka'!$E$6:$E$24)-SUMIF('Unos podataka'!$B$6:$B$24,"&gt;"&amp;EOMONTH(fDatum,0),'Unos podataka'!$E$6:$E$24)</f>
        <v>0</v>
      </c>
      <c r="E7" s="57">
        <f ca="1">D7-C7</f>
        <v>0</v>
      </c>
      <c r="F7" s="43" t="str">
        <f ca="1">IFERROR(D7/C7,"-")</f>
        <v>-</v>
      </c>
      <c r="G7" s="57">
        <f ca="1">SUMIF(tblPodaci[DATUM],"&lt;="&amp;EOMONTH(fDatum,0),tblPodaci[IZNOS])</f>
        <v>0</v>
      </c>
      <c r="H7" s="57">
        <f ca="1">SUMIF(tblPodaci[DATUM],"&lt;="&amp;EOMONTH(fDatum,0),tblPodaci[PLANIRANO])</f>
        <v>0</v>
      </c>
      <c r="I7" s="57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8</v>
      </c>
      <c r="C8" s="57">
        <f ca="1">(SUMIF(tblPodaci[DATUM],"&gt;="&amp;DATE(fGodina,MONTH(fDatum),1),tblPodaci[IZNOS])-SUMIF(tblPodaci[DATUM],"&gt;"&amp;EOMONTH(fDatum,0),tblPodaci[IZNOS]))-(SUMIF(tblPodaci[DATUM],"&gt;="&amp;DATE(fGodina,MONTH(fDatum),1),tblPodaci[TROŠAK])-SUMIF(tblPodaci[DATUM],"&gt;"&amp;EOMONTH(fDatum,0),tblPodaci[TROŠAK]))</f>
        <v>0</v>
      </c>
      <c r="D8" s="57">
        <f ca="1">(SUMIF('Unos podataka'!$B$6:$B$24,"&gt;="&amp;DATE(fGodina,MONTH(fDatum),1),'Unos podataka'!$E$6:$E$24)-SUMIF('Unos podataka'!$B$6:$B$24,"&gt;"&amp;EOMONTH(fDatum,0),'Unos podataka'!$E$6:$E$24))-(SUMIF('Unos podataka'!$B$6:$B$24,"&gt;="&amp;DATE(fGodina,MONTH(fDatum),1),'Unos podataka'!$F$6:$F$24)-SUMIF('Unos podataka'!$B$6:$B$24,"&gt;"&amp;EOMONTH(fDatum,0),'Unos podataka'!$F$6:$F$24))</f>
        <v>0</v>
      </c>
      <c r="E8" s="57">
        <f ca="1">D8-C8</f>
        <v>0</v>
      </c>
      <c r="F8" s="43" t="str">
        <f ca="1">IFERROR(D8/C8,"-")</f>
        <v>-</v>
      </c>
      <c r="G8" s="57">
        <f ca="1">SUMIF('Unos podataka'!$B$6:$B$24,"&lt;="&amp;EOMONTH(fDatum,0),'Unos podataka'!$F$6:$F$24)</f>
        <v>0</v>
      </c>
      <c r="H8" s="57">
        <f ca="1">SUMIF(tblPodaci[DATUM],"&lt;="&amp;EOMONTH(fDatum,0),tblPodaci[TROŠAK])</f>
        <v>0</v>
      </c>
      <c r="I8" s="57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9</v>
      </c>
      <c r="C9" s="43" t="str">
        <f ca="1">IFERROR(C8/C7,"-")</f>
        <v>-</v>
      </c>
      <c r="D9" s="43" t="str">
        <f ca="1">IFERROR(D8/D7,"-")</f>
        <v>-</v>
      </c>
      <c r="E9" s="43"/>
      <c r="F9" s="43" t="str">
        <f ca="1">IFERROR(F8/F7,"-")</f>
        <v>-</v>
      </c>
      <c r="G9" s="43" t="str">
        <f ca="1">IFERROR(G8/G7,"")</f>
        <v/>
      </c>
      <c r="H9" s="43" t="str">
        <f ca="1">IFERROR(H8/H7,"")</f>
        <v/>
      </c>
      <c r="I9" s="43"/>
      <c r="J9" s="15" t="str">
        <f ca="1">IFERROR(J8/J7,"")</f>
        <v/>
      </c>
    </row>
    <row r="10" spans="2:10" s="3" customFormat="1" ht="15" customHeight="1" x14ac:dyDescent="0.2">
      <c r="B10" s="14" t="s">
        <v>10</v>
      </c>
      <c r="C10" s="44">
        <f ca="1">COUNTIF(tblPodaci[DATUM],"&gt;="&amp;DATE(fGodina,MONTH(fDatum),1))-COUNTIF(tblPodaci[DATUM],"&gt;"&amp;EOMONTH(fDatum,0))</f>
        <v>0</v>
      </c>
      <c r="D10" s="16"/>
      <c r="E10" s="16"/>
      <c r="F10" s="16"/>
      <c r="G10" s="44">
        <f ca="1">COUNTIF(tblPodaci[DATUM],"&gt;"&amp;EOMONTH(fDatum,0))</f>
        <v>19</v>
      </c>
      <c r="H10" s="16"/>
      <c r="I10" s="16"/>
      <c r="J10" s="17"/>
    </row>
    <row r="11" spans="2:10" s="3" customFormat="1" ht="15" customHeight="1" x14ac:dyDescent="0.2">
      <c r="B11" s="14" t="s">
        <v>11</v>
      </c>
      <c r="C11" s="42" t="str">
        <f ca="1">IFERROR(C7/C10,"-")</f>
        <v>-</v>
      </c>
      <c r="D11" s="16"/>
      <c r="E11" s="16"/>
      <c r="F11" s="16"/>
      <c r="G11" s="57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4" t="s">
        <v>26</v>
      </c>
      <c r="C13" s="34"/>
      <c r="D13" s="34" t="s">
        <v>36</v>
      </c>
      <c r="E13" s="40"/>
      <c r="F13" s="34" t="s">
        <v>37</v>
      </c>
      <c r="G13" s="40"/>
      <c r="H13" s="34"/>
      <c r="I13" s="34" t="s">
        <v>38</v>
      </c>
      <c r="J13" s="18"/>
    </row>
    <row r="14" spans="2:10" x14ac:dyDescent="0.2">
      <c r="B14" s="37" t="s">
        <v>12</v>
      </c>
      <c r="C14" s="37"/>
      <c r="D14" s="58">
        <f ca="1">TREND(tblPodaci[[ MJESEC]],tblPodaci[BR. MJESECA (SAKRIJ)],IF(MONTH(fDatum)=12,13,MONTH(fDatum)+1))</f>
        <v>19802.707275803721</v>
      </c>
      <c r="E14" s="39"/>
      <c r="F14" s="58">
        <f ca="1">TREND(tblPodaci[TROMJESEČJE2],tblPodaci[BR. MJESECA (SAKRIJ)],IF(MONTH(fDatum)=12,13,MONTH(fDatum)+1))</f>
        <v>45107.445008460243</v>
      </c>
      <c r="G14" s="39"/>
      <c r="H14" s="38"/>
      <c r="I14" s="58">
        <f ca="1">TREND(tblPodaci[GODIŠNJE],tblPodaci[BR. MJESECA (SAKRIJ)],IF(MONTH(fDatum)=12,13,MONTH(fDatum)+1))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39</v>
      </c>
    </row>
    <row r="30" spans="2:6" s="21" customFormat="1" ht="27" customHeight="1" x14ac:dyDescent="0.2">
      <c r="B30" s="21" t="s">
        <v>42</v>
      </c>
      <c r="F30" s="21" t="s">
        <v>43</v>
      </c>
    </row>
    <row r="38" spans="2:10" s="21" customFormat="1" ht="27" customHeight="1" x14ac:dyDescent="0.2">
      <c r="B38" s="21" t="s">
        <v>40</v>
      </c>
      <c r="F38" s="21" t="s">
        <v>41</v>
      </c>
    </row>
    <row r="43" spans="2:10" x14ac:dyDescent="0.2">
      <c r="J43" t="s">
        <v>45</v>
      </c>
    </row>
  </sheetData>
  <conditionalFormatting sqref="E2">
    <cfRule type="expression" dxfId="4" priority="3">
      <formula>(LEN($E2)&gt;0)*(LEN($D3)&gt;0)</formula>
    </cfRule>
  </conditionalFormatting>
  <conditionalFormatting sqref="D2">
    <cfRule type="expression" dxfId="3" priority="2">
      <formula>(LEN($D2)&gt;0)*(LEN($C2)=0)</formula>
    </cfRule>
  </conditionalFormatting>
  <conditionalFormatting sqref="F2">
    <cfRule type="expression" dxfId="2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badc642-15f9-493b-af2e-800910d66b6f" xsi:nil="true"/>
    <AssetExpire xmlns="8badc642-15f9-493b-af2e-800910d66b6f">2029-01-01T08:00:00+00:00</AssetExpire>
    <CampaignTagsTaxHTField0 xmlns="8badc642-15f9-493b-af2e-800910d66b6f">
      <Terms xmlns="http://schemas.microsoft.com/office/infopath/2007/PartnerControls"/>
    </CampaignTagsTaxHTField0>
    <IntlLangReviewDate xmlns="8badc642-15f9-493b-af2e-800910d66b6f" xsi:nil="true"/>
    <TPFriendlyName xmlns="8badc642-15f9-493b-af2e-800910d66b6f" xsi:nil="true"/>
    <IntlLangReview xmlns="8badc642-15f9-493b-af2e-800910d66b6f">false</IntlLangReview>
    <LocLastLocAttemptVersionLookup xmlns="8badc642-15f9-493b-af2e-800910d66b6f">845880</LocLastLocAttemptVersionLookup>
    <PolicheckWords xmlns="8badc642-15f9-493b-af2e-800910d66b6f" xsi:nil="true"/>
    <SubmitterId xmlns="8badc642-15f9-493b-af2e-800910d66b6f" xsi:nil="true"/>
    <AcquiredFrom xmlns="8badc642-15f9-493b-af2e-800910d66b6f">Internal MS</AcquiredFrom>
    <EditorialStatus xmlns="8badc642-15f9-493b-af2e-800910d66b6f" xsi:nil="true"/>
    <Markets xmlns="8badc642-15f9-493b-af2e-800910d66b6f"/>
    <OriginAsset xmlns="8badc642-15f9-493b-af2e-800910d66b6f" xsi:nil="true"/>
    <AssetStart xmlns="8badc642-15f9-493b-af2e-800910d66b6f">2012-06-28T22:27:47+00:00</AssetStart>
    <FriendlyTitle xmlns="8badc642-15f9-493b-af2e-800910d66b6f" xsi:nil="true"/>
    <MarketSpecific xmlns="8badc642-15f9-493b-af2e-800910d66b6f">false</MarketSpecific>
    <TPNamespace xmlns="8badc642-15f9-493b-af2e-800910d66b6f" xsi:nil="true"/>
    <PublishStatusLookup xmlns="8badc642-15f9-493b-af2e-800910d66b6f">
      <Value>229488</Value>
    </PublishStatusLookup>
    <APAuthor xmlns="8badc642-15f9-493b-af2e-800910d66b6f">
      <UserInfo>
        <DisplayName/>
        <AccountId>2566</AccountId>
        <AccountType/>
      </UserInfo>
    </APAuthor>
    <TPCommandLine xmlns="8badc642-15f9-493b-af2e-800910d66b6f" xsi:nil="true"/>
    <IntlLangReviewer xmlns="8badc642-15f9-493b-af2e-800910d66b6f" xsi:nil="true"/>
    <OpenTemplate xmlns="8badc642-15f9-493b-af2e-800910d66b6f">true</OpenTemplate>
    <CSXSubmissionDate xmlns="8badc642-15f9-493b-af2e-800910d66b6f" xsi:nil="true"/>
    <TaxCatchAll xmlns="8badc642-15f9-493b-af2e-800910d66b6f"/>
    <Manager xmlns="8badc642-15f9-493b-af2e-800910d66b6f" xsi:nil="true"/>
    <NumericId xmlns="8badc642-15f9-493b-af2e-800910d66b6f" xsi:nil="true"/>
    <ParentAssetId xmlns="8badc642-15f9-493b-af2e-800910d66b6f" xsi:nil="true"/>
    <OriginalSourceMarket xmlns="8badc642-15f9-493b-af2e-800910d66b6f">english</OriginalSourceMarket>
    <ApprovalStatus xmlns="8badc642-15f9-493b-af2e-800910d66b6f">InProgress</ApprovalStatus>
    <TPComponent xmlns="8badc642-15f9-493b-af2e-800910d66b6f" xsi:nil="true"/>
    <EditorialTags xmlns="8badc642-15f9-493b-af2e-800910d66b6f" xsi:nil="true"/>
    <TPExecutable xmlns="8badc642-15f9-493b-af2e-800910d66b6f" xsi:nil="true"/>
    <TPLaunchHelpLink xmlns="8badc642-15f9-493b-af2e-800910d66b6f" xsi:nil="true"/>
    <LocComments xmlns="8badc642-15f9-493b-af2e-800910d66b6f" xsi:nil="true"/>
    <LocRecommendedHandoff xmlns="8badc642-15f9-493b-af2e-800910d66b6f" xsi:nil="true"/>
    <SourceTitle xmlns="8badc642-15f9-493b-af2e-800910d66b6f" xsi:nil="true"/>
    <CSXUpdate xmlns="8badc642-15f9-493b-af2e-800910d66b6f">false</CSXUpdate>
    <IntlLocPriority xmlns="8badc642-15f9-493b-af2e-800910d66b6f" xsi:nil="true"/>
    <UAProjectedTotalWords xmlns="8badc642-15f9-493b-af2e-800910d66b6f" xsi:nil="true"/>
    <AssetType xmlns="8badc642-15f9-493b-af2e-800910d66b6f" xsi:nil="true"/>
    <MachineTranslated xmlns="8badc642-15f9-493b-af2e-800910d66b6f">false</MachineTranslated>
    <OutputCachingOn xmlns="8badc642-15f9-493b-af2e-800910d66b6f">false</OutputCachingOn>
    <TemplateStatus xmlns="8badc642-15f9-493b-af2e-800910d66b6f">Complete</TemplateStatus>
    <IsSearchable xmlns="8badc642-15f9-493b-af2e-800910d66b6f">false</IsSearchable>
    <ContentItem xmlns="8badc642-15f9-493b-af2e-800910d66b6f" xsi:nil="true"/>
    <HandoffToMSDN xmlns="8badc642-15f9-493b-af2e-800910d66b6f" xsi:nil="true"/>
    <ShowIn xmlns="8badc642-15f9-493b-af2e-800910d66b6f">Show everywhere</ShowIn>
    <ThumbnailAssetId xmlns="8badc642-15f9-493b-af2e-800910d66b6f" xsi:nil="true"/>
    <UALocComments xmlns="8badc642-15f9-493b-af2e-800910d66b6f" xsi:nil="true"/>
    <UALocRecommendation xmlns="8badc642-15f9-493b-af2e-800910d66b6f">Localize</UALocRecommendation>
    <LastModifiedDateTime xmlns="8badc642-15f9-493b-af2e-800910d66b6f" xsi:nil="true"/>
    <LegacyData xmlns="8badc642-15f9-493b-af2e-800910d66b6f" xsi:nil="true"/>
    <LocManualTestRequired xmlns="8badc642-15f9-493b-af2e-800910d66b6f">false</LocManualTestRequired>
    <LocMarketGroupTiers2 xmlns="8badc642-15f9-493b-af2e-800910d66b6f" xsi:nil="true"/>
    <ClipArtFilename xmlns="8badc642-15f9-493b-af2e-800910d66b6f" xsi:nil="true"/>
    <TPApplication xmlns="8badc642-15f9-493b-af2e-800910d66b6f" xsi:nil="true"/>
    <CSXHash xmlns="8badc642-15f9-493b-af2e-800910d66b6f" xsi:nil="true"/>
    <DirectSourceMarket xmlns="8badc642-15f9-493b-af2e-800910d66b6f">english</DirectSourceMarket>
    <PrimaryImageGen xmlns="8badc642-15f9-493b-af2e-800910d66b6f">false</PrimaryImageGen>
    <PlannedPubDate xmlns="8badc642-15f9-493b-af2e-800910d66b6f" xsi:nil="true"/>
    <CSXSubmissionMarket xmlns="8badc642-15f9-493b-af2e-800910d66b6f" xsi:nil="true"/>
    <Downloads xmlns="8badc642-15f9-493b-af2e-800910d66b6f">0</Downloads>
    <ArtSampleDocs xmlns="8badc642-15f9-493b-af2e-800910d66b6f" xsi:nil="true"/>
    <TrustLevel xmlns="8badc642-15f9-493b-af2e-800910d66b6f">1 Microsoft Managed Content</TrustLevel>
    <BlockPublish xmlns="8badc642-15f9-493b-af2e-800910d66b6f">false</BlockPublish>
    <TPLaunchHelpLinkType xmlns="8badc642-15f9-493b-af2e-800910d66b6f">Template</TPLaunchHelpLinkType>
    <LocalizationTagsTaxHTField0 xmlns="8badc642-15f9-493b-af2e-800910d66b6f">
      <Terms xmlns="http://schemas.microsoft.com/office/infopath/2007/PartnerControls"/>
    </LocalizationTagsTaxHTField0>
    <BusinessGroup xmlns="8badc642-15f9-493b-af2e-800910d66b6f" xsi:nil="true"/>
    <Providers xmlns="8badc642-15f9-493b-af2e-800910d66b6f" xsi:nil="true"/>
    <TemplateTemplateType xmlns="8badc642-15f9-493b-af2e-800910d66b6f">Excel Spreadsheet Template</TemplateTemplateType>
    <TimesCloned xmlns="8badc642-15f9-493b-af2e-800910d66b6f" xsi:nil="true"/>
    <TPAppVersion xmlns="8badc642-15f9-493b-af2e-800910d66b6f" xsi:nil="true"/>
    <VoteCount xmlns="8badc642-15f9-493b-af2e-800910d66b6f" xsi:nil="true"/>
    <FeatureTagsTaxHTField0 xmlns="8badc642-15f9-493b-af2e-800910d66b6f">
      <Terms xmlns="http://schemas.microsoft.com/office/infopath/2007/PartnerControls"/>
    </FeatureTagsTaxHTField0>
    <Provider xmlns="8badc642-15f9-493b-af2e-800910d66b6f" xsi:nil="true"/>
    <UACurrentWords xmlns="8badc642-15f9-493b-af2e-800910d66b6f" xsi:nil="true"/>
    <AssetId xmlns="8badc642-15f9-493b-af2e-800910d66b6f">TP102929974</AssetId>
    <TPClientViewer xmlns="8badc642-15f9-493b-af2e-800910d66b6f" xsi:nil="true"/>
    <DSATActionTaken xmlns="8badc642-15f9-493b-af2e-800910d66b6f" xsi:nil="true"/>
    <APEditor xmlns="8badc642-15f9-493b-af2e-800910d66b6f">
      <UserInfo>
        <DisplayName/>
        <AccountId xsi:nil="true"/>
        <AccountType/>
      </UserInfo>
    </APEditor>
    <TPInstallLocation xmlns="8badc642-15f9-493b-af2e-800910d66b6f" xsi:nil="true"/>
    <OOCacheId xmlns="8badc642-15f9-493b-af2e-800910d66b6f" xsi:nil="true"/>
    <IsDeleted xmlns="8badc642-15f9-493b-af2e-800910d66b6f">false</IsDeleted>
    <PublishTargets xmlns="8badc642-15f9-493b-af2e-800910d66b6f">OfficeOnlineVNext</PublishTargets>
    <ApprovalLog xmlns="8badc642-15f9-493b-af2e-800910d66b6f" xsi:nil="true"/>
    <BugNumber xmlns="8badc642-15f9-493b-af2e-800910d66b6f" xsi:nil="true"/>
    <CrawlForDependencies xmlns="8badc642-15f9-493b-af2e-800910d66b6f">false</CrawlForDependencies>
    <InternalTagsTaxHTField0 xmlns="8badc642-15f9-493b-af2e-800910d66b6f">
      <Terms xmlns="http://schemas.microsoft.com/office/infopath/2007/PartnerControls"/>
    </InternalTagsTaxHTField0>
    <LastHandOff xmlns="8badc642-15f9-493b-af2e-800910d66b6f" xsi:nil="true"/>
    <Milestone xmlns="8badc642-15f9-493b-af2e-800910d66b6f" xsi:nil="true"/>
    <OriginalRelease xmlns="8badc642-15f9-493b-af2e-800910d66b6f">15</OriginalRelease>
    <RecommendationsModifier xmlns="8badc642-15f9-493b-af2e-800910d66b6f" xsi:nil="true"/>
    <ScenarioTagsTaxHTField0 xmlns="8badc642-15f9-493b-af2e-800910d66b6f">
      <Terms xmlns="http://schemas.microsoft.com/office/infopath/2007/PartnerControls"/>
    </ScenarioTagsTaxHTField0>
    <UANotes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B74628D0-D0D2-4BBD-A571-F1F5E2D768CB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7</vt:i4>
      </vt:variant>
    </vt:vector>
  </HeadingPairs>
  <TitlesOfParts>
    <vt:vector size="10" baseType="lpstr">
      <vt:lpstr>Unos podataka</vt:lpstr>
      <vt:lpstr>Izvješće o prodaji</vt:lpstr>
      <vt:lpstr>Predviđanje prodaje</vt:lpstr>
      <vt:lpstr>DatumPrognoze</vt:lpstr>
      <vt:lpstr>fDan</vt:lpstr>
      <vt:lpstr>fDatum</vt:lpstr>
      <vt:lpstr>fGodina</vt:lpstr>
      <vt:lpstr>fMjesec</vt:lpstr>
      <vt:lpstr>'Izvješće o prodaji'!Ispis_naslova</vt:lpstr>
      <vt:lpstr>'Predviđanje prodaje'!Područje_ispisa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2012-06-20T20:17:06Z</dcterms:created>
  <dcterms:modified xsi:type="dcterms:W3CDTF">2012-10-29T01:59:14Z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