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81.xml" ContentType="application/vnd.openxmlformats-officedocument.spreadsheetml.worksheet+xml"/>
  <Override PartName="/xl/theme/theme11.xml" ContentType="application/vnd.openxmlformats-officedocument.theme+xml"/>
  <Override PartName="/xl/worksheets/sheet32.xml" ContentType="application/vnd.openxmlformats-officedocument.spreadsheetml.worksheet+xml"/>
  <Override PartName="/xl/worksheets/sheet7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25.xml" ContentType="application/vnd.openxmlformats-officedocument.spreadsheetml.worksheet+xml"/>
  <Override PartName="/xl/calcChain.xml" ContentType="application/vnd.openxmlformats-officedocument.spreadsheetml.calcChain+xml"/>
  <Override PartName="/xl/worksheets/sheet16.xml" ContentType="application/vnd.openxmlformats-officedocument.spreadsheetml.worksheet+xml"/>
  <Override PartName="/xl/worksheets/sheet6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59.xml" ContentType="application/vnd.openxmlformats-officedocument.spreadsheetml.worksheet+xml"/>
  <Override PartName="/xl/sharedStrings.xml" ContentType="application/vnd.openxmlformats-officedocument.spreadsheetml.sharedStrings+xml"/>
  <Override PartName="/xl/worksheets/sheet1010.xml" ContentType="application/vnd.openxmlformats-officedocument.spreadsheetml.worksheet+xml"/>
  <Override PartName="/xl/worksheets/sheet411.xml" ContentType="application/vnd.openxmlformats-officedocument.spreadsheetml.worksheet+xml"/>
  <Override PartName="/xl/worksheets/sheet912.xml" ContentType="application/vnd.openxmlformats-officedocument.spreadsheetml.worksheet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store\Phases6\PubMed\Accounts\Microsoft\OfficeUA_FY14_Template\O16_template\20151009_Calendar_templates\03_PreDTP_Done\HRV\"/>
    </mc:Choice>
  </mc:AlternateContent>
  <bookViews>
    <workbookView xWindow="0" yWindow="900" windowWidth="20490" windowHeight="7515" tabRatio="741"/>
  </bookViews>
  <sheets>
    <sheet name="Sij" sheetId="1" r:id="rId1"/>
    <sheet name="Velj" sheetId="6" r:id="rId2"/>
    <sheet name="Ožu" sheetId="7" r:id="rId3"/>
    <sheet name="Tra" sheetId="8" r:id="rId4"/>
    <sheet name="Svi" sheetId="9" r:id="rId5"/>
    <sheet name="Lip" sheetId="10" r:id="rId6"/>
    <sheet name="Srp" sheetId="11" r:id="rId7"/>
    <sheet name="Kol" sheetId="12" r:id="rId8"/>
    <sheet name="Ruj" sheetId="13" r:id="rId9"/>
    <sheet name="Lis" sheetId="14" r:id="rId10"/>
    <sheet name="Stu" sheetId="15" r:id="rId11"/>
    <sheet name="Pro" sheetId="16" r:id="rId12"/>
  </sheets>
  <definedNames>
    <definedName name="DaniZadatka" localSheetId="7">Kol!$L$4:$L$33</definedName>
    <definedName name="DaniZadatka" localSheetId="5">Lip!$L$4:$L$33</definedName>
    <definedName name="DaniZadatka" localSheetId="9">Lis!$L$4:$L$33</definedName>
    <definedName name="DaniZadatka" localSheetId="2">Ožu!$L$4:$L$33</definedName>
    <definedName name="DaniZadatka" localSheetId="11">Pro!$L$4:$L$33</definedName>
    <definedName name="DaniZadatka" localSheetId="8">Ruj!$L$4:$L$33</definedName>
    <definedName name="DaniZadatka" localSheetId="6">Srp!$L$4:$L$33</definedName>
    <definedName name="DaniZadatka" localSheetId="10">Stu!$L$4:$L$33</definedName>
    <definedName name="DaniZadatka" localSheetId="4">Svi!$L$4:$L$33</definedName>
    <definedName name="DaniZadatka" localSheetId="3">Tra!$L$4:$L$33</definedName>
    <definedName name="DaniZadatka" localSheetId="1">Velj!$L$4:$L$33</definedName>
    <definedName name="DaniZadatka">Sij!$L$4:$L$33</definedName>
    <definedName name="KalendarskaGodina">Sij!$N$2</definedName>
    <definedName name="KolNed1">DATE(KalendarskaGodina,8,1)-WEEKDAY(DATE(KalendarskaGodina,8,1))+1</definedName>
    <definedName name="LipNed1">DATE(KalendarskaGodina,6,1)-WEEKDAY(DATE(KalendarskaGodina,6,1))+1</definedName>
    <definedName name="LisNed1">DATE(KalendarskaGodina,10,1)-WEEKDAY(DATE(KalendarskaGodina,10,1))+1</definedName>
    <definedName name="OžuNed1">DATE(KalendarskaGodina,3,1)-WEEKDAY(DATE(KalendarskaGodina,3,1))+1</definedName>
    <definedName name="_xlnm.Print_Area" localSheetId="7">Kol!$A$1:$N$33</definedName>
    <definedName name="_xlnm.Print_Area" localSheetId="5">Lip!$A$1:$N$33</definedName>
    <definedName name="_xlnm.Print_Area" localSheetId="9">Lis!$A$1:$N$33</definedName>
    <definedName name="_xlnm.Print_Area" localSheetId="2">Ožu!$A$1:$N$33</definedName>
    <definedName name="_xlnm.Print_Area" localSheetId="11">Pro!$A$1:$N$33</definedName>
    <definedName name="_xlnm.Print_Area" localSheetId="8">Ruj!$A$1:$N$33</definedName>
    <definedName name="_xlnm.Print_Area" localSheetId="0">Sij!$A$1:$N$33</definedName>
    <definedName name="_xlnm.Print_Area" localSheetId="6">Srp!$A$1:$N$33</definedName>
    <definedName name="_xlnm.Print_Area" localSheetId="10">Stu!$A$1:$N$33</definedName>
    <definedName name="_xlnm.Print_Area" localSheetId="4">Svi!$A$1:$N$33</definedName>
    <definedName name="_xlnm.Print_Area" localSheetId="3">Tra!$A$1:$N$33</definedName>
    <definedName name="_xlnm.Print_Area" localSheetId="1">Velj!$A$1:$N$33</definedName>
    <definedName name="ProNed1">DATE(KalendarskaGodina,12,1)-WEEKDAY(DATE(KalendarskaGodina,12,1))+1</definedName>
    <definedName name="RujNed1">DATE(KalendarskaGodina,9,1)-WEEKDAY(DATE(KalendarskaGodina,9,1))+1</definedName>
    <definedName name="SijNed1">DATE(KalendarskaGodina,1,1)-WEEKDAY(DATE(KalendarskaGodina,1,1))+1</definedName>
    <definedName name="SrpNed1">DATE(KalendarskaGodina,7,1)-WEEKDAY(DATE(KalendarskaGodina,7,1))+1</definedName>
    <definedName name="StuNed1">DATE(KalendarskaGodina,11,1)-WEEKDAY(DATE(KalendarskaGodina,11,1))+1</definedName>
    <definedName name="SviNed1">DATE(KalendarskaGodina,5,1)-WEEKDAY(DATE(KalendarskaGodina,5,1))+1</definedName>
    <definedName name="TablicaVažnihDatuma" localSheetId="7">Kol!$L$4:$M$8</definedName>
    <definedName name="TablicaVažnihDatuma" localSheetId="5">Lip!$L$4:$M$8</definedName>
    <definedName name="TablicaVažnihDatuma" localSheetId="9">Lis!$L$4:$M$8</definedName>
    <definedName name="TablicaVažnihDatuma" localSheetId="2">Ožu!$L$4:$M$8</definedName>
    <definedName name="TablicaVažnihDatuma" localSheetId="11">Pro!$L$4:$M$8</definedName>
    <definedName name="TablicaVažnihDatuma" localSheetId="8">Ruj!$L$4:$M$8</definedName>
    <definedName name="TablicaVažnihDatuma" localSheetId="6">Srp!$L$4:$M$8</definedName>
    <definedName name="TablicaVažnihDatuma" localSheetId="10">Stu!$L$4:$M$8</definedName>
    <definedName name="TablicaVažnihDatuma" localSheetId="4">Svi!$L$4:$M$8</definedName>
    <definedName name="TablicaVažnihDatuma" localSheetId="3">Tra!$L$4:$M$8</definedName>
    <definedName name="TablicaVažnihDatuma" localSheetId="1">Velj!$L$4:$M$8</definedName>
    <definedName name="TablicaVažnihDatuma">Sij!$L$4:$M$8</definedName>
    <definedName name="TraNed1">DATE(KalendarskaGodina,4,1)-WEEKDAY(DATE(KalendarskaGodina,4,1))+1</definedName>
    <definedName name="VeljNed1">DATE(KalendarskaGodina,2,1)-WEEKDAY(DATE(KalendarskaGodina,2,1))+1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6" l="1"/>
  <c r="N2" i="15"/>
  <c r="N2" i="14"/>
  <c r="N2" i="13"/>
  <c r="N2" i="12"/>
  <c r="N2" i="11"/>
  <c r="N2" i="10"/>
  <c r="N2" i="9"/>
  <c r="N2" i="8"/>
  <c r="N2" i="7"/>
  <c r="N2" i="6"/>
  <c r="C4" i="1" l="1"/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<sst xmlns="http://schemas.openxmlformats.org/spreadsheetml/2006/main" count="555" uniqueCount="37">
  <si>
    <t>SIJ</t>
  </si>
  <si>
    <t>TJEDNI RASPORED</t>
  </si>
  <si>
    <t>PON</t>
  </si>
  <si>
    <t>8.00</t>
  </si>
  <si>
    <t>Francuski</t>
  </si>
  <si>
    <t>10.00</t>
  </si>
  <si>
    <t>Matematika</t>
  </si>
  <si>
    <t>14.00</t>
  </si>
  <si>
    <t>Engleski</t>
  </si>
  <si>
    <t>P</t>
  </si>
  <si>
    <t>UTO</t>
  </si>
  <si>
    <t>9.00</t>
  </si>
  <si>
    <t>Povijest umjetnosti</t>
  </si>
  <si>
    <t>16.00</t>
  </si>
  <si>
    <t>Programiranje</t>
  </si>
  <si>
    <t>Č</t>
  </si>
  <si>
    <t>S</t>
  </si>
  <si>
    <t>SRI</t>
  </si>
  <si>
    <t>ČET</t>
  </si>
  <si>
    <t>PET</t>
  </si>
  <si>
    <t>ZADACI</t>
  </si>
  <si>
    <t>Francuski: Rok za prvu skicu seminarskog rada</t>
  </si>
  <si>
    <t>Povijest umjetnosti: Test</t>
  </si>
  <si>
    <t>&lt; Unesite kalendarsku godinu u N2.</t>
  </si>
  <si>
    <t>LIS</t>
  </si>
  <si>
    <t>STU</t>
  </si>
  <si>
    <t>PRO</t>
  </si>
  <si>
    <t>VEL</t>
  </si>
  <si>
    <t>OŽU</t>
  </si>
  <si>
    <t>TRA</t>
  </si>
  <si>
    <t>SVI</t>
  </si>
  <si>
    <t>LIP</t>
  </si>
  <si>
    <t>SRP</t>
  </si>
  <si>
    <t>KOL</t>
  </si>
  <si>
    <t>RUJ</t>
  </si>
  <si>
    <t>U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</si>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</sst>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no" xfId="0" builtinId="0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openxmlformats.org/officeDocument/2006/relationships/theme" Target="/xl/theme/theme11.xml" Id="rId13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worksheet" Target="/xl/worksheets/sheet124.xml" Id="rId12" /><Relationship Type="http://schemas.openxmlformats.org/officeDocument/2006/relationships/worksheet" Target="/xl/worksheets/sheet25.xml" Id="rId2" /><Relationship Type="http://schemas.openxmlformats.org/officeDocument/2006/relationships/calcChain" Target="/xl/calcChain.xml" Id="rId16" /><Relationship Type="http://schemas.openxmlformats.org/officeDocument/2006/relationships/worksheet" Target="/xl/worksheets/sheet16.xml" Id="rId1" /><Relationship Type="http://schemas.openxmlformats.org/officeDocument/2006/relationships/worksheet" Target="/xl/worksheets/sheet67.xml" Id="rId6" /><Relationship Type="http://schemas.openxmlformats.org/officeDocument/2006/relationships/worksheet" Target="/xl/worksheets/sheet118.xml" Id="rId11" /><Relationship Type="http://schemas.openxmlformats.org/officeDocument/2006/relationships/worksheet" Target="/xl/worksheets/sheet59.xml" Id="rId5" /><Relationship Type="http://schemas.openxmlformats.org/officeDocument/2006/relationships/sharedStrings" Target="/xl/sharedStrings.xml" Id="rId15" /><Relationship Type="http://schemas.openxmlformats.org/officeDocument/2006/relationships/worksheet" Target="/xl/worksheets/sheet1010.xml" Id="rId10" /><Relationship Type="http://schemas.openxmlformats.org/officeDocument/2006/relationships/worksheet" Target="/xl/worksheets/sheet411.xml" Id="rId4" /><Relationship Type="http://schemas.openxmlformats.org/officeDocument/2006/relationships/worksheet" Target="/xl/worksheets/sheet912.xml" Id="rId9" /><Relationship Type="http://schemas.openxmlformats.org/officeDocument/2006/relationships/styles" Target="/xl/styles.xml" Id="rId14" /></Relationships>
</file>

<file path=xl/theme/theme1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10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010.bin" Id="rId1" /></Relationships>
</file>

<file path=xl/worksheets/_rels/sheet118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8.bin" Id="rId1" /></Relationships>
</file>

<file path=xl/worksheets/_rels/sheet124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4.bin" Id="rId1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6.bin" Id="rId1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5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32.bin" Id="rId1" /></Relationships>
</file>

<file path=xl/worksheets/_rels/sheet4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411.bin" Id="rId1" /></Relationships>
</file>

<file path=xl/worksheets/_rels/sheet59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59.bin" Id="rId1" /></Relationships>
</file>

<file path=xl/worksheets/_rels/sheet67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67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81.bin" Id="rId1" /></Relationships>
</file>

<file path=xl/worksheets/_rels/sheet9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912.bin" Id="rId1" /></Relationships>
</file>

<file path=xl/worksheets/sheet10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24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IF(DAY(LisNed1)=1,LisNed1-6,LisNed1+1)</f>
        <v>42639</v>
      </c>
      <c r="D4" s="10">
        <f>IF(DAY(LisNed1)=1,LisNed1-5,LisNed1+2)</f>
        <v>42640</v>
      </c>
      <c r="E4" s="10">
        <f>IF(DAY(LisNed1)=1,LisNed1-4,LisNed1+3)</f>
        <v>42641</v>
      </c>
      <c r="F4" s="10">
        <f>IF(DAY(LisNed1)=1,LisNed1-3,LisNed1+4)</f>
        <v>42642</v>
      </c>
      <c r="G4" s="10">
        <f>IF(DAY(LisNed1)=1,LisNed1-2,LisNed1+5)</f>
        <v>42643</v>
      </c>
      <c r="H4" s="10">
        <f>IF(DAY(LisNed1)=1,LisNed1-1,LisNed1+6)</f>
        <v>42644</v>
      </c>
      <c r="I4" s="10">
        <f>IF(DAY(LisNed1)=1,LisNed1,LisNed1+7)</f>
        <v>42645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IF(DAY(LisNed1)=1,LisNed1+1,LisNed1+8)</f>
        <v>42646</v>
      </c>
      <c r="D5" s="10">
        <f>IF(DAY(LisNed1)=1,LisNed1+2,LisNed1+9)</f>
        <v>42647</v>
      </c>
      <c r="E5" s="10">
        <f>IF(DAY(LisNed1)=1,LisNed1+3,LisNed1+10)</f>
        <v>42648</v>
      </c>
      <c r="F5" s="10">
        <f>IF(DAY(LisNed1)=1,LisNed1+4,LisNed1+11)</f>
        <v>42649</v>
      </c>
      <c r="G5" s="10">
        <f>IF(DAY(LisNed1)=1,LisNed1+5,LisNed1+12)</f>
        <v>42650</v>
      </c>
      <c r="H5" s="10">
        <f>IF(DAY(LisNed1)=1,LisNed1+6,LisNed1+13)</f>
        <v>42651</v>
      </c>
      <c r="I5" s="10">
        <f>IF(DAY(LisNed1)=1,LisNed1+7,LisNed1+14)</f>
        <v>42652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IF(DAY(LisNed1)=1,LisNed1+8,LisNed1+15)</f>
        <v>42653</v>
      </c>
      <c r="D6" s="10">
        <f>IF(DAY(LisNed1)=1,LisNed1+9,LisNed1+16)</f>
        <v>42654</v>
      </c>
      <c r="E6" s="10">
        <f>IF(DAY(LisNed1)=1,LisNed1+10,LisNed1+17)</f>
        <v>42655</v>
      </c>
      <c r="F6" s="10">
        <f>IF(DAY(LisNed1)=1,LisNed1+11,LisNed1+18)</f>
        <v>42656</v>
      </c>
      <c r="G6" s="10">
        <f>IF(DAY(LisNed1)=1,LisNed1+12,LisNed1+19)</f>
        <v>42657</v>
      </c>
      <c r="H6" s="10">
        <f>IF(DAY(LisNed1)=1,LisNed1+13,LisNed1+20)</f>
        <v>42658</v>
      </c>
      <c r="I6" s="10">
        <f>IF(DAY(LisNed1)=1,LisNed1+14,LisNed1+21)</f>
        <v>42659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IF(DAY(LisNed1)=1,LisNed1+15,LisNed1+22)</f>
        <v>42660</v>
      </c>
      <c r="D7" s="10">
        <f>IF(DAY(LisNed1)=1,LisNed1+16,LisNed1+23)</f>
        <v>42661</v>
      </c>
      <c r="E7" s="10">
        <f>IF(DAY(LisNed1)=1,LisNed1+17,LisNed1+24)</f>
        <v>42662</v>
      </c>
      <c r="F7" s="10">
        <f>IF(DAY(LisNed1)=1,LisNed1+18,LisNed1+25)</f>
        <v>42663</v>
      </c>
      <c r="G7" s="10">
        <f>IF(DAY(LisNed1)=1,LisNed1+19,LisNed1+26)</f>
        <v>42664</v>
      </c>
      <c r="H7" s="10">
        <f>IF(DAY(LisNed1)=1,LisNed1+20,LisNed1+27)</f>
        <v>42665</v>
      </c>
      <c r="I7" s="10">
        <f>IF(DAY(LisNed1)=1,LisNed1+21,LisNed1+28)</f>
        <v>42666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IF(DAY(LisNed1)=1,LisNed1+22,LisNed1+29)</f>
        <v>42667</v>
      </c>
      <c r="D8" s="10">
        <f>IF(DAY(LisNed1)=1,LisNed1+23,LisNed1+30)</f>
        <v>42668</v>
      </c>
      <c r="E8" s="10">
        <f>IF(DAY(LisNed1)=1,LisNed1+24,LisNed1+31)</f>
        <v>42669</v>
      </c>
      <c r="F8" s="10">
        <f>IF(DAY(LisNed1)=1,LisNed1+25,LisNed1+32)</f>
        <v>42670</v>
      </c>
      <c r="G8" s="10">
        <f>IF(DAY(LisNed1)=1,LisNed1+26,LisNed1+33)</f>
        <v>42671</v>
      </c>
      <c r="H8" s="10">
        <f>IF(DAY(LisNed1)=1,LisNed1+27,LisNed1+34)</f>
        <v>42672</v>
      </c>
      <c r="I8" s="10">
        <f>IF(DAY(LisNed1)=1,LisNed1+28,LisNed1+35)</f>
        <v>42673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IF(DAY(LisNed1)=1,LisNed1+29,LisNed1+36)</f>
        <v>42674</v>
      </c>
      <c r="D9" s="10">
        <f>IF(DAY(LisNed1)=1,LisNed1+30,LisNed1+37)</f>
        <v>42675</v>
      </c>
      <c r="E9" s="10">
        <f>IF(DAY(LisNed1)=1,LisNed1+31,LisNed1+38)</f>
        <v>42676</v>
      </c>
      <c r="F9" s="10">
        <f>IF(DAY(LisNed1)=1,LisNed1+32,LisNed1+39)</f>
        <v>42677</v>
      </c>
      <c r="G9" s="10">
        <f>IF(DAY(LisNed1)=1,LisNed1+33,LisNed1+40)</f>
        <v>42678</v>
      </c>
      <c r="H9" s="10">
        <f>IF(DAY(LisNed1)=1,LisNed1+34,LisNed1+41)</f>
        <v>42679</v>
      </c>
      <c r="I9" s="10">
        <f>IF(DAY(LisNed1)=1,LisNed1+35,LisNed1+42)</f>
        <v>42680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VLOOKUP(DAY(C4),DaniZadatka,1,FALSE)=DAY(C4)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25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IF(DAY(StuNed1)=1,StuNed1-6,StuNed1+1)</f>
        <v>42674</v>
      </c>
      <c r="D4" s="10">
        <f>IF(DAY(StuNed1)=1,StuNed1-5,StuNed1+2)</f>
        <v>42675</v>
      </c>
      <c r="E4" s="10">
        <f>IF(DAY(StuNed1)=1,StuNed1-4,StuNed1+3)</f>
        <v>42676</v>
      </c>
      <c r="F4" s="10">
        <f>IF(DAY(StuNed1)=1,StuNed1-3,StuNed1+4)</f>
        <v>42677</v>
      </c>
      <c r="G4" s="10">
        <f>IF(DAY(StuNed1)=1,StuNed1-2,StuNed1+5)</f>
        <v>42678</v>
      </c>
      <c r="H4" s="10">
        <f>IF(DAY(StuNed1)=1,StuNed1-1,StuNed1+6)</f>
        <v>42679</v>
      </c>
      <c r="I4" s="10">
        <f>IF(DAY(StuNed1)=1,StuNed1,StuNed1+7)</f>
        <v>42680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IF(DAY(StuNed1)=1,StuNed1+1,StuNed1+8)</f>
        <v>42681</v>
      </c>
      <c r="D5" s="10">
        <f>IF(DAY(StuNed1)=1,StuNed1+2,StuNed1+9)</f>
        <v>42682</v>
      </c>
      <c r="E5" s="10">
        <f>IF(DAY(StuNed1)=1,StuNed1+3,StuNed1+10)</f>
        <v>42683</v>
      </c>
      <c r="F5" s="10">
        <f>IF(DAY(StuNed1)=1,StuNed1+4,StuNed1+11)</f>
        <v>42684</v>
      </c>
      <c r="G5" s="10">
        <f>IF(DAY(StuNed1)=1,StuNed1+5,StuNed1+12)</f>
        <v>42685</v>
      </c>
      <c r="H5" s="10">
        <f>IF(DAY(StuNed1)=1,StuNed1+6,StuNed1+13)</f>
        <v>42686</v>
      </c>
      <c r="I5" s="10">
        <f>IF(DAY(StuNed1)=1,StuNed1+7,StuNed1+14)</f>
        <v>42687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IF(DAY(StuNed1)=1,StuNed1+8,StuNed1+15)</f>
        <v>42688</v>
      </c>
      <c r="D6" s="10">
        <f>IF(DAY(StuNed1)=1,StuNed1+9,StuNed1+16)</f>
        <v>42689</v>
      </c>
      <c r="E6" s="10">
        <f>IF(DAY(StuNed1)=1,StuNed1+10,StuNed1+17)</f>
        <v>42690</v>
      </c>
      <c r="F6" s="10">
        <f>IF(DAY(StuNed1)=1,StuNed1+11,StuNed1+18)</f>
        <v>42691</v>
      </c>
      <c r="G6" s="10">
        <f>IF(DAY(StuNed1)=1,StuNed1+12,StuNed1+19)</f>
        <v>42692</v>
      </c>
      <c r="H6" s="10">
        <f>IF(DAY(StuNed1)=1,StuNed1+13,StuNed1+20)</f>
        <v>42693</v>
      </c>
      <c r="I6" s="10">
        <f>IF(DAY(StuNed1)=1,StuNed1+14,StuNed1+21)</f>
        <v>42694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IF(DAY(StuNed1)=1,StuNed1+15,StuNed1+22)</f>
        <v>42695</v>
      </c>
      <c r="D7" s="10">
        <f>IF(DAY(StuNed1)=1,StuNed1+16,StuNed1+23)</f>
        <v>42696</v>
      </c>
      <c r="E7" s="10">
        <f>IF(DAY(StuNed1)=1,StuNed1+17,StuNed1+24)</f>
        <v>42697</v>
      </c>
      <c r="F7" s="10">
        <f>IF(DAY(StuNed1)=1,StuNed1+18,StuNed1+25)</f>
        <v>42698</v>
      </c>
      <c r="G7" s="10">
        <f>IF(DAY(StuNed1)=1,StuNed1+19,StuNed1+26)</f>
        <v>42699</v>
      </c>
      <c r="H7" s="10">
        <f>IF(DAY(StuNed1)=1,StuNed1+20,StuNed1+27)</f>
        <v>42700</v>
      </c>
      <c r="I7" s="10">
        <f>IF(DAY(StuNed1)=1,StuNed1+21,StuNed1+28)</f>
        <v>42701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IF(DAY(StuNed1)=1,StuNed1+22,StuNed1+29)</f>
        <v>42702</v>
      </c>
      <c r="D8" s="10">
        <f>IF(DAY(StuNed1)=1,StuNed1+23,StuNed1+30)</f>
        <v>42703</v>
      </c>
      <c r="E8" s="10">
        <f>IF(DAY(StuNed1)=1,StuNed1+24,StuNed1+31)</f>
        <v>42704</v>
      </c>
      <c r="F8" s="10">
        <f>IF(DAY(StuNed1)=1,StuNed1+25,StuNed1+32)</f>
        <v>42705</v>
      </c>
      <c r="G8" s="10">
        <f>IF(DAY(StuNed1)=1,StuNed1+26,StuNed1+33)</f>
        <v>42706</v>
      </c>
      <c r="H8" s="10">
        <f>IF(DAY(StuNed1)=1,StuNed1+27,StuNed1+34)</f>
        <v>42707</v>
      </c>
      <c r="I8" s="10">
        <f>IF(DAY(StuNed1)=1,StuNed1+28,StuNed1+35)</f>
        <v>42708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IF(DAY(StuNed1)=1,StuNed1+29,StuNed1+36)</f>
        <v>42709</v>
      </c>
      <c r="D9" s="10">
        <f>IF(DAY(StuNed1)=1,StuNed1+30,StuNed1+37)</f>
        <v>42710</v>
      </c>
      <c r="E9" s="10">
        <f>IF(DAY(StuNed1)=1,StuNed1+31,StuNed1+38)</f>
        <v>42711</v>
      </c>
      <c r="F9" s="10">
        <f>IF(DAY(StuNed1)=1,StuNed1+32,StuNed1+39)</f>
        <v>42712</v>
      </c>
      <c r="G9" s="10">
        <f>IF(DAY(StuNed1)=1,StuNed1+33,StuNed1+40)</f>
        <v>42713</v>
      </c>
      <c r="H9" s="10">
        <f>IF(DAY(StuNed1)=1,StuNed1+34,StuNed1+41)</f>
        <v>42714</v>
      </c>
      <c r="I9" s="10">
        <f>IF(DAY(StuNed1)=1,StuNed1+35,StuNed1+42)</f>
        <v>42715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VLOOKUP(DAY(C4),DaniZadatka,1,FALSE)=DAY(C4)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26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IF(DAY(ProNed1)=1,ProNed1-6,ProNed1+1)</f>
        <v>42702</v>
      </c>
      <c r="D4" s="10">
        <f>IF(DAY(ProNed1)=1,ProNed1-5,ProNed1+2)</f>
        <v>42703</v>
      </c>
      <c r="E4" s="10">
        <f>IF(DAY(ProNed1)=1,ProNed1-4,ProNed1+3)</f>
        <v>42704</v>
      </c>
      <c r="F4" s="10">
        <f>IF(DAY(ProNed1)=1,ProNed1-3,ProNed1+4)</f>
        <v>42705</v>
      </c>
      <c r="G4" s="10">
        <f>IF(DAY(ProNed1)=1,ProNed1-2,ProNed1+5)</f>
        <v>42706</v>
      </c>
      <c r="H4" s="10">
        <f>IF(DAY(ProNed1)=1,ProNed1-1,ProNed1+6)</f>
        <v>42707</v>
      </c>
      <c r="I4" s="10">
        <f>IF(DAY(ProNed1)=1,ProNed1,ProNed1+7)</f>
        <v>42708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IF(DAY(ProNed1)=1,ProNed1+1,ProNed1+8)</f>
        <v>42709</v>
      </c>
      <c r="D5" s="10">
        <f>IF(DAY(ProNed1)=1,ProNed1+2,ProNed1+9)</f>
        <v>42710</v>
      </c>
      <c r="E5" s="10">
        <f>IF(DAY(ProNed1)=1,ProNed1+3,ProNed1+10)</f>
        <v>42711</v>
      </c>
      <c r="F5" s="10">
        <f>IF(DAY(ProNed1)=1,ProNed1+4,ProNed1+11)</f>
        <v>42712</v>
      </c>
      <c r="G5" s="10">
        <f>IF(DAY(ProNed1)=1,ProNed1+5,ProNed1+12)</f>
        <v>42713</v>
      </c>
      <c r="H5" s="10">
        <f>IF(DAY(ProNed1)=1,ProNed1+6,ProNed1+13)</f>
        <v>42714</v>
      </c>
      <c r="I5" s="10">
        <f>IF(DAY(ProNed1)=1,ProNed1+7,ProNed1+14)</f>
        <v>42715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IF(DAY(ProNed1)=1,ProNed1+8,ProNed1+15)</f>
        <v>42716</v>
      </c>
      <c r="D6" s="10">
        <f>IF(DAY(ProNed1)=1,ProNed1+9,ProNed1+16)</f>
        <v>42717</v>
      </c>
      <c r="E6" s="10">
        <f>IF(DAY(ProNed1)=1,ProNed1+10,ProNed1+17)</f>
        <v>42718</v>
      </c>
      <c r="F6" s="10">
        <f>IF(DAY(ProNed1)=1,ProNed1+11,ProNed1+18)</f>
        <v>42719</v>
      </c>
      <c r="G6" s="10">
        <f>IF(DAY(ProNed1)=1,ProNed1+12,ProNed1+19)</f>
        <v>42720</v>
      </c>
      <c r="H6" s="10">
        <f>IF(DAY(ProNed1)=1,ProNed1+13,ProNed1+20)</f>
        <v>42721</v>
      </c>
      <c r="I6" s="10">
        <f>IF(DAY(ProNed1)=1,ProNed1+14,ProNed1+21)</f>
        <v>42722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IF(DAY(ProNed1)=1,ProNed1+15,ProNed1+22)</f>
        <v>42723</v>
      </c>
      <c r="D7" s="10">
        <f>IF(DAY(ProNed1)=1,ProNed1+16,ProNed1+23)</f>
        <v>42724</v>
      </c>
      <c r="E7" s="10">
        <f>IF(DAY(ProNed1)=1,ProNed1+17,ProNed1+24)</f>
        <v>42725</v>
      </c>
      <c r="F7" s="10">
        <f>IF(DAY(ProNed1)=1,ProNed1+18,ProNed1+25)</f>
        <v>42726</v>
      </c>
      <c r="G7" s="10">
        <f>IF(DAY(ProNed1)=1,ProNed1+19,ProNed1+26)</f>
        <v>42727</v>
      </c>
      <c r="H7" s="10">
        <f>IF(DAY(ProNed1)=1,ProNed1+20,ProNed1+27)</f>
        <v>42728</v>
      </c>
      <c r="I7" s="10">
        <f>IF(DAY(ProNed1)=1,ProNed1+21,ProNed1+28)</f>
        <v>42729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IF(DAY(ProNed1)=1,ProNed1+22,ProNed1+29)</f>
        <v>42730</v>
      </c>
      <c r="D8" s="10">
        <f>IF(DAY(ProNed1)=1,ProNed1+23,ProNed1+30)</f>
        <v>42731</v>
      </c>
      <c r="E8" s="10">
        <f>IF(DAY(ProNed1)=1,ProNed1+24,ProNed1+31)</f>
        <v>42732</v>
      </c>
      <c r="F8" s="10">
        <f>IF(DAY(ProNed1)=1,ProNed1+25,ProNed1+32)</f>
        <v>42733</v>
      </c>
      <c r="G8" s="10">
        <f>IF(DAY(ProNed1)=1,ProNed1+26,ProNed1+33)</f>
        <v>42734</v>
      </c>
      <c r="H8" s="10">
        <f>IF(DAY(ProNed1)=1,ProNed1+27,ProNed1+34)</f>
        <v>42735</v>
      </c>
      <c r="I8" s="10">
        <f>IF(DAY(ProNed1)=1,ProNed1+28,ProNed1+35)</f>
        <v>42736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IF(DAY(ProNed1)=1,ProNed1+29,ProNed1+36)</f>
        <v>42737</v>
      </c>
      <c r="D9" s="10">
        <f>IF(DAY(ProNed1)=1,ProNed1+30,ProNed1+37)</f>
        <v>42738</v>
      </c>
      <c r="E9" s="10">
        <f>IF(DAY(ProNed1)=1,ProNed1+31,ProNed1+38)</f>
        <v>42739</v>
      </c>
      <c r="F9" s="10">
        <f>IF(DAY(ProNed1)=1,ProNed1+32,ProNed1+39)</f>
        <v>42740</v>
      </c>
      <c r="G9" s="10">
        <f>IF(DAY(ProNed1)=1,ProNed1+33,ProNed1+40)</f>
        <v>42741</v>
      </c>
      <c r="H9" s="10">
        <f>IF(DAY(ProNed1)=1,ProNed1+34,ProNed1+41)</f>
        <v>42742</v>
      </c>
      <c r="I9" s="10">
        <f>IF(DAY(ProNed1)=1,ProNed1+35,ProNed1+42)</f>
        <v>42743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VLOOKUP(DAY(C4),DaniZadatka,1,FALSE)=DAY(C4)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7.4257812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49">
        <v>2016</v>
      </c>
      <c r="P2" s="69" t="s">
        <v>23</v>
      </c>
    </row>
    <row r="3" spans="1:16" ht="21" customHeight="1" x14ac:dyDescent="0.2">
      <c r="A3" s="4"/>
      <c r="B3" s="68" t="s">
        <v>0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50"/>
      <c r="P3" s="69"/>
    </row>
    <row r="4" spans="1:16" ht="18" customHeight="1" x14ac:dyDescent="0.2">
      <c r="A4" s="4"/>
      <c r="B4" s="68"/>
      <c r="C4" s="10">
        <f>IF(DAY(SijNed1)=1,SijNed1-6,SijNed1+1)</f>
        <v>42366</v>
      </c>
      <c r="D4" s="10">
        <f>IF(DAY(SijNed1)=1,SijNed1-5,SijNed1+2)</f>
        <v>42367</v>
      </c>
      <c r="E4" s="10">
        <f>IF(DAY(SijNed1)=1,SijNed1-4,SijNed1+3)</f>
        <v>42368</v>
      </c>
      <c r="F4" s="10">
        <f>IF(DAY(SijNed1)=1,SijNed1-3,SijNed1+4)</f>
        <v>42369</v>
      </c>
      <c r="G4" s="10">
        <f>IF(DAY(SijNed1)=1,SijNed1-2,SijNed1+5)</f>
        <v>42370</v>
      </c>
      <c r="H4" s="10">
        <f>IF(DAY(SijNed1)=1,SijNed1-1,SijNed1+6)</f>
        <v>42371</v>
      </c>
      <c r="I4" s="10">
        <f>IF(DAY(SijNed1)=1,SijNed1,SijNed1+7)</f>
        <v>42372</v>
      </c>
      <c r="J4" s="5"/>
      <c r="K4" s="46" t="s">
        <v>2</v>
      </c>
      <c r="L4" s="16">
        <v>5</v>
      </c>
      <c r="M4" s="47" t="s">
        <v>21</v>
      </c>
      <c r="N4" s="48"/>
      <c r="P4" s="25"/>
    </row>
    <row r="5" spans="1:16" ht="18" customHeight="1" x14ac:dyDescent="0.2">
      <c r="A5" s="4"/>
      <c r="B5" s="26"/>
      <c r="C5" s="10">
        <f>IF(DAY(SijNed1)=1,SijNed1+1,SijNed1+8)</f>
        <v>42373</v>
      </c>
      <c r="D5" s="10">
        <f>IF(DAY(SijNed1)=1,SijNed1+2,SijNed1+9)</f>
        <v>42374</v>
      </c>
      <c r="E5" s="10">
        <f>IF(DAY(SijNed1)=1,SijNed1+3,SijNed1+10)</f>
        <v>42375</v>
      </c>
      <c r="F5" s="10">
        <f>IF(DAY(SijNed1)=1,SijNed1+4,SijNed1+11)</f>
        <v>42376</v>
      </c>
      <c r="G5" s="10">
        <f>IF(DAY(SijNed1)=1,SijNed1+5,SijNed1+12)</f>
        <v>42377</v>
      </c>
      <c r="H5" s="10">
        <f>IF(DAY(SijNed1)=1,SijNed1+6,SijNed1+13)</f>
        <v>42378</v>
      </c>
      <c r="I5" s="10">
        <f>IF(DAY(SijNed1)=1,SijNed1+7,SijNed1+14)</f>
        <v>42379</v>
      </c>
      <c r="J5" s="5"/>
      <c r="K5" s="32"/>
      <c r="L5" s="17"/>
      <c r="M5" s="33"/>
      <c r="N5" s="34"/>
      <c r="P5" s="25"/>
    </row>
    <row r="6" spans="1:16" ht="18" customHeight="1" x14ac:dyDescent="0.2">
      <c r="A6" s="4"/>
      <c r="B6" s="26"/>
      <c r="C6" s="10">
        <f>IF(DAY(SijNed1)=1,SijNed1+8,SijNed1+15)</f>
        <v>42380</v>
      </c>
      <c r="D6" s="10">
        <f>IF(DAY(SijNed1)=1,SijNed1+9,SijNed1+16)</f>
        <v>42381</v>
      </c>
      <c r="E6" s="10">
        <f>IF(DAY(SijNed1)=1,SijNed1+10,SijNed1+17)</f>
        <v>42382</v>
      </c>
      <c r="F6" s="10">
        <f>IF(DAY(SijNed1)=1,SijNed1+11,SijNed1+18)</f>
        <v>42383</v>
      </c>
      <c r="G6" s="10">
        <f>IF(DAY(SijNed1)=1,SijNed1+12,SijNed1+19)</f>
        <v>42384</v>
      </c>
      <c r="H6" s="10">
        <f>IF(DAY(SijNed1)=1,SijNed1+13,SijNed1+20)</f>
        <v>42385</v>
      </c>
      <c r="I6" s="10">
        <f>IF(DAY(SijNed1)=1,SijNed1+14,SijNed1+21)</f>
        <v>42386</v>
      </c>
      <c r="J6" s="5"/>
      <c r="K6" s="32"/>
      <c r="L6" s="17"/>
      <c r="M6" s="33"/>
      <c r="N6" s="34"/>
    </row>
    <row r="7" spans="1:16" ht="18" customHeight="1" x14ac:dyDescent="0.2">
      <c r="A7" s="4"/>
      <c r="B7" s="26"/>
      <c r="C7" s="10">
        <f>IF(DAY(SijNed1)=1,SijNed1+15,SijNed1+22)</f>
        <v>42387</v>
      </c>
      <c r="D7" s="10">
        <f>IF(DAY(SijNed1)=1,SijNed1+16,SijNed1+23)</f>
        <v>42388</v>
      </c>
      <c r="E7" s="10">
        <f>IF(DAY(SijNed1)=1,SijNed1+17,SijNed1+24)</f>
        <v>42389</v>
      </c>
      <c r="F7" s="10">
        <f>IF(DAY(SijNed1)=1,SijNed1+18,SijNed1+25)</f>
        <v>42390</v>
      </c>
      <c r="G7" s="10">
        <f>IF(DAY(SijNed1)=1,SijNed1+19,SijNed1+26)</f>
        <v>42391</v>
      </c>
      <c r="H7" s="10">
        <f>IF(DAY(SijNed1)=1,SijNed1+20,SijNed1+27)</f>
        <v>42392</v>
      </c>
      <c r="I7" s="10">
        <f>IF(DAY(SijNed1)=1,SijNed1+21,SijNed1+28)</f>
        <v>42393</v>
      </c>
      <c r="J7" s="5"/>
      <c r="K7" s="11"/>
      <c r="L7" s="17"/>
      <c r="M7" s="33"/>
      <c r="N7" s="34"/>
    </row>
    <row r="8" spans="1:16" ht="18.75" customHeight="1" x14ac:dyDescent="0.2">
      <c r="A8" s="4"/>
      <c r="B8" s="26"/>
      <c r="C8" s="10">
        <f>IF(DAY(SijNed1)=1,SijNed1+22,SijNed1+29)</f>
        <v>42394</v>
      </c>
      <c r="D8" s="10">
        <f>IF(DAY(SijNed1)=1,SijNed1+23,SijNed1+30)</f>
        <v>42395</v>
      </c>
      <c r="E8" s="10">
        <f>IF(DAY(SijNed1)=1,SijNed1+24,SijNed1+31)</f>
        <v>42396</v>
      </c>
      <c r="F8" s="10">
        <f>IF(DAY(SijNed1)=1,SijNed1+25,SijNed1+32)</f>
        <v>42397</v>
      </c>
      <c r="G8" s="10">
        <f>IF(DAY(SijNed1)=1,SijNed1+26,SijNed1+33)</f>
        <v>42398</v>
      </c>
      <c r="H8" s="10">
        <f>IF(DAY(SijNed1)=1,SijNed1+27,SijNed1+34)</f>
        <v>42399</v>
      </c>
      <c r="I8" s="10">
        <f>IF(DAY(SijNed1)=1,SijNed1+28,SijNed1+35)</f>
        <v>42400</v>
      </c>
      <c r="J8" s="5"/>
      <c r="K8" s="11"/>
      <c r="L8" s="17"/>
      <c r="M8" s="33"/>
      <c r="N8" s="34"/>
    </row>
    <row r="9" spans="1:16" ht="18" customHeight="1" x14ac:dyDescent="0.2">
      <c r="A9" s="4"/>
      <c r="B9" s="26"/>
      <c r="C9" s="10">
        <f>IF(DAY(SijNed1)=1,SijNed1+29,SijNed1+36)</f>
        <v>42401</v>
      </c>
      <c r="D9" s="10">
        <f>IF(DAY(SijNed1)=1,SijNed1+30,SijNed1+37)</f>
        <v>42402</v>
      </c>
      <c r="E9" s="10">
        <f>IF(DAY(SijNed1)=1,SijNed1+31,SijNed1+38)</f>
        <v>42403</v>
      </c>
      <c r="F9" s="10">
        <f>IF(DAY(SijNed1)=1,SijNed1+32,SijNed1+39)</f>
        <v>42404</v>
      </c>
      <c r="G9" s="10">
        <f>IF(DAY(SijNed1)=1,SijNed1+33,SijNed1+40)</f>
        <v>42405</v>
      </c>
      <c r="H9" s="10">
        <f>IF(DAY(SijNed1)=1,SijNed1+34,SijNed1+41)</f>
        <v>42406</v>
      </c>
      <c r="I9" s="10">
        <f>IF(DAY(SijNed1)=1,SijNed1+35,SijNed1+42)</f>
        <v>42407</v>
      </c>
      <c r="J9" s="5"/>
      <c r="K9" s="12"/>
      <c r="L9" s="18"/>
      <c r="M9" s="35"/>
      <c r="N9" s="36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>
        <v>20</v>
      </c>
      <c r="M10" s="37" t="s">
        <v>22</v>
      </c>
      <c r="N10" s="38"/>
    </row>
    <row r="11" spans="1:16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6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6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6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6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6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VLOOKUP(DAY(C4),DaniZadatka,1,FALSE)=DAY(C4)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27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IF(DAY(VeljNed1)=1,VeljNed1-6,VeljNed1+1)</f>
        <v>42401</v>
      </c>
      <c r="D4" s="10">
        <f>IF(DAY(VeljNed1)=1,VeljNed1-5,VeljNed1+2)</f>
        <v>42402</v>
      </c>
      <c r="E4" s="10">
        <f>IF(DAY(VeljNed1)=1,VeljNed1-4,VeljNed1+3)</f>
        <v>42403</v>
      </c>
      <c r="F4" s="10">
        <f>IF(DAY(VeljNed1)=1,VeljNed1-3,VeljNed1+4)</f>
        <v>42404</v>
      </c>
      <c r="G4" s="10">
        <f>IF(DAY(VeljNed1)=1,VeljNed1-2,VeljNed1+5)</f>
        <v>42405</v>
      </c>
      <c r="H4" s="10">
        <f>IF(DAY(VeljNed1)=1,VeljNed1-1,VeljNed1+6)</f>
        <v>42406</v>
      </c>
      <c r="I4" s="10">
        <f>IF(DAY(VeljNed1)=1,VeljNed1,VeljNed1+7)</f>
        <v>42407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IF(DAY(VeljNed1)=1,VeljNed1+1,VeljNed1+8)</f>
        <v>42408</v>
      </c>
      <c r="D5" s="10">
        <f>IF(DAY(VeljNed1)=1,VeljNed1+2,VeljNed1+9)</f>
        <v>42409</v>
      </c>
      <c r="E5" s="10">
        <f>IF(DAY(VeljNed1)=1,VeljNed1+3,VeljNed1+10)</f>
        <v>42410</v>
      </c>
      <c r="F5" s="10">
        <f>IF(DAY(VeljNed1)=1,VeljNed1+4,VeljNed1+11)</f>
        <v>42411</v>
      </c>
      <c r="G5" s="10">
        <f>IF(DAY(VeljNed1)=1,VeljNed1+5,VeljNed1+12)</f>
        <v>42412</v>
      </c>
      <c r="H5" s="10">
        <f>IF(DAY(VeljNed1)=1,VeljNed1+6,VeljNed1+13)</f>
        <v>42413</v>
      </c>
      <c r="I5" s="10">
        <f>IF(DAY(VeljNed1)=1,VeljNed1+7,VeljNed1+14)</f>
        <v>42414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IF(DAY(VeljNed1)=1,VeljNed1+8,VeljNed1+15)</f>
        <v>42415</v>
      </c>
      <c r="D6" s="10">
        <f>IF(DAY(VeljNed1)=1,VeljNed1+9,VeljNed1+16)</f>
        <v>42416</v>
      </c>
      <c r="E6" s="10">
        <f>IF(DAY(VeljNed1)=1,VeljNed1+10,VeljNed1+17)</f>
        <v>42417</v>
      </c>
      <c r="F6" s="10">
        <f>IF(DAY(VeljNed1)=1,VeljNed1+11,VeljNed1+18)</f>
        <v>42418</v>
      </c>
      <c r="G6" s="10">
        <f>IF(DAY(VeljNed1)=1,VeljNed1+12,VeljNed1+19)</f>
        <v>42419</v>
      </c>
      <c r="H6" s="10">
        <f>IF(DAY(VeljNed1)=1,VeljNed1+13,VeljNed1+20)</f>
        <v>42420</v>
      </c>
      <c r="I6" s="10">
        <f>IF(DAY(VeljNed1)=1,VeljNed1+14,VeljNed1+21)</f>
        <v>42421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IF(DAY(VeljNed1)=1,VeljNed1+15,VeljNed1+22)</f>
        <v>42422</v>
      </c>
      <c r="D7" s="10">
        <f>IF(DAY(VeljNed1)=1,VeljNed1+16,VeljNed1+23)</f>
        <v>42423</v>
      </c>
      <c r="E7" s="10">
        <f>IF(DAY(VeljNed1)=1,VeljNed1+17,VeljNed1+24)</f>
        <v>42424</v>
      </c>
      <c r="F7" s="10">
        <f>IF(DAY(VeljNed1)=1,VeljNed1+18,VeljNed1+25)</f>
        <v>42425</v>
      </c>
      <c r="G7" s="10">
        <f>IF(DAY(VeljNed1)=1,VeljNed1+19,VeljNed1+26)</f>
        <v>42426</v>
      </c>
      <c r="H7" s="10">
        <f>IF(DAY(VeljNed1)=1,VeljNed1+20,VeljNed1+27)</f>
        <v>42427</v>
      </c>
      <c r="I7" s="10">
        <f>IF(DAY(VeljNed1)=1,VeljNed1+21,VeljNed1+28)</f>
        <v>42428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IF(DAY(VeljNed1)=1,VeljNed1+22,VeljNed1+29)</f>
        <v>42429</v>
      </c>
      <c r="D8" s="10">
        <f>IF(DAY(VeljNed1)=1,VeljNed1+23,VeljNed1+30)</f>
        <v>42430</v>
      </c>
      <c r="E8" s="10">
        <f>IF(DAY(VeljNed1)=1,VeljNed1+24,VeljNed1+31)</f>
        <v>42431</v>
      </c>
      <c r="F8" s="10">
        <f>IF(DAY(VeljNed1)=1,VeljNed1+25,VeljNed1+32)</f>
        <v>42432</v>
      </c>
      <c r="G8" s="10">
        <f>IF(DAY(VeljNed1)=1,VeljNed1+26,VeljNed1+33)</f>
        <v>42433</v>
      </c>
      <c r="H8" s="10">
        <f>IF(DAY(VeljNed1)=1,VeljNed1+27,VeljNed1+34)</f>
        <v>42434</v>
      </c>
      <c r="I8" s="10">
        <f>IF(DAY(VeljNed1)=1,VeljNed1+28,VeljNed1+35)</f>
        <v>42435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IF(DAY(VeljNed1)=1,VeljNed1+29,VeljNed1+36)</f>
        <v>42436</v>
      </c>
      <c r="D9" s="10">
        <f>IF(DAY(VeljNed1)=1,VeljNed1+30,VeljNed1+37)</f>
        <v>42437</v>
      </c>
      <c r="E9" s="10">
        <f>IF(DAY(VeljNed1)=1,VeljNed1+31,VeljNed1+38)</f>
        <v>42438</v>
      </c>
      <c r="F9" s="10">
        <f>IF(DAY(VeljNed1)=1,VeljNed1+32,VeljNed1+39)</f>
        <v>42439</v>
      </c>
      <c r="G9" s="10">
        <f>IF(DAY(VeljNed1)=1,VeljNed1+33,VeljNed1+40)</f>
        <v>42440</v>
      </c>
      <c r="H9" s="10">
        <f>IF(DAY(VeljNed1)=1,VeljNed1+34,VeljNed1+41)</f>
        <v>42441</v>
      </c>
      <c r="I9" s="10">
        <f>IF(DAY(VeljNed1)=1,VeljNed1+35,VeljNed1+42)</f>
        <v>42442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VLOOKUP(DAY(C4),DaniZadatka,1,FALSE)=DAY(C4)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28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IF(DAY(OžuNed1)=1,OžuNed1-6,OžuNed1+1)</f>
        <v>42429</v>
      </c>
      <c r="D4" s="10">
        <f>IF(DAY(OžuNed1)=1,OžuNed1-5,OžuNed1+2)</f>
        <v>42430</v>
      </c>
      <c r="E4" s="10">
        <f>IF(DAY(OžuNed1)=1,OžuNed1-4,OžuNed1+3)</f>
        <v>42431</v>
      </c>
      <c r="F4" s="10">
        <f>IF(DAY(OžuNed1)=1,OžuNed1-3,OžuNed1+4)</f>
        <v>42432</v>
      </c>
      <c r="G4" s="10">
        <f>IF(DAY(OžuNed1)=1,OžuNed1-2,OžuNed1+5)</f>
        <v>42433</v>
      </c>
      <c r="H4" s="10">
        <f>IF(DAY(OžuNed1)=1,OžuNed1-1,OžuNed1+6)</f>
        <v>42434</v>
      </c>
      <c r="I4" s="10">
        <f>IF(DAY(OžuNed1)=1,OžuNed1,OžuNed1+7)</f>
        <v>42435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IF(DAY(OžuNed1)=1,OžuNed1+1,OžuNed1+8)</f>
        <v>42436</v>
      </c>
      <c r="D5" s="10">
        <f>IF(DAY(OžuNed1)=1,OžuNed1+2,OžuNed1+9)</f>
        <v>42437</v>
      </c>
      <c r="E5" s="10">
        <f>IF(DAY(OžuNed1)=1,OžuNed1+3,OžuNed1+10)</f>
        <v>42438</v>
      </c>
      <c r="F5" s="10">
        <f>IF(DAY(OžuNed1)=1,OžuNed1+4,OžuNed1+11)</f>
        <v>42439</v>
      </c>
      <c r="G5" s="10">
        <f>IF(DAY(OžuNed1)=1,OžuNed1+5,OžuNed1+12)</f>
        <v>42440</v>
      </c>
      <c r="H5" s="10">
        <f>IF(DAY(OžuNed1)=1,OžuNed1+6,OžuNed1+13)</f>
        <v>42441</v>
      </c>
      <c r="I5" s="10">
        <f>IF(DAY(OžuNed1)=1,OžuNed1+7,OžuNed1+14)</f>
        <v>42442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IF(DAY(OžuNed1)=1,OžuNed1+8,OžuNed1+15)</f>
        <v>42443</v>
      </c>
      <c r="D6" s="10">
        <f>IF(DAY(OžuNed1)=1,OžuNed1+9,OžuNed1+16)</f>
        <v>42444</v>
      </c>
      <c r="E6" s="10">
        <f>IF(DAY(OžuNed1)=1,OžuNed1+10,OžuNed1+17)</f>
        <v>42445</v>
      </c>
      <c r="F6" s="10">
        <f>IF(DAY(OžuNed1)=1,OžuNed1+11,OžuNed1+18)</f>
        <v>42446</v>
      </c>
      <c r="G6" s="10">
        <f>IF(DAY(OžuNed1)=1,OžuNed1+12,OžuNed1+19)</f>
        <v>42447</v>
      </c>
      <c r="H6" s="10">
        <f>IF(DAY(OžuNed1)=1,OžuNed1+13,OžuNed1+20)</f>
        <v>42448</v>
      </c>
      <c r="I6" s="10">
        <f>IF(DAY(OžuNed1)=1,OžuNed1+14,OžuNed1+21)</f>
        <v>42449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IF(DAY(OžuNed1)=1,OžuNed1+15,OžuNed1+22)</f>
        <v>42450</v>
      </c>
      <c r="D7" s="10">
        <f>IF(DAY(OžuNed1)=1,OžuNed1+16,OžuNed1+23)</f>
        <v>42451</v>
      </c>
      <c r="E7" s="10">
        <f>IF(DAY(OžuNed1)=1,OžuNed1+17,OžuNed1+24)</f>
        <v>42452</v>
      </c>
      <c r="F7" s="10">
        <f>IF(DAY(OžuNed1)=1,OžuNed1+18,OžuNed1+25)</f>
        <v>42453</v>
      </c>
      <c r="G7" s="10">
        <f>IF(DAY(OžuNed1)=1,OžuNed1+19,OžuNed1+26)</f>
        <v>42454</v>
      </c>
      <c r="H7" s="10">
        <f>IF(DAY(OžuNed1)=1,OžuNed1+20,OžuNed1+27)</f>
        <v>42455</v>
      </c>
      <c r="I7" s="10">
        <f>IF(DAY(OžuNed1)=1,OžuNed1+21,OžuNed1+28)</f>
        <v>42456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IF(DAY(OžuNed1)=1,OžuNed1+22,OžuNed1+29)</f>
        <v>42457</v>
      </c>
      <c r="D8" s="10">
        <f>IF(DAY(OžuNed1)=1,OžuNed1+23,OžuNed1+30)</f>
        <v>42458</v>
      </c>
      <c r="E8" s="10">
        <f>IF(DAY(OžuNed1)=1,OžuNed1+24,OžuNed1+31)</f>
        <v>42459</v>
      </c>
      <c r="F8" s="10">
        <f>IF(DAY(OžuNed1)=1,OžuNed1+25,OžuNed1+32)</f>
        <v>42460</v>
      </c>
      <c r="G8" s="10">
        <f>IF(DAY(OžuNed1)=1,OžuNed1+26,OžuNed1+33)</f>
        <v>42461</v>
      </c>
      <c r="H8" s="10">
        <f>IF(DAY(OžuNed1)=1,OžuNed1+27,OžuNed1+34)</f>
        <v>42462</v>
      </c>
      <c r="I8" s="10">
        <f>IF(DAY(OžuNed1)=1,OžuNed1+28,OžuNed1+35)</f>
        <v>42463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IF(DAY(OžuNed1)=1,OžuNed1+29,OžuNed1+36)</f>
        <v>42464</v>
      </c>
      <c r="D9" s="10">
        <f>IF(DAY(OžuNed1)=1,OžuNed1+30,OžuNed1+37)</f>
        <v>42465</v>
      </c>
      <c r="E9" s="10">
        <f>IF(DAY(OžuNed1)=1,OžuNed1+31,OžuNed1+38)</f>
        <v>42466</v>
      </c>
      <c r="F9" s="10">
        <f>IF(DAY(OžuNed1)=1,OžuNed1+32,OžuNed1+39)</f>
        <v>42467</v>
      </c>
      <c r="G9" s="10">
        <f>IF(DAY(OžuNed1)=1,OžuNed1+33,OžuNed1+40)</f>
        <v>42468</v>
      </c>
      <c r="H9" s="10">
        <f>IF(DAY(OžuNed1)=1,OžuNed1+34,OžuNed1+41)</f>
        <v>42469</v>
      </c>
      <c r="I9" s="10">
        <f>IF(DAY(OžuNed1)=1,OžuNed1+35,OžuNed1+42)</f>
        <v>42470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VLOOKUP(DAY(C4),DaniZadatka,1,FALSE)=DAY(C4)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29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IF(DAY(TraNed1)=1,TraNed1-6,TraNed1+1)</f>
        <v>42457</v>
      </c>
      <c r="D4" s="10">
        <f>IF(DAY(TraNed1)=1,TraNed1-5,TraNed1+2)</f>
        <v>42458</v>
      </c>
      <c r="E4" s="10">
        <f>IF(DAY(TraNed1)=1,TraNed1-4,TraNed1+3)</f>
        <v>42459</v>
      </c>
      <c r="F4" s="10">
        <f>IF(DAY(TraNed1)=1,TraNed1-3,TraNed1+4)</f>
        <v>42460</v>
      </c>
      <c r="G4" s="10">
        <f>IF(DAY(TraNed1)=1,TraNed1-2,TraNed1+5)</f>
        <v>42461</v>
      </c>
      <c r="H4" s="10">
        <f>IF(DAY(TraNed1)=1,TraNed1-1,TraNed1+6)</f>
        <v>42462</v>
      </c>
      <c r="I4" s="10">
        <f>IF(DAY(TraNed1)=1,TraNed1,TraNed1+7)</f>
        <v>42463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IF(DAY(TraNed1)=1,TraNed1+1,TraNed1+8)</f>
        <v>42464</v>
      </c>
      <c r="D5" s="10">
        <f>IF(DAY(TraNed1)=1,TraNed1+2,TraNed1+9)</f>
        <v>42465</v>
      </c>
      <c r="E5" s="10">
        <f>IF(DAY(TraNed1)=1,TraNed1+3,TraNed1+10)</f>
        <v>42466</v>
      </c>
      <c r="F5" s="10">
        <f>IF(DAY(TraNed1)=1,TraNed1+4,TraNed1+11)</f>
        <v>42467</v>
      </c>
      <c r="G5" s="10">
        <f>IF(DAY(TraNed1)=1,TraNed1+5,TraNed1+12)</f>
        <v>42468</v>
      </c>
      <c r="H5" s="10">
        <f>IF(DAY(TraNed1)=1,TraNed1+6,TraNed1+13)</f>
        <v>42469</v>
      </c>
      <c r="I5" s="10">
        <f>IF(DAY(TraNed1)=1,TraNed1+7,TraNed1+14)</f>
        <v>42470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IF(DAY(TraNed1)=1,TraNed1+8,TraNed1+15)</f>
        <v>42471</v>
      </c>
      <c r="D6" s="10">
        <f>IF(DAY(TraNed1)=1,TraNed1+9,TraNed1+16)</f>
        <v>42472</v>
      </c>
      <c r="E6" s="10">
        <f>IF(DAY(TraNed1)=1,TraNed1+10,TraNed1+17)</f>
        <v>42473</v>
      </c>
      <c r="F6" s="10">
        <f>IF(DAY(TraNed1)=1,TraNed1+11,TraNed1+18)</f>
        <v>42474</v>
      </c>
      <c r="G6" s="10">
        <f>IF(DAY(TraNed1)=1,TraNed1+12,TraNed1+19)</f>
        <v>42475</v>
      </c>
      <c r="H6" s="10">
        <f>IF(DAY(TraNed1)=1,TraNed1+13,TraNed1+20)</f>
        <v>42476</v>
      </c>
      <c r="I6" s="10">
        <f>IF(DAY(TraNed1)=1,TraNed1+14,TraNed1+21)</f>
        <v>42477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IF(DAY(TraNed1)=1,TraNed1+15,TraNed1+22)</f>
        <v>42478</v>
      </c>
      <c r="D7" s="10">
        <f>IF(DAY(TraNed1)=1,TraNed1+16,TraNed1+23)</f>
        <v>42479</v>
      </c>
      <c r="E7" s="10">
        <f>IF(DAY(TraNed1)=1,TraNed1+17,TraNed1+24)</f>
        <v>42480</v>
      </c>
      <c r="F7" s="10">
        <f>IF(DAY(TraNed1)=1,TraNed1+18,TraNed1+25)</f>
        <v>42481</v>
      </c>
      <c r="G7" s="10">
        <f>IF(DAY(TraNed1)=1,TraNed1+19,TraNed1+26)</f>
        <v>42482</v>
      </c>
      <c r="H7" s="10">
        <f>IF(DAY(TraNed1)=1,TraNed1+20,TraNed1+27)</f>
        <v>42483</v>
      </c>
      <c r="I7" s="10">
        <f>IF(DAY(TraNed1)=1,TraNed1+21,TraNed1+28)</f>
        <v>42484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IF(DAY(TraNed1)=1,TraNed1+22,TraNed1+29)</f>
        <v>42485</v>
      </c>
      <c r="D8" s="10">
        <f>IF(DAY(TraNed1)=1,TraNed1+23,TraNed1+30)</f>
        <v>42486</v>
      </c>
      <c r="E8" s="10">
        <f>IF(DAY(TraNed1)=1,TraNed1+24,TraNed1+31)</f>
        <v>42487</v>
      </c>
      <c r="F8" s="10">
        <f>IF(DAY(TraNed1)=1,TraNed1+25,TraNed1+32)</f>
        <v>42488</v>
      </c>
      <c r="G8" s="10">
        <f>IF(DAY(TraNed1)=1,TraNed1+26,TraNed1+33)</f>
        <v>42489</v>
      </c>
      <c r="H8" s="10">
        <f>IF(DAY(TraNed1)=1,TraNed1+27,TraNed1+34)</f>
        <v>42490</v>
      </c>
      <c r="I8" s="10">
        <f>IF(DAY(TraNed1)=1,TraNed1+28,TraNed1+35)</f>
        <v>42491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IF(DAY(TraNed1)=1,TraNed1+29,TraNed1+36)</f>
        <v>42492</v>
      </c>
      <c r="D9" s="10">
        <f>IF(DAY(TraNed1)=1,TraNed1+30,TraNed1+37)</f>
        <v>42493</v>
      </c>
      <c r="E9" s="10">
        <f>IF(DAY(TraNed1)=1,TraNed1+31,TraNed1+38)</f>
        <v>42494</v>
      </c>
      <c r="F9" s="10">
        <f>IF(DAY(TraNed1)=1,TraNed1+32,TraNed1+39)</f>
        <v>42495</v>
      </c>
      <c r="G9" s="10">
        <f>IF(DAY(TraNed1)=1,TraNed1+33,TraNed1+40)</f>
        <v>42496</v>
      </c>
      <c r="H9" s="10">
        <f>IF(DAY(TraNed1)=1,TraNed1+34,TraNed1+41)</f>
        <v>42497</v>
      </c>
      <c r="I9" s="10">
        <f>IF(DAY(TraNed1)=1,TraNed1+35,TraNed1+42)</f>
        <v>42498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VLOOKUP(DAY(C4),DaniZadatka,1,FALSE)=DAY(C4)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30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IF(DAY(SviNed1)=1,SviNed1-6,SviNed1+1)</f>
        <v>42485</v>
      </c>
      <c r="D4" s="10">
        <f>IF(DAY(SviNed1)=1,SviNed1-5,SviNed1+2)</f>
        <v>42486</v>
      </c>
      <c r="E4" s="10">
        <f>IF(DAY(SviNed1)=1,SviNed1-4,SviNed1+3)</f>
        <v>42487</v>
      </c>
      <c r="F4" s="10">
        <f>IF(DAY(SviNed1)=1,SviNed1-3,SviNed1+4)</f>
        <v>42488</v>
      </c>
      <c r="G4" s="10">
        <f>IF(DAY(SviNed1)=1,SviNed1-2,SviNed1+5)</f>
        <v>42489</v>
      </c>
      <c r="H4" s="10">
        <f>IF(DAY(SviNed1)=1,SviNed1-1,SviNed1+6)</f>
        <v>42490</v>
      </c>
      <c r="I4" s="10">
        <f>IF(DAY(SviNed1)=1,SviNed1,SviNed1+7)</f>
        <v>42491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IF(DAY(SviNed1)=1,SviNed1+1,SviNed1+8)</f>
        <v>42492</v>
      </c>
      <c r="D5" s="10">
        <f>IF(DAY(SviNed1)=1,SviNed1+2,SviNed1+9)</f>
        <v>42493</v>
      </c>
      <c r="E5" s="10">
        <f>IF(DAY(SviNed1)=1,SviNed1+3,SviNed1+10)</f>
        <v>42494</v>
      </c>
      <c r="F5" s="10">
        <f>IF(DAY(SviNed1)=1,SviNed1+4,SviNed1+11)</f>
        <v>42495</v>
      </c>
      <c r="G5" s="10">
        <f>IF(DAY(SviNed1)=1,SviNed1+5,SviNed1+12)</f>
        <v>42496</v>
      </c>
      <c r="H5" s="10">
        <f>IF(DAY(SviNed1)=1,SviNed1+6,SviNed1+13)</f>
        <v>42497</v>
      </c>
      <c r="I5" s="10">
        <f>IF(DAY(SviNed1)=1,SviNed1+7,SviNed1+14)</f>
        <v>42498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IF(DAY(SviNed1)=1,SviNed1+8,SviNed1+15)</f>
        <v>42499</v>
      </c>
      <c r="D6" s="10">
        <f>IF(DAY(SviNed1)=1,SviNed1+9,SviNed1+16)</f>
        <v>42500</v>
      </c>
      <c r="E6" s="10">
        <f>IF(DAY(SviNed1)=1,SviNed1+10,SviNed1+17)</f>
        <v>42501</v>
      </c>
      <c r="F6" s="10">
        <f>IF(DAY(SviNed1)=1,SviNed1+11,SviNed1+18)</f>
        <v>42502</v>
      </c>
      <c r="G6" s="10">
        <f>IF(DAY(SviNed1)=1,SviNed1+12,SviNed1+19)</f>
        <v>42503</v>
      </c>
      <c r="H6" s="10">
        <f>IF(DAY(SviNed1)=1,SviNed1+13,SviNed1+20)</f>
        <v>42504</v>
      </c>
      <c r="I6" s="10">
        <f>IF(DAY(SviNed1)=1,SviNed1+14,SviNed1+21)</f>
        <v>42505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IF(DAY(SviNed1)=1,SviNed1+15,SviNed1+22)</f>
        <v>42506</v>
      </c>
      <c r="D7" s="10">
        <f>IF(DAY(SviNed1)=1,SviNed1+16,SviNed1+23)</f>
        <v>42507</v>
      </c>
      <c r="E7" s="10">
        <f>IF(DAY(SviNed1)=1,SviNed1+17,SviNed1+24)</f>
        <v>42508</v>
      </c>
      <c r="F7" s="10">
        <f>IF(DAY(SviNed1)=1,SviNed1+18,SviNed1+25)</f>
        <v>42509</v>
      </c>
      <c r="G7" s="10">
        <f>IF(DAY(SviNed1)=1,SviNed1+19,SviNed1+26)</f>
        <v>42510</v>
      </c>
      <c r="H7" s="10">
        <f>IF(DAY(SviNed1)=1,SviNed1+20,SviNed1+27)</f>
        <v>42511</v>
      </c>
      <c r="I7" s="10">
        <f>IF(DAY(SviNed1)=1,SviNed1+21,SviNed1+28)</f>
        <v>42512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IF(DAY(SviNed1)=1,SviNed1+22,SviNed1+29)</f>
        <v>42513</v>
      </c>
      <c r="D8" s="10">
        <f>IF(DAY(SviNed1)=1,SviNed1+23,SviNed1+30)</f>
        <v>42514</v>
      </c>
      <c r="E8" s="10">
        <f>IF(DAY(SviNed1)=1,SviNed1+24,SviNed1+31)</f>
        <v>42515</v>
      </c>
      <c r="F8" s="10">
        <f>IF(DAY(SviNed1)=1,SviNed1+25,SviNed1+32)</f>
        <v>42516</v>
      </c>
      <c r="G8" s="10">
        <f>IF(DAY(SviNed1)=1,SviNed1+26,SviNed1+33)</f>
        <v>42517</v>
      </c>
      <c r="H8" s="10">
        <f>IF(DAY(SviNed1)=1,SviNed1+27,SviNed1+34)</f>
        <v>42518</v>
      </c>
      <c r="I8" s="10">
        <f>IF(DAY(SviNed1)=1,SviNed1+28,SviNed1+35)</f>
        <v>42519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IF(DAY(SviNed1)=1,SviNed1+29,SviNed1+36)</f>
        <v>42520</v>
      </c>
      <c r="D9" s="10">
        <f>IF(DAY(SviNed1)=1,SviNed1+30,SviNed1+37)</f>
        <v>42521</v>
      </c>
      <c r="E9" s="10">
        <f>IF(DAY(SviNed1)=1,SviNed1+31,SviNed1+38)</f>
        <v>42522</v>
      </c>
      <c r="F9" s="10">
        <f>IF(DAY(SviNed1)=1,SviNed1+32,SviNed1+39)</f>
        <v>42523</v>
      </c>
      <c r="G9" s="10">
        <f>IF(DAY(SviNed1)=1,SviNed1+33,SviNed1+40)</f>
        <v>42524</v>
      </c>
      <c r="H9" s="10">
        <f>IF(DAY(SviNed1)=1,SviNed1+34,SviNed1+41)</f>
        <v>42525</v>
      </c>
      <c r="I9" s="10">
        <f>IF(DAY(SviNed1)=1,SviNed1+35,SviNed1+42)</f>
        <v>42526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VLOOKUP(DAY(C4),DaniZadatka,1,FALSE)=DAY(C4)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31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IF(DAY(LipNed1)=1,LipNed1-6,LipNed1+1)</f>
        <v>42520</v>
      </c>
      <c r="D4" s="10">
        <f>IF(DAY(LipNed1)=1,LipNed1-5,LipNed1+2)</f>
        <v>42521</v>
      </c>
      <c r="E4" s="10">
        <f>IF(DAY(LipNed1)=1,LipNed1-4,LipNed1+3)</f>
        <v>42522</v>
      </c>
      <c r="F4" s="10">
        <f>IF(DAY(LipNed1)=1,LipNed1-3,LipNed1+4)</f>
        <v>42523</v>
      </c>
      <c r="G4" s="10">
        <f>IF(DAY(LipNed1)=1,LipNed1-2,LipNed1+5)</f>
        <v>42524</v>
      </c>
      <c r="H4" s="10">
        <f>IF(DAY(LipNed1)=1,LipNed1-1,LipNed1+6)</f>
        <v>42525</v>
      </c>
      <c r="I4" s="10">
        <f>IF(DAY(LipNed1)=1,LipNed1,LipNed1+7)</f>
        <v>42526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IF(DAY(LipNed1)=1,LipNed1+1,LipNed1+8)</f>
        <v>42527</v>
      </c>
      <c r="D5" s="10">
        <f>IF(DAY(LipNed1)=1,LipNed1+2,LipNed1+9)</f>
        <v>42528</v>
      </c>
      <c r="E5" s="10">
        <f>IF(DAY(LipNed1)=1,LipNed1+3,LipNed1+10)</f>
        <v>42529</v>
      </c>
      <c r="F5" s="10">
        <f>IF(DAY(LipNed1)=1,LipNed1+4,LipNed1+11)</f>
        <v>42530</v>
      </c>
      <c r="G5" s="10">
        <f>IF(DAY(LipNed1)=1,LipNed1+5,LipNed1+12)</f>
        <v>42531</v>
      </c>
      <c r="H5" s="10">
        <f>IF(DAY(LipNed1)=1,LipNed1+6,LipNed1+13)</f>
        <v>42532</v>
      </c>
      <c r="I5" s="10">
        <f>IF(DAY(LipNed1)=1,LipNed1+7,LipNed1+14)</f>
        <v>42533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IF(DAY(LipNed1)=1,LipNed1+8,LipNed1+15)</f>
        <v>42534</v>
      </c>
      <c r="D6" s="10">
        <f>IF(DAY(LipNed1)=1,LipNed1+9,LipNed1+16)</f>
        <v>42535</v>
      </c>
      <c r="E6" s="10">
        <f>IF(DAY(LipNed1)=1,LipNed1+10,LipNed1+17)</f>
        <v>42536</v>
      </c>
      <c r="F6" s="10">
        <f>IF(DAY(LipNed1)=1,LipNed1+11,LipNed1+18)</f>
        <v>42537</v>
      </c>
      <c r="G6" s="10">
        <f>IF(DAY(LipNed1)=1,LipNed1+12,LipNed1+19)</f>
        <v>42538</v>
      </c>
      <c r="H6" s="10">
        <f>IF(DAY(LipNed1)=1,LipNed1+13,LipNed1+20)</f>
        <v>42539</v>
      </c>
      <c r="I6" s="10">
        <f>IF(DAY(LipNed1)=1,LipNed1+14,LipNed1+21)</f>
        <v>42540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IF(DAY(LipNed1)=1,LipNed1+15,LipNed1+22)</f>
        <v>42541</v>
      </c>
      <c r="D7" s="10">
        <f>IF(DAY(LipNed1)=1,LipNed1+16,LipNed1+23)</f>
        <v>42542</v>
      </c>
      <c r="E7" s="10">
        <f>IF(DAY(LipNed1)=1,LipNed1+17,LipNed1+24)</f>
        <v>42543</v>
      </c>
      <c r="F7" s="10">
        <f>IF(DAY(LipNed1)=1,LipNed1+18,LipNed1+25)</f>
        <v>42544</v>
      </c>
      <c r="G7" s="10">
        <f>IF(DAY(LipNed1)=1,LipNed1+19,LipNed1+26)</f>
        <v>42545</v>
      </c>
      <c r="H7" s="10">
        <f>IF(DAY(LipNed1)=1,LipNed1+20,LipNed1+27)</f>
        <v>42546</v>
      </c>
      <c r="I7" s="10">
        <f>IF(DAY(LipNed1)=1,LipNed1+21,LipNed1+28)</f>
        <v>42547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IF(DAY(LipNed1)=1,LipNed1+22,LipNed1+29)</f>
        <v>42548</v>
      </c>
      <c r="D8" s="10">
        <f>IF(DAY(LipNed1)=1,LipNed1+23,LipNed1+30)</f>
        <v>42549</v>
      </c>
      <c r="E8" s="10">
        <f>IF(DAY(LipNed1)=1,LipNed1+24,LipNed1+31)</f>
        <v>42550</v>
      </c>
      <c r="F8" s="10">
        <f>IF(DAY(LipNed1)=1,LipNed1+25,LipNed1+32)</f>
        <v>42551</v>
      </c>
      <c r="G8" s="10">
        <f>IF(DAY(LipNed1)=1,LipNed1+26,LipNed1+33)</f>
        <v>42552</v>
      </c>
      <c r="H8" s="10">
        <f>IF(DAY(LipNed1)=1,LipNed1+27,LipNed1+34)</f>
        <v>42553</v>
      </c>
      <c r="I8" s="10">
        <f>IF(DAY(LipNed1)=1,LipNed1+28,LipNed1+35)</f>
        <v>42554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IF(DAY(LipNed1)=1,LipNed1+29,LipNed1+36)</f>
        <v>42555</v>
      </c>
      <c r="D9" s="10">
        <f>IF(DAY(LipNed1)=1,LipNed1+30,LipNed1+37)</f>
        <v>42556</v>
      </c>
      <c r="E9" s="10">
        <f>IF(DAY(LipNed1)=1,LipNed1+31,LipNed1+38)</f>
        <v>42557</v>
      </c>
      <c r="F9" s="10">
        <f>IF(DAY(LipNed1)=1,LipNed1+32,LipNed1+39)</f>
        <v>42558</v>
      </c>
      <c r="G9" s="10">
        <f>IF(DAY(LipNed1)=1,LipNed1+33,LipNed1+40)</f>
        <v>42559</v>
      </c>
      <c r="H9" s="10">
        <f>IF(DAY(LipNed1)=1,LipNed1+34,LipNed1+41)</f>
        <v>42560</v>
      </c>
      <c r="I9" s="10">
        <f>IF(DAY(LipNed1)=1,LipNed1+35,LipNed1+42)</f>
        <v>42561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VLOOKUP(DAY(C4),DaniZadatka,1,FALSE)=DAY(C4)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32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IF(DAY(SrpNed1)=1,SrpNed1-6,SrpNed1+1)</f>
        <v>42548</v>
      </c>
      <c r="D4" s="10">
        <f>IF(DAY(SrpNed1)=1,SrpNed1-5,SrpNed1+2)</f>
        <v>42549</v>
      </c>
      <c r="E4" s="10">
        <f>IF(DAY(SrpNed1)=1,SrpNed1-4,SrpNed1+3)</f>
        <v>42550</v>
      </c>
      <c r="F4" s="10">
        <f>IF(DAY(SrpNed1)=1,SrpNed1-3,SrpNed1+4)</f>
        <v>42551</v>
      </c>
      <c r="G4" s="10">
        <f>IF(DAY(SrpNed1)=1,SrpNed1-2,SrpNed1+5)</f>
        <v>42552</v>
      </c>
      <c r="H4" s="10">
        <f>IF(DAY(SrpNed1)=1,SrpNed1-1,SrpNed1+6)</f>
        <v>42553</v>
      </c>
      <c r="I4" s="10">
        <f>IF(DAY(SrpNed1)=1,SrpNed1,SrpNed1+7)</f>
        <v>42554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IF(DAY(SrpNed1)=1,SrpNed1+1,SrpNed1+8)</f>
        <v>42555</v>
      </c>
      <c r="D5" s="10">
        <f>IF(DAY(SrpNed1)=1,SrpNed1+2,SrpNed1+9)</f>
        <v>42556</v>
      </c>
      <c r="E5" s="10">
        <f>IF(DAY(SrpNed1)=1,SrpNed1+3,SrpNed1+10)</f>
        <v>42557</v>
      </c>
      <c r="F5" s="10">
        <f>IF(DAY(SrpNed1)=1,SrpNed1+4,SrpNed1+11)</f>
        <v>42558</v>
      </c>
      <c r="G5" s="10">
        <f>IF(DAY(SrpNed1)=1,SrpNed1+5,SrpNed1+12)</f>
        <v>42559</v>
      </c>
      <c r="H5" s="10">
        <f>IF(DAY(SrpNed1)=1,SrpNed1+6,SrpNed1+13)</f>
        <v>42560</v>
      </c>
      <c r="I5" s="10">
        <f>IF(DAY(SrpNed1)=1,SrpNed1+7,SrpNed1+14)</f>
        <v>42561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IF(DAY(SrpNed1)=1,SrpNed1+8,SrpNed1+15)</f>
        <v>42562</v>
      </c>
      <c r="D6" s="10">
        <f>IF(DAY(SrpNed1)=1,SrpNed1+9,SrpNed1+16)</f>
        <v>42563</v>
      </c>
      <c r="E6" s="10">
        <f>IF(DAY(SrpNed1)=1,SrpNed1+10,SrpNed1+17)</f>
        <v>42564</v>
      </c>
      <c r="F6" s="10">
        <f>IF(DAY(SrpNed1)=1,SrpNed1+11,SrpNed1+18)</f>
        <v>42565</v>
      </c>
      <c r="G6" s="10">
        <f>IF(DAY(SrpNed1)=1,SrpNed1+12,SrpNed1+19)</f>
        <v>42566</v>
      </c>
      <c r="H6" s="10">
        <f>IF(DAY(SrpNed1)=1,SrpNed1+13,SrpNed1+20)</f>
        <v>42567</v>
      </c>
      <c r="I6" s="10">
        <f>IF(DAY(SrpNed1)=1,SrpNed1+14,SrpNed1+21)</f>
        <v>42568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IF(DAY(SrpNed1)=1,SrpNed1+15,SrpNed1+22)</f>
        <v>42569</v>
      </c>
      <c r="D7" s="10">
        <f>IF(DAY(SrpNed1)=1,SrpNed1+16,SrpNed1+23)</f>
        <v>42570</v>
      </c>
      <c r="E7" s="10">
        <f>IF(DAY(SrpNed1)=1,SrpNed1+17,SrpNed1+24)</f>
        <v>42571</v>
      </c>
      <c r="F7" s="10">
        <f>IF(DAY(SrpNed1)=1,SrpNed1+18,SrpNed1+25)</f>
        <v>42572</v>
      </c>
      <c r="G7" s="10">
        <f>IF(DAY(SrpNed1)=1,SrpNed1+19,SrpNed1+26)</f>
        <v>42573</v>
      </c>
      <c r="H7" s="10">
        <f>IF(DAY(SrpNed1)=1,SrpNed1+20,SrpNed1+27)</f>
        <v>42574</v>
      </c>
      <c r="I7" s="10">
        <f>IF(DAY(SrpNed1)=1,SrpNed1+21,SrpNed1+28)</f>
        <v>42575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IF(DAY(SrpNed1)=1,SrpNed1+22,SrpNed1+29)</f>
        <v>42576</v>
      </c>
      <c r="D8" s="10">
        <f>IF(DAY(SrpNed1)=1,SrpNed1+23,SrpNed1+30)</f>
        <v>42577</v>
      </c>
      <c r="E8" s="10">
        <f>IF(DAY(SrpNed1)=1,SrpNed1+24,SrpNed1+31)</f>
        <v>42578</v>
      </c>
      <c r="F8" s="10">
        <f>IF(DAY(SrpNed1)=1,SrpNed1+25,SrpNed1+32)</f>
        <v>42579</v>
      </c>
      <c r="G8" s="10">
        <f>IF(DAY(SrpNed1)=1,SrpNed1+26,SrpNed1+33)</f>
        <v>42580</v>
      </c>
      <c r="H8" s="10">
        <f>IF(DAY(SrpNed1)=1,SrpNed1+27,SrpNed1+34)</f>
        <v>42581</v>
      </c>
      <c r="I8" s="10">
        <f>IF(DAY(SrpNed1)=1,SrpNed1+28,SrpNed1+35)</f>
        <v>42582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IF(DAY(SrpNed1)=1,SrpNed1+29,SrpNed1+36)</f>
        <v>42583</v>
      </c>
      <c r="D9" s="10">
        <f>IF(DAY(SrpNed1)=1,SrpNed1+30,SrpNed1+37)</f>
        <v>42584</v>
      </c>
      <c r="E9" s="10">
        <f>IF(DAY(SrpNed1)=1,SrpNed1+31,SrpNed1+38)</f>
        <v>42585</v>
      </c>
      <c r="F9" s="10">
        <f>IF(DAY(SrpNed1)=1,SrpNed1+32,SrpNed1+39)</f>
        <v>42586</v>
      </c>
      <c r="G9" s="10">
        <f>IF(DAY(SrpNed1)=1,SrpNed1+33,SrpNed1+40)</f>
        <v>42587</v>
      </c>
      <c r="H9" s="10">
        <f>IF(DAY(SrpNed1)=1,SrpNed1+34,SrpNed1+41)</f>
        <v>42588</v>
      </c>
      <c r="I9" s="10">
        <f>IF(DAY(SrpNed1)=1,SrpNed1+35,SrpNed1+42)</f>
        <v>42589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VLOOKUP(DAY(C4),DaniZadatka,1,FALSE)=DAY(C4)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33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IF(DAY(KolNed1)=1,KolNed1-6,KolNed1+1)</f>
        <v>42583</v>
      </c>
      <c r="D4" s="10">
        <f>IF(DAY(KolNed1)=1,KolNed1-5,KolNed1+2)</f>
        <v>42584</v>
      </c>
      <c r="E4" s="10">
        <f>IF(DAY(KolNed1)=1,KolNed1-4,KolNed1+3)</f>
        <v>42585</v>
      </c>
      <c r="F4" s="10">
        <f>IF(DAY(KolNed1)=1,KolNed1-3,KolNed1+4)</f>
        <v>42586</v>
      </c>
      <c r="G4" s="10">
        <f>IF(DAY(KolNed1)=1,KolNed1-2,KolNed1+5)</f>
        <v>42587</v>
      </c>
      <c r="H4" s="10">
        <f>IF(DAY(KolNed1)=1,KolNed1-1,KolNed1+6)</f>
        <v>42588</v>
      </c>
      <c r="I4" s="10">
        <f>IF(DAY(KolNed1)=1,KolNed1,KolNed1+7)</f>
        <v>42589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IF(DAY(KolNed1)=1,KolNed1+1,KolNed1+8)</f>
        <v>42590</v>
      </c>
      <c r="D5" s="10">
        <f>IF(DAY(KolNed1)=1,KolNed1+2,KolNed1+9)</f>
        <v>42591</v>
      </c>
      <c r="E5" s="10">
        <f>IF(DAY(KolNed1)=1,KolNed1+3,KolNed1+10)</f>
        <v>42592</v>
      </c>
      <c r="F5" s="10">
        <f>IF(DAY(KolNed1)=1,KolNed1+4,KolNed1+11)</f>
        <v>42593</v>
      </c>
      <c r="G5" s="10">
        <f>IF(DAY(KolNed1)=1,KolNed1+5,KolNed1+12)</f>
        <v>42594</v>
      </c>
      <c r="H5" s="10">
        <f>IF(DAY(KolNed1)=1,KolNed1+6,KolNed1+13)</f>
        <v>42595</v>
      </c>
      <c r="I5" s="10">
        <f>IF(DAY(KolNed1)=1,KolNed1+7,KolNed1+14)</f>
        <v>42596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IF(DAY(KolNed1)=1,KolNed1+8,KolNed1+15)</f>
        <v>42597</v>
      </c>
      <c r="D6" s="10">
        <f>IF(DAY(KolNed1)=1,KolNed1+9,KolNed1+16)</f>
        <v>42598</v>
      </c>
      <c r="E6" s="10">
        <f>IF(DAY(KolNed1)=1,KolNed1+10,KolNed1+17)</f>
        <v>42599</v>
      </c>
      <c r="F6" s="10">
        <f>IF(DAY(KolNed1)=1,KolNed1+11,KolNed1+18)</f>
        <v>42600</v>
      </c>
      <c r="G6" s="10">
        <f>IF(DAY(KolNed1)=1,KolNed1+12,KolNed1+19)</f>
        <v>42601</v>
      </c>
      <c r="H6" s="10">
        <f>IF(DAY(KolNed1)=1,KolNed1+13,KolNed1+20)</f>
        <v>42602</v>
      </c>
      <c r="I6" s="10">
        <f>IF(DAY(KolNed1)=1,KolNed1+14,KolNed1+21)</f>
        <v>42603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IF(DAY(KolNed1)=1,KolNed1+15,KolNed1+22)</f>
        <v>42604</v>
      </c>
      <c r="D7" s="10">
        <f>IF(DAY(KolNed1)=1,KolNed1+16,KolNed1+23)</f>
        <v>42605</v>
      </c>
      <c r="E7" s="10">
        <f>IF(DAY(KolNed1)=1,KolNed1+17,KolNed1+24)</f>
        <v>42606</v>
      </c>
      <c r="F7" s="10">
        <f>IF(DAY(KolNed1)=1,KolNed1+18,KolNed1+25)</f>
        <v>42607</v>
      </c>
      <c r="G7" s="10">
        <f>IF(DAY(KolNed1)=1,KolNed1+19,KolNed1+26)</f>
        <v>42608</v>
      </c>
      <c r="H7" s="10">
        <f>IF(DAY(KolNed1)=1,KolNed1+20,KolNed1+27)</f>
        <v>42609</v>
      </c>
      <c r="I7" s="10">
        <f>IF(DAY(KolNed1)=1,KolNed1+21,KolNed1+28)</f>
        <v>42610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IF(DAY(KolNed1)=1,KolNed1+22,KolNed1+29)</f>
        <v>42611</v>
      </c>
      <c r="D8" s="10">
        <f>IF(DAY(KolNed1)=1,KolNed1+23,KolNed1+30)</f>
        <v>42612</v>
      </c>
      <c r="E8" s="10">
        <f>IF(DAY(KolNed1)=1,KolNed1+24,KolNed1+31)</f>
        <v>42613</v>
      </c>
      <c r="F8" s="10">
        <f>IF(DAY(KolNed1)=1,KolNed1+25,KolNed1+32)</f>
        <v>42614</v>
      </c>
      <c r="G8" s="10">
        <f>IF(DAY(KolNed1)=1,KolNed1+26,KolNed1+33)</f>
        <v>42615</v>
      </c>
      <c r="H8" s="10">
        <f>IF(DAY(KolNed1)=1,KolNed1+27,KolNed1+34)</f>
        <v>42616</v>
      </c>
      <c r="I8" s="10">
        <f>IF(DAY(KolNed1)=1,KolNed1+28,KolNed1+35)</f>
        <v>42617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IF(DAY(KolNed1)=1,KolNed1+29,KolNed1+36)</f>
        <v>42618</v>
      </c>
      <c r="D9" s="10">
        <f>IF(DAY(KolNed1)=1,KolNed1+30,KolNed1+37)</f>
        <v>42619</v>
      </c>
      <c r="E9" s="10">
        <f>IF(DAY(KolNed1)=1,KolNed1+31,KolNed1+38)</f>
        <v>42620</v>
      </c>
      <c r="F9" s="10">
        <f>IF(DAY(KolNed1)=1,KolNed1+32,KolNed1+39)</f>
        <v>42621</v>
      </c>
      <c r="G9" s="10">
        <f>IF(DAY(KolNed1)=1,KolNed1+33,KolNed1+40)</f>
        <v>42622</v>
      </c>
      <c r="H9" s="10">
        <f>IF(DAY(KolNed1)=1,KolNed1+34,KolNed1+41)</f>
        <v>42623</v>
      </c>
      <c r="I9" s="10">
        <f>IF(DAY(KolNed1)=1,KolNed1+35,KolNed1+42)</f>
        <v>42624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VLOOKUP(DAY(C4),DaniZadatka,1,FALSE)=DAY(C4)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8" style="1" customWidth="1"/>
    <col min="5" max="6" width="6.7109375" style="1" customWidth="1"/>
    <col min="7" max="8" width="8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20</v>
      </c>
      <c r="L2" s="43">
        <v>2013</v>
      </c>
      <c r="M2" s="43"/>
      <c r="N2" s="79">
        <f>KalendarskaGodina</f>
        <v>2016</v>
      </c>
    </row>
    <row r="3" spans="1:14" ht="21" customHeight="1" x14ac:dyDescent="0.2">
      <c r="A3" s="4"/>
      <c r="B3" s="68" t="s">
        <v>34</v>
      </c>
      <c r="C3" s="2" t="s">
        <v>9</v>
      </c>
      <c r="D3" s="2" t="s">
        <v>35</v>
      </c>
      <c r="E3" s="2" t="s">
        <v>16</v>
      </c>
      <c r="F3" s="2" t="s">
        <v>15</v>
      </c>
      <c r="G3" s="2" t="s">
        <v>9</v>
      </c>
      <c r="H3" s="2" t="s">
        <v>16</v>
      </c>
      <c r="I3" s="2" t="s">
        <v>36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IF(DAY(RujNed1)=1,RujNed1-6,RujNed1+1)</f>
        <v>42611</v>
      </c>
      <c r="D4" s="10">
        <f>IF(DAY(RujNed1)=1,RujNed1-5,RujNed1+2)</f>
        <v>42612</v>
      </c>
      <c r="E4" s="10">
        <f>IF(DAY(RujNed1)=1,RujNed1-4,RujNed1+3)</f>
        <v>42613</v>
      </c>
      <c r="F4" s="10">
        <f>IF(DAY(RujNed1)=1,RujNed1-3,RujNed1+4)</f>
        <v>42614</v>
      </c>
      <c r="G4" s="10">
        <f>IF(DAY(RujNed1)=1,RujNed1-2,RujNed1+5)</f>
        <v>42615</v>
      </c>
      <c r="H4" s="10">
        <f>IF(DAY(RujNed1)=1,RujNed1-1,RujNed1+6)</f>
        <v>42616</v>
      </c>
      <c r="I4" s="10">
        <f>IF(DAY(RujNed1)=1,RujNed1,RujNed1+7)</f>
        <v>42617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IF(DAY(RujNed1)=1,RujNed1+1,RujNed1+8)</f>
        <v>42618</v>
      </c>
      <c r="D5" s="10">
        <f>IF(DAY(RujNed1)=1,RujNed1+2,RujNed1+9)</f>
        <v>42619</v>
      </c>
      <c r="E5" s="10">
        <f>IF(DAY(RujNed1)=1,RujNed1+3,RujNed1+10)</f>
        <v>42620</v>
      </c>
      <c r="F5" s="10">
        <f>IF(DAY(RujNed1)=1,RujNed1+4,RujNed1+11)</f>
        <v>42621</v>
      </c>
      <c r="G5" s="10">
        <f>IF(DAY(RujNed1)=1,RujNed1+5,RujNed1+12)</f>
        <v>42622</v>
      </c>
      <c r="H5" s="10">
        <f>IF(DAY(RujNed1)=1,RujNed1+6,RujNed1+13)</f>
        <v>42623</v>
      </c>
      <c r="I5" s="10">
        <f>IF(DAY(RujNed1)=1,RujNed1+7,RujNed1+14)</f>
        <v>42624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IF(DAY(RujNed1)=1,RujNed1+8,RujNed1+15)</f>
        <v>42625</v>
      </c>
      <c r="D6" s="10">
        <f>IF(DAY(RujNed1)=1,RujNed1+9,RujNed1+16)</f>
        <v>42626</v>
      </c>
      <c r="E6" s="10">
        <f>IF(DAY(RujNed1)=1,RujNed1+10,RujNed1+17)</f>
        <v>42627</v>
      </c>
      <c r="F6" s="10">
        <f>IF(DAY(RujNed1)=1,RujNed1+11,RujNed1+18)</f>
        <v>42628</v>
      </c>
      <c r="G6" s="10">
        <f>IF(DAY(RujNed1)=1,RujNed1+12,RujNed1+19)</f>
        <v>42629</v>
      </c>
      <c r="H6" s="10">
        <f>IF(DAY(RujNed1)=1,RujNed1+13,RujNed1+20)</f>
        <v>42630</v>
      </c>
      <c r="I6" s="10">
        <f>IF(DAY(RujNed1)=1,RujNed1+14,RujNed1+21)</f>
        <v>42631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IF(DAY(RujNed1)=1,RujNed1+15,RujNed1+22)</f>
        <v>42632</v>
      </c>
      <c r="D7" s="10">
        <f>IF(DAY(RujNed1)=1,RujNed1+16,RujNed1+23)</f>
        <v>42633</v>
      </c>
      <c r="E7" s="10">
        <f>IF(DAY(RujNed1)=1,RujNed1+17,RujNed1+24)</f>
        <v>42634</v>
      </c>
      <c r="F7" s="10">
        <f>IF(DAY(RujNed1)=1,RujNed1+18,RujNed1+25)</f>
        <v>42635</v>
      </c>
      <c r="G7" s="10">
        <f>IF(DAY(RujNed1)=1,RujNed1+19,RujNed1+26)</f>
        <v>42636</v>
      </c>
      <c r="H7" s="10">
        <f>IF(DAY(RujNed1)=1,RujNed1+20,RujNed1+27)</f>
        <v>42637</v>
      </c>
      <c r="I7" s="10">
        <f>IF(DAY(RujNed1)=1,RujNed1+21,RujNed1+28)</f>
        <v>42638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IF(DAY(RujNed1)=1,RujNed1+22,RujNed1+29)</f>
        <v>42639</v>
      </c>
      <c r="D8" s="10">
        <f>IF(DAY(RujNed1)=1,RujNed1+23,RujNed1+30)</f>
        <v>42640</v>
      </c>
      <c r="E8" s="10">
        <f>IF(DAY(RujNed1)=1,RujNed1+24,RujNed1+31)</f>
        <v>42641</v>
      </c>
      <c r="F8" s="10">
        <f>IF(DAY(RujNed1)=1,RujNed1+25,RujNed1+32)</f>
        <v>42642</v>
      </c>
      <c r="G8" s="10">
        <f>IF(DAY(RujNed1)=1,RujNed1+26,RujNed1+33)</f>
        <v>42643</v>
      </c>
      <c r="H8" s="10">
        <f>IF(DAY(RujNed1)=1,RujNed1+27,RujNed1+34)</f>
        <v>42644</v>
      </c>
      <c r="I8" s="10">
        <f>IF(DAY(RujNed1)=1,RujNed1+28,RujNed1+35)</f>
        <v>42645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IF(DAY(RujNed1)=1,RujNed1+29,RujNed1+36)</f>
        <v>42646</v>
      </c>
      <c r="D9" s="10">
        <f>IF(DAY(RujNed1)=1,RujNed1+30,RujNed1+37)</f>
        <v>42647</v>
      </c>
      <c r="E9" s="10">
        <f>IF(DAY(RujNed1)=1,RujNed1+31,RujNed1+38)</f>
        <v>42648</v>
      </c>
      <c r="F9" s="10">
        <f>IF(DAY(RujNed1)=1,RujNed1+32,RujNed1+39)</f>
        <v>42649</v>
      </c>
      <c r="G9" s="10">
        <f>IF(DAY(RujNed1)=1,RujNed1+33,RujNed1+40)</f>
        <v>42650</v>
      </c>
      <c r="H9" s="10">
        <f>IF(DAY(RujNed1)=1,RujNed1+34,RujNed1+41)</f>
        <v>42651</v>
      </c>
      <c r="I9" s="10">
        <f>IF(DAY(RujNed1)=1,RujNed1+35,RujNed1+42)</f>
        <v>42652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10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10</v>
      </c>
      <c r="D13" s="41"/>
      <c r="E13" s="39" t="s">
        <v>17</v>
      </c>
      <c r="F13" s="41"/>
      <c r="G13" s="39" t="s">
        <v>18</v>
      </c>
      <c r="H13" s="41"/>
      <c r="I13" s="39" t="s">
        <v>19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11</v>
      </c>
      <c r="D16" s="54"/>
      <c r="E16" s="53"/>
      <c r="F16" s="54"/>
      <c r="G16" s="53" t="s">
        <v>11</v>
      </c>
      <c r="H16" s="54"/>
      <c r="I16" s="63"/>
      <c r="J16" s="64"/>
      <c r="K16" s="31" t="s">
        <v>17</v>
      </c>
      <c r="L16" s="16"/>
      <c r="M16" s="37"/>
      <c r="N16" s="38"/>
    </row>
    <row r="17" spans="2:14" ht="18" customHeight="1" x14ac:dyDescent="0.2">
      <c r="B17" s="6"/>
      <c r="C17" s="51" t="s">
        <v>12</v>
      </c>
      <c r="D17" s="52"/>
      <c r="E17" s="51"/>
      <c r="F17" s="52"/>
      <c r="G17" s="51" t="s">
        <v>12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18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19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13</v>
      </c>
      <c r="D30" s="54"/>
      <c r="E30" s="53"/>
      <c r="F30" s="54"/>
      <c r="G30" s="53" t="s">
        <v>13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14</v>
      </c>
      <c r="D31" s="52"/>
      <c r="E31" s="51"/>
      <c r="F31" s="52"/>
      <c r="G31" s="51" t="s">
        <v>14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VLOOKUP(DAY(C4),DaniZadatka,1,FALSE)=DAY(C4)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TM00000039</ap:Template>
  <ap:DocSecurity>0</ap:DocSecurity>
  <ap:ScaleCrop>false</ap:ScaleCrop>
  <ap:HeadingPairs>
    <vt:vector baseType="variant" size="4">
      <vt:variant>
        <vt:lpstr>Radni listovi</vt:lpstr>
      </vt:variant>
      <vt:variant>
        <vt:i4>12</vt:i4>
      </vt:variant>
      <vt:variant>
        <vt:lpstr>Imenovani rasponi</vt:lpstr>
      </vt:variant>
      <vt:variant>
        <vt:i4>37</vt:i4>
      </vt:variant>
    </vt:vector>
  </ap:HeadingPairs>
  <ap:TitlesOfParts>
    <vt:vector baseType="lpstr" size="49">
      <vt:lpstr>Sij</vt:lpstr>
      <vt:lpstr>Velj</vt:lpstr>
      <vt:lpstr>Ožu</vt:lpstr>
      <vt:lpstr>Tra</vt:lpstr>
      <vt:lpstr>Svi</vt:lpstr>
      <vt:lpstr>Lip</vt:lpstr>
      <vt:lpstr>Srp</vt:lpstr>
      <vt:lpstr>Kol</vt:lpstr>
      <vt:lpstr>Ruj</vt:lpstr>
      <vt:lpstr>Lis</vt:lpstr>
      <vt:lpstr>Stu</vt:lpstr>
      <vt:lpstr>Pro</vt:lpstr>
      <vt:lpstr>Kol!DaniZadatka</vt:lpstr>
      <vt:lpstr>Lip!DaniZadatka</vt:lpstr>
      <vt:lpstr>Lis!DaniZadatka</vt:lpstr>
      <vt:lpstr>Ožu!DaniZadatka</vt:lpstr>
      <vt:lpstr>Pro!DaniZadatka</vt:lpstr>
      <vt:lpstr>Ruj!DaniZadatka</vt:lpstr>
      <vt:lpstr>Srp!DaniZadatka</vt:lpstr>
      <vt:lpstr>Stu!DaniZadatka</vt:lpstr>
      <vt:lpstr>Svi!DaniZadatka</vt:lpstr>
      <vt:lpstr>Tra!DaniZadatka</vt:lpstr>
      <vt:lpstr>Velj!DaniZadatka</vt:lpstr>
      <vt:lpstr>DaniZadatka</vt:lpstr>
      <vt:lpstr>KalendarskaGodina</vt:lpstr>
      <vt:lpstr>Kol!Podrucje_ispisa</vt:lpstr>
      <vt:lpstr>Lip!Podrucje_ispisa</vt:lpstr>
      <vt:lpstr>Lis!Podrucje_ispisa</vt:lpstr>
      <vt:lpstr>Ožu!Podrucje_ispisa</vt:lpstr>
      <vt:lpstr>Pro!Podrucje_ispisa</vt:lpstr>
      <vt:lpstr>Ruj!Podrucje_ispisa</vt:lpstr>
      <vt:lpstr>Sij!Podrucje_ispisa</vt:lpstr>
      <vt:lpstr>Srp!Podrucje_ispisa</vt:lpstr>
      <vt:lpstr>Stu!Podrucje_ispisa</vt:lpstr>
      <vt:lpstr>Svi!Podrucje_ispisa</vt:lpstr>
      <vt:lpstr>Tra!Podrucje_ispisa</vt:lpstr>
      <vt:lpstr>Velj!Podrucje_ispisa</vt:lpstr>
      <vt:lpstr>Kol!TablicaVažnihDatuma</vt:lpstr>
      <vt:lpstr>Lip!TablicaVažnihDatuma</vt:lpstr>
      <vt:lpstr>Lis!TablicaVažnihDatuma</vt:lpstr>
      <vt:lpstr>Ožu!TablicaVažnihDatuma</vt:lpstr>
      <vt:lpstr>Pro!TablicaVažnihDatuma</vt:lpstr>
      <vt:lpstr>Ruj!TablicaVažnihDatuma</vt:lpstr>
      <vt:lpstr>Srp!TablicaVažnihDatuma</vt:lpstr>
      <vt:lpstr>Stu!TablicaVažnihDatuma</vt:lpstr>
      <vt:lpstr>Svi!TablicaVažnihDatuma</vt:lpstr>
      <vt:lpstr>Tra!TablicaVažnihDatuma</vt:lpstr>
      <vt:lpstr>Velj!TablicaVažnihDatuma</vt:lpstr>
      <vt:lpstr>TablicaVažnihDatuma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Windows korisnik</cp:lastModifiedBy>
  <dcterms:created xsi:type="dcterms:W3CDTF">2013-11-22T23:21:45Z</dcterms:created>
  <dcterms:modified xsi:type="dcterms:W3CDTF">2015-10-10T08:08:03Z</dcterms:modified>
</cp:coreProperties>
</file>