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bookViews>
    <workbookView xWindow="0" yWindow="0" windowWidth="21600" windowHeight="9510"/>
  </bookViews>
  <sheets>
    <sheet name="הכנסות (מכירות)" sheetId="2" r:id="rId1"/>
    <sheet name="עלות מכירות" sheetId="3" r:id="rId2"/>
    <sheet name="הוצאות" sheetId="4" r:id="rId3"/>
  </sheets>
  <definedNames>
    <definedName name="FYMonthNo">IF(FYMonthStart="ינו",1,IF(FYMonthStart="פבר",2,IF(FYMonthStart="מרץ",3,IF(FYMonthStart="אפר",4,IF(FYMonthStart="מאי",5,IF(FYMonthStart="יונ",6,IF(FYMonthStart="יול",7,IF(FYMonthStart="אוג",8,IF(FYMonthStart="ספט",9,IF(FYMonthStart="אוק",10,IF(FYMonthStart="נוב",11,12)))))))))))</definedName>
    <definedName name="FYMonthStart">'הכנסות (מכירות)'!$AC$2</definedName>
    <definedName name="FYStartYear">'הכנסות (מכירות)'!$AD$2</definedName>
    <definedName name="Projection_Period_Title">'הכנסות (מכירות)'!$B$1</definedName>
    <definedName name="Wksht_Title">'הכנסות (מכירות)'!$B$2</definedName>
    <definedName name="_xlnm.Print_Titles" localSheetId="2">הוצאות!$3:$4</definedName>
    <definedName name="_xlnm.Print_Titles" localSheetId="0">'הכנסות (מכירות)'!$3:$4</definedName>
    <definedName name="_xlnm.Print_Titles" localSheetId="1">'עלות מכירות'!$3:$4</definedName>
    <definedName name="כותרת1">הכנסה[[#Headers],[הכנסות (מכירות)]]</definedName>
    <definedName name="כותרת2">עלותמכירות[[#Headers],[עלות מכירות]]</definedName>
    <definedName name="כותרת3">tblExpenses[[#Headers],[הוצאות]]</definedName>
    <definedName name="שם_החברה">'הכנסות (מכירות)'!$AD$1</definedName>
  </definedNames>
  <calcPr calcId="162913"/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B2" i="4"/>
  <c r="Q24" i="4"/>
  <c r="O24" i="4"/>
  <c r="N24" i="4"/>
  <c r="M24" i="4"/>
  <c r="L24" i="4"/>
  <c r="K24" i="4"/>
  <c r="J24" i="4"/>
  <c r="I24" i="4"/>
  <c r="H24" i="4"/>
  <c r="G24" i="4"/>
  <c r="F24" i="4"/>
  <c r="E24" i="4"/>
  <c r="D24" i="4"/>
  <c r="P6" i="3"/>
  <c r="P7" i="3"/>
  <c r="P8" i="3"/>
  <c r="P9" i="3"/>
  <c r="P10" i="3"/>
  <c r="P11" i="3"/>
  <c r="P5" i="3"/>
  <c r="Q12" i="3"/>
  <c r="O12" i="3"/>
  <c r="N12" i="3"/>
  <c r="M12" i="3"/>
  <c r="L12" i="3"/>
  <c r="Z6" i="3" s="1"/>
  <c r="K12" i="3"/>
  <c r="J12" i="3"/>
  <c r="X6" i="3" s="1"/>
  <c r="I12" i="3"/>
  <c r="H12" i="3"/>
  <c r="G12" i="3"/>
  <c r="F12" i="3"/>
  <c r="E12" i="3"/>
  <c r="D12" i="3"/>
  <c r="Q12" i="2"/>
  <c r="O12" i="2"/>
  <c r="N12" i="2"/>
  <c r="M12" i="2"/>
  <c r="L12" i="2"/>
  <c r="L14" i="3" s="1"/>
  <c r="L26" i="4" s="1"/>
  <c r="K12" i="2"/>
  <c r="K14" i="3" s="1"/>
  <c r="K26" i="4" s="1"/>
  <c r="J12" i="2"/>
  <c r="J14" i="3" s="1"/>
  <c r="J26" i="4" s="1"/>
  <c r="I12" i="2"/>
  <c r="H12" i="2"/>
  <c r="H14" i="3" s="1"/>
  <c r="H26" i="4" s="1"/>
  <c r="G12" i="2"/>
  <c r="G14" i="3" s="1"/>
  <c r="G26" i="4" s="1"/>
  <c r="F12" i="2"/>
  <c r="E12" i="2"/>
  <c r="D12" i="2"/>
  <c r="P6" i="2"/>
  <c r="P7" i="2"/>
  <c r="P8" i="2"/>
  <c r="P9" i="2"/>
  <c r="P10" i="2"/>
  <c r="P11" i="2"/>
  <c r="P5" i="2"/>
  <c r="P12" i="2" s="1"/>
  <c r="R6" i="4" l="1"/>
  <c r="R7" i="4"/>
  <c r="R8" i="4"/>
  <c r="R9" i="4"/>
  <c r="R10" i="4"/>
  <c r="R11" i="4"/>
  <c r="R12" i="4"/>
  <c r="R13" i="4"/>
  <c r="R14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5" i="4"/>
  <c r="R5" i="4"/>
  <c r="R23" i="4"/>
  <c r="R22" i="4"/>
  <c r="R21" i="4"/>
  <c r="R20" i="4"/>
  <c r="R19" i="4"/>
  <c r="R18" i="4"/>
  <c r="R17" i="4"/>
  <c r="R16" i="4"/>
  <c r="R15" i="4"/>
  <c r="U6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5" i="4"/>
  <c r="S5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T5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U5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X5" i="3"/>
  <c r="X11" i="3"/>
  <c r="X10" i="3"/>
  <c r="X9" i="3"/>
  <c r="X8" i="3"/>
  <c r="X7" i="3"/>
  <c r="Z5" i="3"/>
  <c r="Z11" i="3"/>
  <c r="Z10" i="3"/>
  <c r="Z9" i="3"/>
  <c r="Z8" i="3"/>
  <c r="Z7" i="3"/>
  <c r="R5" i="3"/>
  <c r="R11" i="3"/>
  <c r="R10" i="3"/>
  <c r="R9" i="3"/>
  <c r="R8" i="3"/>
  <c r="R7" i="3"/>
  <c r="R6" i="3"/>
  <c r="S5" i="3"/>
  <c r="S11" i="3"/>
  <c r="S10" i="3"/>
  <c r="S9" i="3"/>
  <c r="S8" i="3"/>
  <c r="S7" i="3"/>
  <c r="S6" i="3"/>
  <c r="T5" i="3"/>
  <c r="T11" i="3"/>
  <c r="T10" i="3"/>
  <c r="T9" i="3"/>
  <c r="T8" i="3"/>
  <c r="T7" i="3"/>
  <c r="T6" i="3"/>
  <c r="U5" i="3"/>
  <c r="U11" i="3"/>
  <c r="U10" i="3"/>
  <c r="U9" i="3"/>
  <c r="U8" i="3"/>
  <c r="U7" i="3"/>
  <c r="U6" i="3"/>
  <c r="V5" i="3"/>
  <c r="V11" i="3"/>
  <c r="V10" i="3"/>
  <c r="V9" i="3"/>
  <c r="V8" i="3"/>
  <c r="V7" i="3"/>
  <c r="V6" i="3"/>
  <c r="W5" i="3"/>
  <c r="W11" i="3"/>
  <c r="W10" i="3"/>
  <c r="W9" i="3"/>
  <c r="W8" i="3"/>
  <c r="W7" i="3"/>
  <c r="W6" i="3"/>
  <c r="Y5" i="3"/>
  <c r="Y11" i="3"/>
  <c r="Y10" i="3"/>
  <c r="Y9" i="3"/>
  <c r="Y8" i="3"/>
  <c r="Y7" i="3"/>
  <c r="Y6" i="3"/>
  <c r="AA5" i="3"/>
  <c r="AA11" i="3"/>
  <c r="AA10" i="3"/>
  <c r="AA9" i="3"/>
  <c r="AA8" i="3"/>
  <c r="AA7" i="3"/>
  <c r="AA6" i="3"/>
  <c r="AB5" i="3"/>
  <c r="AB11" i="3"/>
  <c r="AB10" i="3"/>
  <c r="AB9" i="3"/>
  <c r="AB8" i="3"/>
  <c r="AB7" i="3"/>
  <c r="AB6" i="3"/>
  <c r="AC5" i="3"/>
  <c r="AC11" i="3"/>
  <c r="AC10" i="3"/>
  <c r="AC9" i="3"/>
  <c r="AC8" i="3"/>
  <c r="AC7" i="3"/>
  <c r="AC6" i="3"/>
  <c r="U5" i="2"/>
  <c r="U11" i="2"/>
  <c r="U10" i="2"/>
  <c r="U9" i="2"/>
  <c r="U8" i="2"/>
  <c r="U7" i="2"/>
  <c r="U6" i="2"/>
  <c r="V5" i="2"/>
  <c r="V11" i="2"/>
  <c r="V10" i="2"/>
  <c r="V9" i="2"/>
  <c r="V8" i="2"/>
  <c r="V7" i="2"/>
  <c r="V6" i="2"/>
  <c r="X5" i="2"/>
  <c r="X11" i="2"/>
  <c r="X10" i="2"/>
  <c r="X9" i="2"/>
  <c r="X8" i="2"/>
  <c r="X7" i="2"/>
  <c r="X6" i="2"/>
  <c r="Y5" i="2"/>
  <c r="Y11" i="2"/>
  <c r="Y10" i="2"/>
  <c r="Y9" i="2"/>
  <c r="Y8" i="2"/>
  <c r="Y7" i="2"/>
  <c r="Y6" i="2"/>
  <c r="Z5" i="2"/>
  <c r="Z11" i="2"/>
  <c r="Z10" i="2"/>
  <c r="Z9" i="2"/>
  <c r="Z8" i="2"/>
  <c r="Z7" i="2"/>
  <c r="Z6" i="2"/>
  <c r="AD11" i="2"/>
  <c r="AD10" i="2"/>
  <c r="AD9" i="2"/>
  <c r="AD8" i="2"/>
  <c r="AD7" i="2"/>
  <c r="AD6" i="2"/>
  <c r="R5" i="2"/>
  <c r="R11" i="2"/>
  <c r="R10" i="2"/>
  <c r="R9" i="2"/>
  <c r="R8" i="2"/>
  <c r="R7" i="2"/>
  <c r="R6" i="2"/>
  <c r="S5" i="2"/>
  <c r="S11" i="2"/>
  <c r="S10" i="2"/>
  <c r="S9" i="2"/>
  <c r="S8" i="2"/>
  <c r="S7" i="2"/>
  <c r="S6" i="2"/>
  <c r="T5" i="2"/>
  <c r="T11" i="2"/>
  <c r="T10" i="2"/>
  <c r="T9" i="2"/>
  <c r="T8" i="2"/>
  <c r="T7" i="2"/>
  <c r="T6" i="2"/>
  <c r="W5" i="2"/>
  <c r="W11" i="2"/>
  <c r="W10" i="2"/>
  <c r="W9" i="2"/>
  <c r="W8" i="2"/>
  <c r="W7" i="2"/>
  <c r="W6" i="2"/>
  <c r="AA5" i="2"/>
  <c r="AA11" i="2"/>
  <c r="AA10" i="2"/>
  <c r="AA9" i="2"/>
  <c r="AA8" i="2"/>
  <c r="AA7" i="2"/>
  <c r="AA6" i="2"/>
  <c r="AB5" i="2"/>
  <c r="AB11" i="2"/>
  <c r="AB10" i="2"/>
  <c r="AB9" i="2"/>
  <c r="AB8" i="2"/>
  <c r="AB7" i="2"/>
  <c r="AB6" i="2"/>
  <c r="AC5" i="2"/>
  <c r="AC11" i="2"/>
  <c r="AC10" i="2"/>
  <c r="AC9" i="2"/>
  <c r="AC8" i="2"/>
  <c r="AC7" i="2"/>
  <c r="AC6" i="2"/>
  <c r="D14" i="3"/>
  <c r="D26" i="4" s="1"/>
  <c r="E14" i="3"/>
  <c r="E26" i="4" s="1"/>
  <c r="F14" i="3"/>
  <c r="F26" i="4" s="1"/>
  <c r="I14" i="3"/>
  <c r="I26" i="4" s="1"/>
  <c r="M14" i="3"/>
  <c r="M26" i="4" s="1"/>
  <c r="N14" i="3"/>
  <c r="N26" i="4" s="1"/>
  <c r="O14" i="3"/>
  <c r="O26" i="4" s="1"/>
  <c r="AD5" i="2"/>
  <c r="AD1" i="4"/>
  <c r="B1" i="4"/>
  <c r="B1" i="3"/>
  <c r="AD1" i="3"/>
  <c r="AD2" i="2"/>
  <c r="O3" i="3" s="1"/>
  <c r="B2" i="3"/>
  <c r="O3" i="4" l="1"/>
  <c r="AC3" i="4" s="1"/>
  <c r="K3" i="4"/>
  <c r="Y3" i="4" s="1"/>
  <c r="G3" i="4"/>
  <c r="U3" i="4" s="1"/>
  <c r="J3" i="4"/>
  <c r="X3" i="4" s="1"/>
  <c r="F3" i="4"/>
  <c r="T3" i="4" s="1"/>
  <c r="L3" i="4"/>
  <c r="Z3" i="4" s="1"/>
  <c r="N3" i="4"/>
  <c r="AB3" i="4" s="1"/>
  <c r="H3" i="4"/>
  <c r="V3" i="4" s="1"/>
  <c r="M3" i="4"/>
  <c r="AA3" i="4" s="1"/>
  <c r="I3" i="4"/>
  <c r="W3" i="4" s="1"/>
  <c r="E3" i="4"/>
  <c r="S3" i="4" s="1"/>
  <c r="D3" i="4"/>
  <c r="R3" i="4" s="1"/>
  <c r="L3" i="3"/>
  <c r="Z3" i="3" s="1"/>
  <c r="H3" i="3"/>
  <c r="V3" i="3" s="1"/>
  <c r="D3" i="3"/>
  <c r="R3" i="3" s="1"/>
  <c r="AC3" i="3"/>
  <c r="K3" i="3"/>
  <c r="Y3" i="3" s="1"/>
  <c r="G3" i="3"/>
  <c r="U3" i="3" s="1"/>
  <c r="N3" i="3"/>
  <c r="AB3" i="3" s="1"/>
  <c r="J3" i="3"/>
  <c r="X3" i="3" s="1"/>
  <c r="F3" i="3"/>
  <c r="T3" i="3" s="1"/>
  <c r="M3" i="3"/>
  <c r="AA3" i="3" s="1"/>
  <c r="I3" i="3"/>
  <c r="W3" i="3" s="1"/>
  <c r="E3" i="3"/>
  <c r="S3" i="3" s="1"/>
  <c r="AD2" i="4"/>
  <c r="AC2" i="4"/>
  <c r="AD2" i="3"/>
  <c r="AC2" i="3"/>
  <c r="AC24" i="4" l="1"/>
  <c r="AB24" i="4"/>
  <c r="Y24" i="4"/>
  <c r="X24" i="4"/>
  <c r="U24" i="4"/>
  <c r="T24" i="4"/>
  <c r="P24" i="4"/>
  <c r="P12" i="3"/>
  <c r="P14" i="3" l="1"/>
  <c r="AD5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3"/>
  <c r="AD11" i="3"/>
  <c r="AD10" i="3"/>
  <c r="AD9" i="3"/>
  <c r="AD8" i="3"/>
  <c r="AD7" i="3"/>
  <c r="AD6" i="3"/>
  <c r="AA12" i="2"/>
  <c r="W12" i="2"/>
  <c r="S12" i="2"/>
  <c r="Z24" i="4"/>
  <c r="V24" i="4"/>
  <c r="R24" i="4"/>
  <c r="S24" i="4"/>
  <c r="W24" i="4"/>
  <c r="AA24" i="4"/>
  <c r="AB12" i="3"/>
  <c r="X12" i="3"/>
  <c r="Z12" i="2"/>
  <c r="V12" i="2"/>
  <c r="R12" i="2"/>
  <c r="Y12" i="3"/>
  <c r="S12" i="3"/>
  <c r="AA12" i="3"/>
  <c r="W12" i="3"/>
  <c r="O3" i="2"/>
  <c r="AC3" i="2" s="1"/>
  <c r="N3" i="2"/>
  <c r="AB3" i="2" s="1"/>
  <c r="M3" i="2"/>
  <c r="AA3" i="2" s="1"/>
  <c r="L3" i="2"/>
  <c r="Z3" i="2" s="1"/>
  <c r="K3" i="2"/>
  <c r="Y3" i="2" s="1"/>
  <c r="J3" i="2"/>
  <c r="X3" i="2" s="1"/>
  <c r="I3" i="2"/>
  <c r="W3" i="2" s="1"/>
  <c r="H3" i="2"/>
  <c r="V3" i="2" s="1"/>
  <c r="G3" i="2"/>
  <c r="U3" i="2" s="1"/>
  <c r="F3" i="2"/>
  <c r="T3" i="2" s="1"/>
  <c r="E3" i="2"/>
  <c r="S3" i="2" s="1"/>
  <c r="D3" i="2"/>
  <c r="R3" i="2" s="1"/>
  <c r="Z12" i="3" l="1"/>
  <c r="R12" i="3"/>
  <c r="V12" i="3"/>
  <c r="U12" i="3"/>
  <c r="AC12" i="3"/>
  <c r="T12" i="3"/>
  <c r="T12" i="2"/>
  <c r="X12" i="2"/>
  <c r="AB12" i="2"/>
  <c r="U12" i="2"/>
  <c r="AC12" i="2"/>
  <c r="Y12" i="2"/>
  <c r="AD24" i="4"/>
  <c r="P26" i="4"/>
  <c r="X26" i="4" s="1"/>
  <c r="AD12" i="2"/>
  <c r="Z14" i="3"/>
  <c r="AD12" i="3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<sst xmlns="http://schemas.openxmlformats.org/spreadsheetml/2006/main" count="161" uniqueCount="74">
  <si>
    <t>שנים-עשר חודשים</t>
  </si>
  <si>
    <t>תחזית רווח והפסד</t>
  </si>
  <si>
    <t>הכנסות (מכירות)</t>
  </si>
  <si>
    <t>הכנסה 1</t>
  </si>
  <si>
    <t>הכנסה 2</t>
  </si>
  <si>
    <t>הכנסה 3</t>
  </si>
  <si>
    <t>הכנסה 4</t>
  </si>
  <si>
    <t>הכנסה 5</t>
  </si>
  <si>
    <t>הכנסה 6</t>
  </si>
  <si>
    <t>הכנסה 7</t>
  </si>
  <si>
    <t>סה"כ מכירות</t>
  </si>
  <si>
    <t>מגמה</t>
  </si>
  <si>
    <t>ינו</t>
  </si>
  <si>
    <t>פבר</t>
  </si>
  <si>
    <t>מרץ</t>
  </si>
  <si>
    <t>אפר</t>
  </si>
  <si>
    <t>מאי</t>
  </si>
  <si>
    <t>יונ</t>
  </si>
  <si>
    <t>יול</t>
  </si>
  <si>
    <t>אוג</t>
  </si>
  <si>
    <t>ספט</t>
  </si>
  <si>
    <t>אוק</t>
  </si>
  <si>
    <t>נוב</t>
  </si>
  <si>
    <t>דצמ</t>
  </si>
  <si>
    <t>שנתי</t>
  </si>
  <si>
    <t>% מדד</t>
  </si>
  <si>
    <t>% ינו</t>
  </si>
  <si>
    <t>% פבר</t>
  </si>
  <si>
    <t>% מרץ</t>
  </si>
  <si>
    <t>% אפר</t>
  </si>
  <si>
    <t>% מאי</t>
  </si>
  <si>
    <t>% יונ</t>
  </si>
  <si>
    <t>% יול</t>
  </si>
  <si>
    <t>% אוג</t>
  </si>
  <si>
    <t>% ספט</t>
  </si>
  <si>
    <t>% אוק</t>
  </si>
  <si>
    <t>שנת הכספים מתחילה:</t>
  </si>
  <si>
    <t>% נוב</t>
  </si>
  <si>
    <t>% דצמ</t>
  </si>
  <si>
    <t>שם החברה</t>
  </si>
  <si>
    <t>% בשנה</t>
  </si>
  <si>
    <t>עלות מכירות</t>
  </si>
  <si>
    <t>עלות 1</t>
  </si>
  <si>
    <t>עלות 2</t>
  </si>
  <si>
    <t>עלות 3</t>
  </si>
  <si>
    <t>עלות 4</t>
  </si>
  <si>
    <t>עלות 5</t>
  </si>
  <si>
    <t>עלות 6</t>
  </si>
  <si>
    <t>עלות 7</t>
  </si>
  <si>
    <t>סה"כ עלות מכירות</t>
  </si>
  <si>
    <t>רווח ברוטו</t>
  </si>
  <si>
    <t>שנת הכספים:</t>
  </si>
  <si>
    <t>הוצאות</t>
  </si>
  <si>
    <t xml:space="preserve">הוצאות משכורות </t>
  </si>
  <si>
    <t xml:space="preserve">הוצאות שכר </t>
  </si>
  <si>
    <t>שירותים חיצוניים</t>
  </si>
  <si>
    <t>ספקים (משרד ותפעול)</t>
  </si>
  <si>
    <t>תיקונים ותחזוקה</t>
  </si>
  <si>
    <t>פרסום</t>
  </si>
  <si>
    <t>רכב, אספקה ונסיעות</t>
  </si>
  <si>
    <t>חשבונאות והוצאות משפטיות</t>
  </si>
  <si>
    <t>דמי שכירות</t>
  </si>
  <si>
    <t>טלפון</t>
  </si>
  <si>
    <t>שירותים ציבוריים</t>
  </si>
  <si>
    <t>ביטוח</t>
  </si>
  <si>
    <t>מסים (נדל"ן, וכו')</t>
  </si>
  <si>
    <t>ריבית</t>
  </si>
  <si>
    <t>פחת</t>
  </si>
  <si>
    <t>הוצאות אחרות (ציין)</t>
  </si>
  <si>
    <t>שונות (לא צוין)</t>
  </si>
  <si>
    <t>סה"כ הוצאות</t>
  </si>
  <si>
    <t>רווח נטו</t>
  </si>
  <si>
    <t xml:space="preserve"> 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</si>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</sst>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[$-1010000]m/d/yyyy;@"/>
  </numFmts>
  <fonts count="2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6"/>
      <color theme="7" tint="-0.24994659260841701"/>
      <name val="Tahoma"/>
      <family val="2"/>
    </font>
    <font>
      <b/>
      <i/>
      <sz val="22"/>
      <color theme="7"/>
      <name val="Tahoma"/>
      <family val="2"/>
    </font>
    <font>
      <b/>
      <i/>
      <sz val="22"/>
      <color theme="7" tint="-0.24994659260841701"/>
      <name val="Tahoma"/>
      <family val="2"/>
    </font>
    <font>
      <b/>
      <sz val="22"/>
      <color theme="3"/>
      <name val="Tahoma"/>
      <family val="2"/>
    </font>
    <font>
      <b/>
      <sz val="26"/>
      <color theme="3"/>
      <name val="Tahoma"/>
      <family val="2"/>
    </font>
    <font>
      <b/>
      <sz val="11"/>
      <color theme="8"/>
      <name val="Tahoma"/>
      <family val="2"/>
    </font>
    <font>
      <b/>
      <sz val="12"/>
      <color theme="8"/>
      <name val="Tahoma"/>
      <family val="2"/>
    </font>
    <font>
      <sz val="11"/>
      <color theme="3"/>
      <name val="Tahoma"/>
      <family val="2"/>
    </font>
    <font>
      <b/>
      <sz val="12"/>
      <color theme="3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b/>
      <sz val="12"/>
      <color theme="0"/>
      <name val="Tahoma"/>
      <family val="2"/>
    </font>
    <font>
      <b/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9" fontId="12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2" fillId="0" borderId="3" applyProtection="0">
      <alignment vertical="center"/>
    </xf>
    <xf numFmtId="166" fontId="1" fillId="0" borderId="0" applyFill="0" applyBorder="0" applyAlignment="0" applyProtection="0"/>
    <xf numFmtId="165" fontId="1" fillId="0" borderId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Alignment="0" applyProtection="0"/>
    <xf numFmtId="0" fontId="13" fillId="2" borderId="0">
      <alignment horizontal="right" vertical="center" indent="1"/>
    </xf>
    <xf numFmtId="42" fontId="14" fillId="2" borderId="0" applyBorder="0" applyAlignment="0" applyProtection="0"/>
    <xf numFmtId="9" fontId="14" fillId="2" borderId="0" applyBorder="0" applyAlignment="0" applyProtection="0"/>
    <xf numFmtId="0" fontId="1" fillId="0" borderId="0">
      <alignment horizontal="right" wrapText="1" indent="1"/>
    </xf>
    <xf numFmtId="0" fontId="4" fillId="0" borderId="0" applyFill="0" applyProtection="0">
      <alignment horizontal="right" vertical="center"/>
    </xf>
    <xf numFmtId="0" fontId="8" fillId="0" borderId="0" applyFill="0" applyProtection="0">
      <alignment horizontal="right" vertical="center"/>
    </xf>
    <xf numFmtId="169" fontId="9" fillId="0" borderId="2" applyFill="0" applyProtection="0">
      <alignment horizontal="center" vertical="center"/>
    </xf>
    <xf numFmtId="0" fontId="10" fillId="0" borderId="0">
      <alignment horizontal="right" indent="1"/>
    </xf>
    <xf numFmtId="164" fontId="1" fillId="5" borderId="4" applyNumberFormat="0" applyAlignment="0">
      <alignment horizontal="center"/>
    </xf>
    <xf numFmtId="42" fontId="12" fillId="3" borderId="4" applyAlignment="0"/>
    <xf numFmtId="164" fontId="12" fillId="6" borderId="4" applyNumberFormat="0" applyAlignment="0"/>
    <xf numFmtId="44" fontId="1" fillId="0" borderId="0" applyFill="0" applyBorder="0" applyAlignment="0" applyProtection="0"/>
    <xf numFmtId="0" fontId="15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22" fillId="10" borderId="5" applyNumberFormat="0" applyAlignment="0" applyProtection="0"/>
    <xf numFmtId="0" fontId="21" fillId="11" borderId="6" applyNumberFormat="0" applyAlignment="0" applyProtection="0"/>
    <xf numFmtId="0" fontId="18" fillId="11" borderId="5" applyNumberFormat="0" applyAlignment="0" applyProtection="0"/>
    <xf numFmtId="0" fontId="23" fillId="0" borderId="7" applyNumberFormat="0" applyFill="0" applyAlignment="0" applyProtection="0"/>
    <xf numFmtId="0" fontId="14" fillId="12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</cellStyleXfs>
  <cellXfs count="50">
    <xf numFmtId="0" fontId="0" fillId="0" borderId="0" xfId="0"/>
    <xf numFmtId="0" fontId="0" fillId="0" borderId="0" xfId="0" applyFont="1" applyFill="1" applyBorder="1" applyAlignment="1">
      <alignment readingOrder="2"/>
    </xf>
    <xf numFmtId="9" fontId="0" fillId="0" borderId="0" xfId="0" applyNumberFormat="1" applyFont="1" applyFill="1" applyBorder="1" applyAlignment="1">
      <alignment horizontal="right" readingOrder="2"/>
    </xf>
    <xf numFmtId="168" fontId="0" fillId="0" borderId="0" xfId="0" applyNumberFormat="1" applyFont="1" applyFill="1" applyBorder="1" applyAlignment="1">
      <alignment horizontal="right" readingOrder="2"/>
    </xf>
    <xf numFmtId="0" fontId="0" fillId="0" borderId="0" xfId="0" applyFont="1" applyFill="1" applyBorder="1" applyAlignment="1">
      <alignment horizontal="center" readingOrder="2"/>
    </xf>
    <xf numFmtId="0" fontId="1" fillId="0" borderId="0" xfId="0" applyNumberFormat="1" applyFont="1" applyAlignment="1">
      <alignment readingOrder="2"/>
    </xf>
    <xf numFmtId="0" fontId="2" fillId="0" borderId="3" xfId="3" applyFont="1" applyAlignment="1">
      <alignment vertical="center" readingOrder="2"/>
    </xf>
    <xf numFmtId="0" fontId="1" fillId="0" borderId="0" xfId="0" applyFont="1" applyAlignment="1">
      <alignment readingOrder="2"/>
    </xf>
    <xf numFmtId="0" fontId="1" fillId="0" borderId="0" xfId="0" applyFont="1" applyAlignment="1">
      <alignment horizontal="center" readingOrder="2"/>
    </xf>
    <xf numFmtId="0" fontId="3" fillId="0" borderId="0" xfId="0" applyFont="1" applyBorder="1" applyAlignment="1">
      <alignment horizontal="right" vertical="center" readingOrder="2"/>
    </xf>
    <xf numFmtId="0" fontId="5" fillId="0" borderId="0" xfId="2" applyFont="1" applyBorder="1" applyAlignment="1">
      <alignment horizontal="right" vertical="center" readingOrder="2"/>
    </xf>
    <xf numFmtId="0" fontId="6" fillId="0" borderId="0" xfId="0" applyFont="1" applyBorder="1" applyAlignment="1">
      <alignment vertical="center" readingOrder="2"/>
    </xf>
    <xf numFmtId="0" fontId="7" fillId="0" borderId="0" xfId="0" applyFont="1" applyAlignment="1">
      <alignment readingOrder="2"/>
    </xf>
    <xf numFmtId="169" fontId="9" fillId="0" borderId="2" xfId="14" applyFont="1" applyAlignment="1">
      <alignment horizontal="center" vertical="center" readingOrder="2"/>
    </xf>
    <xf numFmtId="167" fontId="1" fillId="0" borderId="0" xfId="0" applyNumberFormat="1" applyFont="1" applyFill="1" applyBorder="1" applyAlignment="1">
      <alignment horizontal="center" readingOrder="2"/>
    </xf>
    <xf numFmtId="167" fontId="1" fillId="0" borderId="0" xfId="0" applyNumberFormat="1" applyFont="1" applyFill="1" applyBorder="1" applyAlignment="1">
      <alignment horizontal="right" readingOrder="2"/>
    </xf>
    <xf numFmtId="0" fontId="11" fillId="5" borderId="4" xfId="16" applyNumberFormat="1" applyFont="1" applyAlignment="1">
      <alignment horizontal="center" readingOrder="2"/>
    </xf>
    <xf numFmtId="0" fontId="1" fillId="3" borderId="4" xfId="17" applyNumberFormat="1" applyFont="1" applyAlignment="1">
      <alignment readingOrder="2"/>
    </xf>
    <xf numFmtId="42" fontId="1" fillId="0" borderId="0" xfId="6" applyFont="1" applyFill="1" applyBorder="1" applyAlignment="1">
      <alignment readingOrder="2"/>
    </xf>
    <xf numFmtId="0" fontId="1" fillId="6" borderId="4" xfId="18" applyNumberFormat="1" applyFont="1" applyAlignment="1">
      <alignment horizontal="center" readingOrder="2"/>
    </xf>
    <xf numFmtId="42" fontId="12" fillId="6" borderId="4" xfId="6" applyFont="1" applyFill="1" applyBorder="1" applyAlignment="1">
      <alignment readingOrder="2"/>
    </xf>
    <xf numFmtId="0" fontId="1" fillId="0" borderId="0" xfId="0" applyFont="1" applyBorder="1" applyAlignment="1">
      <alignment readingOrder="2"/>
    </xf>
    <xf numFmtId="0" fontId="4" fillId="0" borderId="0" xfId="12" applyFont="1" applyAlignment="1">
      <alignment horizontal="left" vertical="center" readingOrder="2"/>
    </xf>
    <xf numFmtId="0" fontId="8" fillId="0" borderId="0" xfId="13" applyNumberFormat="1" applyFont="1" applyAlignment="1">
      <alignment horizontal="left" vertical="center" readingOrder="2"/>
    </xf>
    <xf numFmtId="0" fontId="8" fillId="0" borderId="0" xfId="13" applyFont="1" applyAlignment="1">
      <alignment horizontal="left" vertical="center" readingOrder="2"/>
    </xf>
    <xf numFmtId="9" fontId="12" fillId="0" borderId="0" xfId="1" applyFont="1" applyFill="1" applyBorder="1" applyAlignment="1">
      <alignment horizontal="left" readingOrder="2"/>
    </xf>
    <xf numFmtId="9" fontId="12" fillId="5" borderId="4" xfId="1" applyFont="1" applyFill="1" applyBorder="1" applyAlignment="1">
      <alignment horizontal="left" readingOrder="2"/>
    </xf>
    <xf numFmtId="9" fontId="0" fillId="0" borderId="0" xfId="0" applyNumberFormat="1" applyFont="1" applyFill="1" applyBorder="1" applyAlignment="1">
      <alignment horizontal="left" readingOrder="2"/>
    </xf>
    <xf numFmtId="9" fontId="0" fillId="0" borderId="0" xfId="0" applyNumberFormat="1" applyFont="1" applyAlignment="1">
      <alignment horizontal="left" readingOrder="2"/>
    </xf>
    <xf numFmtId="9" fontId="1" fillId="0" borderId="0" xfId="1" applyFont="1" applyFill="1" applyBorder="1" applyAlignment="1">
      <alignment horizontal="left" readingOrder="2"/>
    </xf>
    <xf numFmtId="9" fontId="12" fillId="6" borderId="4" xfId="1" applyFont="1" applyFill="1" applyBorder="1" applyAlignment="1">
      <alignment horizontal="left" readingOrder="2"/>
    </xf>
    <xf numFmtId="169" fontId="9" fillId="0" borderId="2" xfId="14" applyNumberFormat="1" applyFont="1" applyAlignment="1">
      <alignment horizontal="center" vertical="center" readingOrder="2"/>
    </xf>
    <xf numFmtId="42" fontId="12" fillId="0" borderId="0" xfId="6" applyNumberFormat="1" applyFont="1" applyFill="1" applyBorder="1" applyAlignment="1">
      <alignment readingOrder="2"/>
    </xf>
    <xf numFmtId="42" fontId="12" fillId="5" borderId="4" xfId="6" applyNumberFormat="1" applyFont="1" applyFill="1" applyBorder="1" applyAlignment="1">
      <alignment horizontal="center" readingOrder="2"/>
    </xf>
    <xf numFmtId="42" fontId="0" fillId="0" borderId="0" xfId="0" applyNumberFormat="1" applyFont="1" applyFill="1" applyBorder="1" applyAlignment="1">
      <alignment readingOrder="2"/>
    </xf>
    <xf numFmtId="0" fontId="1" fillId="0" borderId="0" xfId="11" applyAlignment="1">
      <alignment horizontal="left" wrapText="1" indent="1"/>
    </xf>
    <xf numFmtId="0" fontId="0" fillId="0" borderId="0" xfId="11" applyFont="1" applyAlignment="1">
      <alignment horizontal="left" wrapText="1" indent="1"/>
    </xf>
    <xf numFmtId="42" fontId="1" fillId="3" borderId="4" xfId="17" applyNumberFormat="1" applyFont="1" applyAlignment="1">
      <alignment readingOrder="2"/>
    </xf>
    <xf numFmtId="9" fontId="1" fillId="3" borderId="4" xfId="17" applyNumberFormat="1" applyFont="1" applyAlignment="1">
      <alignment horizontal="left" readingOrder="2"/>
    </xf>
    <xf numFmtId="0" fontId="10" fillId="0" borderId="0" xfId="15" applyFont="1" applyAlignment="1">
      <alignment horizontal="left" indent="1" readingOrder="2"/>
    </xf>
    <xf numFmtId="0" fontId="0" fillId="0" borderId="0" xfId="0" applyFont="1" applyFill="1" applyBorder="1" applyAlignment="1">
      <alignment horizontal="left" indent="1" readingOrder="2"/>
    </xf>
    <xf numFmtId="0" fontId="13" fillId="2" borderId="0" xfId="8" applyFont="1" applyAlignment="1">
      <alignment horizontal="left" vertical="center" indent="1" readingOrder="2"/>
    </xf>
    <xf numFmtId="0" fontId="13" fillId="2" borderId="0" xfId="8" applyFont="1" applyAlignment="1">
      <alignment vertical="center" readingOrder="2"/>
    </xf>
    <xf numFmtId="42" fontId="14" fillId="2" borderId="0" xfId="9" applyNumberFormat="1" applyFont="1" applyFill="1" applyAlignment="1">
      <alignment horizontal="left" vertical="center" indent="1" readingOrder="2"/>
    </xf>
    <xf numFmtId="9" fontId="14" fillId="2" borderId="0" xfId="10" applyFont="1" applyFill="1" applyAlignment="1">
      <alignment horizontal="left" vertical="center" indent="1" readingOrder="2"/>
    </xf>
    <xf numFmtId="42" fontId="14" fillId="2" borderId="0" xfId="9" applyFont="1" applyFill="1" applyAlignment="1">
      <alignment horizontal="left" vertical="center" indent="1" readingOrder="2"/>
    </xf>
    <xf numFmtId="0" fontId="1" fillId="0" borderId="0" xfId="11" applyFont="1" applyAlignment="1">
      <alignment horizontal="left" wrapText="1" indent="1" readingOrder="2"/>
    </xf>
    <xf numFmtId="0" fontId="0" fillId="0" borderId="0" xfId="11" applyFont="1" applyAlignment="1">
      <alignment horizontal="left" wrapText="1" indent="1" readingOrder="2"/>
    </xf>
    <xf numFmtId="0" fontId="1" fillId="0" borderId="0" xfId="11" applyFont="1" applyFill="1" applyBorder="1" applyAlignment="1">
      <alignment horizontal="left" wrapText="1" indent="1" readingOrder="2"/>
    </xf>
    <xf numFmtId="0" fontId="0" fillId="0" borderId="0" xfId="11" applyFont="1" applyFill="1" applyBorder="1" applyAlignment="1">
      <alignment horizontal="left" wrapText="1" indent="1" readingOrder="2"/>
    </xf>
  </cellXfs>
  <cellStyles count="55">
    <cellStyle name="20% - הדגשה1" xfId="32" builtinId="30" customBuiltin="1"/>
    <cellStyle name="20% - הדגשה2" xfId="36" builtinId="34" customBuiltin="1"/>
    <cellStyle name="20% - הדגשה3" xfId="40" builtinId="38" customBuiltin="1"/>
    <cellStyle name="20% - הדגשה4" xfId="44" builtinId="42" customBuiltin="1"/>
    <cellStyle name="20% - הדגשה5" xfId="48" builtinId="46" customBuiltin="1"/>
    <cellStyle name="20% - הדגשה6" xfId="52" builtinId="50" customBuiltin="1"/>
    <cellStyle name="40% - הדגשה1" xfId="33" builtinId="31" customBuiltin="1"/>
    <cellStyle name="40% - הדגשה2" xfId="37" builtinId="35" customBuiltin="1"/>
    <cellStyle name="40% - הדגשה3" xfId="41" builtinId="39" customBuiltin="1"/>
    <cellStyle name="40% - הדגשה4" xfId="45" builtinId="43" customBuiltin="1"/>
    <cellStyle name="40% - הדגשה5" xfId="49" builtinId="47" customBuiltin="1"/>
    <cellStyle name="40% - הדגשה6" xfId="53" builtinId="51" customBuiltin="1"/>
    <cellStyle name="60% - הדגשה1" xfId="34" builtinId="32" customBuiltin="1"/>
    <cellStyle name="60% - הדגשה2" xfId="38" builtinId="36" customBuiltin="1"/>
    <cellStyle name="60% - הדגשה3" xfId="42" builtinId="40" customBuiltin="1"/>
    <cellStyle name="60% - הדגשה4" xfId="46" builtinId="44" customBuiltin="1"/>
    <cellStyle name="60% - הדגשה5" xfId="50" builtinId="48" customBuiltin="1"/>
    <cellStyle name="60% - הדגשה6" xfId="54" builtinId="52" customBuiltin="1"/>
    <cellStyle name="Comma" xfId="4" builtinId="3" customBuiltin="1"/>
    <cellStyle name="Currency" xfId="19" builtinId="4" customBuiltin="1"/>
    <cellStyle name="Normal" xfId="0" builtinId="0" customBuiltin="1"/>
    <cellStyle name="Percent" xfId="1" builtinId="5" customBuiltin="1"/>
    <cellStyle name="אחוז הרווח" xfId="10"/>
    <cellStyle name="הדגשה1" xfId="31" builtinId="29" customBuiltin="1"/>
    <cellStyle name="הדגשה2" xfId="35" builtinId="33" customBuiltin="1"/>
    <cellStyle name="הדגשה3" xfId="39" builtinId="37" customBuiltin="1"/>
    <cellStyle name="הדגשה4" xfId="43" builtinId="41" customBuiltin="1"/>
    <cellStyle name="הדגשה5" xfId="47" builtinId="45" customBuiltin="1"/>
    <cellStyle name="הדגשה6" xfId="51" builtinId="49" customBuiltin="1"/>
    <cellStyle name="הערה" xfId="7" builtinId="10" customBuiltin="1"/>
    <cellStyle name="חישוב" xfId="25" builtinId="22" customBuiltin="1"/>
    <cellStyle name="טוב" xfId="20" builtinId="26" customBuiltin="1"/>
    <cellStyle name="טקסט אזהרה" xfId="28" builtinId="11" customBuiltin="1"/>
    <cellStyle name="טקסט הסברי" xfId="29" builtinId="53" customBuiltin="1"/>
    <cellStyle name="כותרת" xfId="2" builtinId="15" customBuiltin="1"/>
    <cellStyle name="כותרת 1" xfId="3" builtinId="16" customBuiltin="1"/>
    <cellStyle name="כותרת 2" xfId="12" builtinId="17" customBuiltin="1"/>
    <cellStyle name="כותרת 3" xfId="13" builtinId="18" customBuiltin="1"/>
    <cellStyle name="כותרת 4" xfId="14" builtinId="19" customBuiltin="1"/>
    <cellStyle name="כותרת טבלה 1" xfId="15"/>
    <cellStyle name="מטבע [0]" xfId="6" builtinId="7" customBuiltin="1"/>
    <cellStyle name="מילוי הוצאות" xfId="18"/>
    <cellStyle name="מילוי הכנסות" xfId="16"/>
    <cellStyle name="מילוי עלות מכירות" xfId="17"/>
    <cellStyle name="ניטראלי" xfId="22" builtinId="28" customBuiltin="1"/>
    <cellStyle name="סה&quot;כ" xfId="30" builtinId="25" customBuiltin="1"/>
    <cellStyle name="סכום הרווחים" xfId="9"/>
    <cellStyle name="פלט" xfId="24" builtinId="21" customBuiltin="1"/>
    <cellStyle name="פסיק [0]" xfId="5" builtinId="6" customBuiltin="1"/>
    <cellStyle name="פרטי טבלה" xfId="11"/>
    <cellStyle name="קלט" xfId="23" builtinId="20" customBuiltin="1"/>
    <cellStyle name="רווח" xfId="8"/>
    <cellStyle name="רע" xfId="21" builtinId="27" customBuiltin="1"/>
    <cellStyle name="תא מסומן" xfId="27" builtinId="23" customBuiltin="1"/>
    <cellStyle name="תא מקושר" xfId="26" builtinId="24" customBuiltin="1"/>
  </cellStyles>
  <dxfs count="1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32" formatCode="_ &quot;₪&quot;\ * #,##0_ ;_ &quot;₪&quot;\ * \-#,##0_ ;_ &quot;₪&quot;\ * &quot;-&quot;_ ;_ @_ 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solid">
          <fgColor indexed="64"/>
          <bgColor theme="5" tint="0.3999450666829432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solid">
          <fgColor indexed="64"/>
          <bgColor theme="5" tint="0.39994506668294322"/>
        </patternFill>
      </fill>
      <alignment horizontal="center" vertical="bottom" textRotation="0" wrapText="0" indent="0" justifyLastLine="0" shrinkToFit="0" readingOrder="2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numFmt numFmtId="32" formatCode="_ &quot;₪&quot;\ * #,##0_ ;_ &quot;₪&quot;\ * \-#,##0_ ;_ &quot;₪&quot;\ * &quot;-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0" formatCode="General"/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2"/>
    </dxf>
    <dxf>
      <alignment horizontal="left" vertical="bottom" textRotation="0" wrapText="1" indent="1" justifyLastLine="0" shrinkToFit="0" readingOrder="0"/>
    </dxf>
    <dxf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רווח והפסד - הכנסות" defaultPivotStyle="PivotStyleLight16">
    <tableStyle name="רווח והפסד - הוצאות" pivot="0" count="5">
      <tableStyleElement type="wholeTable" dxfId="197"/>
      <tableStyleElement type="headerRow" dxfId="196"/>
      <tableStyleElement type="totalRow" dxfId="195"/>
      <tableStyleElement type="firstRowStripe" dxfId="194"/>
      <tableStyleElement type="secondRowStripe" dxfId="193"/>
    </tableStyle>
    <tableStyle name="רווח והפסד - הכנסות" pivot="0" count="5">
      <tableStyleElement type="wholeTable" dxfId="192"/>
      <tableStyleElement type="headerRow" dxfId="191"/>
      <tableStyleElement type="totalRow" dxfId="190"/>
      <tableStyleElement type="firstRowStripe" dxfId="189"/>
      <tableStyleElement type="secondRowStripe" dxfId="188"/>
    </tableStyle>
    <tableStyle name="רווח והפסד - מכירות" pivot="0" count="5">
      <tableStyleElement type="wholeTable" dxfId="187"/>
      <tableStyleElement type="headerRow" dxfId="186"/>
      <tableStyleElement type="totalRow" dxfId="185"/>
      <tableStyleElement type="firstRowStripe" dxfId="184"/>
      <tableStyleElement type="secondRowStripe" dxfId="1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id="3" name="הכנסה" displayName="הכנסה" ref="B4:AD12" totalsRowCount="1" headerRowDxfId="182" dataDxfId="181" totalsRowDxfId="180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הכנסות (מכירות)" totalsRowLabel="סה&quot;כ מכירות" dataDxfId="179" totalsRowDxfId="178" dataCellStyle="פרטי טבלה"/>
    <tableColumn id="29" name="מגמה" dataDxfId="177" totalsRowDxfId="176" dataCellStyle="מילוי הכנסות"/>
    <tableColumn id="2" name="ינו" totalsRowFunction="sum" dataDxfId="175" totalsRowDxfId="174" dataCellStyle="מטבע [0]"/>
    <tableColumn id="3" name="פבר" totalsRowFunction="sum" dataDxfId="173" totalsRowDxfId="172" dataCellStyle="מטבע [0]"/>
    <tableColumn id="4" name="מרץ" totalsRowFunction="sum" dataDxfId="171" totalsRowDxfId="170" dataCellStyle="מטבע [0]"/>
    <tableColumn id="5" name="אפר" totalsRowFunction="sum" dataDxfId="169" totalsRowDxfId="168" dataCellStyle="מטבע [0]"/>
    <tableColumn id="6" name="מאי" totalsRowFunction="sum" dataDxfId="167" totalsRowDxfId="166" dataCellStyle="מטבע [0]"/>
    <tableColumn id="7" name="יונ" totalsRowFunction="sum" dataDxfId="165" totalsRowDxfId="164" dataCellStyle="מטבע [0]"/>
    <tableColumn id="8" name="יול" totalsRowFunction="sum" dataDxfId="163" totalsRowDxfId="162" dataCellStyle="מטבע [0]"/>
    <tableColumn id="9" name="אוג" totalsRowFunction="sum" dataDxfId="161" totalsRowDxfId="160" dataCellStyle="מטבע [0]"/>
    <tableColumn id="10" name="ספט" totalsRowFunction="sum" dataDxfId="159" totalsRowDxfId="158" dataCellStyle="מטבע [0]"/>
    <tableColumn id="11" name="אוק" totalsRowFunction="sum" dataDxfId="157" totalsRowDxfId="156" dataCellStyle="מטבע [0]"/>
    <tableColumn id="12" name="נוב" totalsRowFunction="sum" dataDxfId="155" totalsRowDxfId="154" dataCellStyle="מטבע [0]"/>
    <tableColumn id="13" name="דצמ" totalsRowFunction="sum" dataDxfId="153" totalsRowDxfId="152" dataCellStyle="מטבע [0]"/>
    <tableColumn id="14" name="שנתי" totalsRowFunction="sum" dataDxfId="151" totalsRowDxfId="150" dataCellStyle="מטבע [0]">
      <calculatedColumnFormula>SUM(הכנסה[[#This Row],[ינו]:[דצמ]])</calculatedColumnFormula>
    </tableColumn>
    <tableColumn id="15" name="% מדד" totalsRowFunction="sum" dataDxfId="149" totalsRowDxfId="148" dataCellStyle="Percent"/>
    <tableColumn id="16" name="% ינו" totalsRowFunction="sum" dataDxfId="147" totalsRowDxfId="146" dataCellStyle="Percent">
      <calculatedColumnFormula>IFERROR(הכנסה[[#This Row],[ינו]]/הכנסה[[#Totals],[ינו]],"-")</calculatedColumnFormula>
    </tableColumn>
    <tableColumn id="17" name="% פבר" totalsRowFunction="sum" dataDxfId="145" totalsRowDxfId="144" dataCellStyle="Percent">
      <calculatedColumnFormula>IFERROR(הכנסה[[#This Row],[פבר]]/הכנסה[[#Totals],[פבר]],"-")</calculatedColumnFormula>
    </tableColumn>
    <tableColumn id="18" name="% מרץ" totalsRowFunction="sum" dataDxfId="143" totalsRowDxfId="142" dataCellStyle="Percent">
      <calculatedColumnFormula>IFERROR(הכנסה[[#This Row],[מרץ]]/הכנסה[[#Totals],[מרץ]],"-")</calculatedColumnFormula>
    </tableColumn>
    <tableColumn id="19" name="% אפר" totalsRowFunction="sum" dataDxfId="141" totalsRowDxfId="140" dataCellStyle="Percent">
      <calculatedColumnFormula>IFERROR(הכנסה[[#This Row],[אפר]]/הכנסה[[#Totals],[אפר]],"-")</calculatedColumnFormula>
    </tableColumn>
    <tableColumn id="20" name="% מאי" totalsRowFunction="sum" dataDxfId="139" totalsRowDxfId="138" dataCellStyle="Percent">
      <calculatedColumnFormula>IFERROR(הכנסה[[#This Row],[מאי]]/הכנסה[[#Totals],[מאי]],"-")</calculatedColumnFormula>
    </tableColumn>
    <tableColumn id="21" name="% יונ" totalsRowFunction="sum" dataDxfId="137" totalsRowDxfId="136" dataCellStyle="Percent">
      <calculatedColumnFormula>IFERROR(הכנסה[[#This Row],[יונ]]/הכנסה[[#Totals],[יונ]],"-")</calculatedColumnFormula>
    </tableColumn>
    <tableColumn id="22" name="% יול" totalsRowFunction="sum" dataDxfId="135" totalsRowDxfId="134" dataCellStyle="Percent">
      <calculatedColumnFormula>IFERROR(הכנסה[[#This Row],[יול]]/הכנסה[[#Totals],[יול]],"-")</calculatedColumnFormula>
    </tableColumn>
    <tableColumn id="23" name="% אוג" totalsRowFunction="sum" dataDxfId="133" totalsRowDxfId="132" dataCellStyle="Percent">
      <calculatedColumnFormula>IFERROR(הכנסה[[#This Row],[אוג]]/הכנסה[[#Totals],[אוג]],"-")</calculatedColumnFormula>
    </tableColumn>
    <tableColumn id="24" name="% ספט" totalsRowFunction="sum" dataDxfId="131" totalsRowDxfId="130" dataCellStyle="Percent">
      <calculatedColumnFormula>IFERROR(הכנסה[[#This Row],[ספט]]/הכנסה[[#Totals],[ספט]],"-")</calculatedColumnFormula>
    </tableColumn>
    <tableColumn id="25" name="% אוק" totalsRowFunction="sum" dataDxfId="129" totalsRowDxfId="128" dataCellStyle="Percent">
      <calculatedColumnFormula>IFERROR(הכנסה[[#This Row],[אוק]]/הכנסה[[#Totals],[אוק]],"-")</calculatedColumnFormula>
    </tableColumn>
    <tableColumn id="26" name="% נוב" totalsRowFunction="sum" dataDxfId="127" totalsRowDxfId="126" dataCellStyle="Percent">
      <calculatedColumnFormula>IFERROR(הכנסה[[#This Row],[נוב]]/הכנסה[[#Totals],[נוב]],"-")</calculatedColumnFormula>
    </tableColumn>
    <tableColumn id="27" name="% דצמ" totalsRowFunction="sum" dataDxfId="125" totalsRowDxfId="124" dataCellStyle="Percent">
      <calculatedColumnFormula>IFERROR(הכנסה[[#This Row],[דצמ]]/הכנסה[[#Totals],[דצמ]],"-")</calculatedColumnFormula>
    </tableColumn>
    <tableColumn id="28" name="% בשנה" totalsRowFunction="sum" dataDxfId="123" totalsRowDxfId="122" dataCellStyle="Percent">
      <calculatedColumnFormula>IFERROR(הכנסה[[#This Row],[שנתי]]/הכנסה[[#Totals],[שנתי]],"-")</calculatedColumnFormula>
    </tableColumn>
  </tableColumns>
  <tableStyleInfo name="רווח והפסד - הכנסות" showFirstColumn="0" showLastColumn="0" showRowStripes="1" showColumnStripes="0"/>
  <extLst>
    <ext xmlns:x14="http://schemas.microsoft.com/office/spreadsheetml/2009/9/main" uri="{504A1905-F514-4f6f-8877-14C23A59335A}">
      <x14:table altTextSummary="סיכום המכירות החודשיות, הסה&quot;כ השנתי והאחוז החודשי עבור כל פריט הכנסה"/>
    </ext>
  </extLst>
</table>
</file>

<file path=xl/tables/table22.xml><?xml version="1.0" encoding="utf-8"?>
<table xmlns="http://schemas.openxmlformats.org/spreadsheetml/2006/main" id="2" name="עלותמכירות" displayName="עלותמכירות" ref="B4:AD12" totalsRowCount="1" headerRowDxfId="121" dataDxfId="120" totalsRowDxfId="119">
  <tableColumns count="29">
    <tableColumn id="1" name="עלות מכירות" totalsRowLabel="סה&quot;כ עלות מכירות" dataDxfId="118" totalsRowDxfId="117"/>
    <tableColumn id="2" name="מגמה" dataDxfId="116" totalsRowDxfId="115"/>
    <tableColumn id="3" name="ינו" totalsRowFunction="sum" dataDxfId="114" totalsRowDxfId="113"/>
    <tableColumn id="4" name="פבר" totalsRowFunction="sum" dataDxfId="112" totalsRowDxfId="111"/>
    <tableColumn id="5" name="מרץ" totalsRowFunction="sum" dataDxfId="110" totalsRowDxfId="109"/>
    <tableColumn id="6" name="אפר" totalsRowFunction="sum" dataDxfId="108" totalsRowDxfId="107"/>
    <tableColumn id="7" name="מאי" totalsRowFunction="sum" dataDxfId="106" totalsRowDxfId="105"/>
    <tableColumn id="8" name="יונ" totalsRowFunction="sum" dataDxfId="104" totalsRowDxfId="103"/>
    <tableColumn id="9" name="יול" totalsRowFunction="sum" dataDxfId="102" totalsRowDxfId="101"/>
    <tableColumn id="10" name="אוג" totalsRowFunction="sum" dataDxfId="100" totalsRowDxfId="99"/>
    <tableColumn id="11" name="ספט" totalsRowFunction="sum" dataDxfId="98" totalsRowDxfId="97"/>
    <tableColumn id="12" name="אוק" totalsRowFunction="sum" dataDxfId="96" totalsRowDxfId="95"/>
    <tableColumn id="13" name="נוב" totalsRowFunction="sum" dataDxfId="94" totalsRowDxfId="93"/>
    <tableColumn id="14" name="דצמ" totalsRowFunction="sum" dataDxfId="92" totalsRowDxfId="91"/>
    <tableColumn id="15" name="שנתי" totalsRowFunction="sum" dataDxfId="90" totalsRowDxfId="89">
      <calculatedColumnFormula>SUM(עלותמכירות[[#This Row],[ינו]:[דצמ]])</calculatedColumnFormula>
    </tableColumn>
    <tableColumn id="16" name="% מדד" totalsRowFunction="sum" dataDxfId="88" totalsRowDxfId="87"/>
    <tableColumn id="17" name="% ינו" totalsRowFunction="sum" dataDxfId="86" totalsRowDxfId="85">
      <calculatedColumnFormula>IFERROR(עלותמכירות[[#This Row],[ינו]]/עלותמכירות[[#Totals],[ינו]],"-")</calculatedColumnFormula>
    </tableColumn>
    <tableColumn id="18" name="% פבר" totalsRowFunction="sum" dataDxfId="84" totalsRowDxfId="83">
      <calculatedColumnFormula>IFERROR(עלותמכירות[[#This Row],[פבר]]/עלותמכירות[[#Totals],[פבר]],"-")</calculatedColumnFormula>
    </tableColumn>
    <tableColumn id="19" name="% מרץ" totalsRowFunction="sum" dataDxfId="82" totalsRowDxfId="81">
      <calculatedColumnFormula>IFERROR(עלותמכירות[[#This Row],[מרץ]]/עלותמכירות[[#Totals],[מרץ]],"-")</calculatedColumnFormula>
    </tableColumn>
    <tableColumn id="20" name="% אפר" totalsRowFunction="sum" dataDxfId="80" totalsRowDxfId="79">
      <calculatedColumnFormula>IFERROR(עלותמכירות[[#This Row],[אפר]]/עלותמכירות[[#Totals],[אפר]],"-")</calculatedColumnFormula>
    </tableColumn>
    <tableColumn id="21" name="% מאי" totalsRowFunction="sum" dataDxfId="78" totalsRowDxfId="77">
      <calculatedColumnFormula>IFERROR(עלותמכירות[[#This Row],[מאי]]/עלותמכירות[[#Totals],[מאי]],"-")</calculatedColumnFormula>
    </tableColumn>
    <tableColumn id="22" name="% יונ" totalsRowFunction="sum" dataDxfId="76" totalsRowDxfId="75">
      <calculatedColumnFormula>IFERROR(עלותמכירות[[#This Row],[יונ]]/עלותמכירות[[#Totals],[יונ]],"-")</calculatedColumnFormula>
    </tableColumn>
    <tableColumn id="23" name="% יול" totalsRowFunction="sum" dataDxfId="74" totalsRowDxfId="73">
      <calculatedColumnFormula>IFERROR(עלותמכירות[[#This Row],[יול]]/עלותמכירות[[#Totals],[יול]],"-")</calculatedColumnFormula>
    </tableColumn>
    <tableColumn id="24" name="% אוג" totalsRowFunction="sum" dataDxfId="72" totalsRowDxfId="71">
      <calculatedColumnFormula>IFERROR(עלותמכירות[[#This Row],[אוג]]/עלותמכירות[[#Totals],[אוג]],"-")</calculatedColumnFormula>
    </tableColumn>
    <tableColumn id="25" name="% ספט" totalsRowFunction="sum" dataDxfId="70" totalsRowDxfId="69">
      <calculatedColumnFormula>IFERROR(עלותמכירות[[#This Row],[ספט]]/עלותמכירות[[#Totals],[ספט]],"-")</calculatedColumnFormula>
    </tableColumn>
    <tableColumn id="26" name="% אוק" totalsRowFunction="sum" dataDxfId="68" totalsRowDxfId="67">
      <calculatedColumnFormula>IFERROR(עלותמכירות[[#This Row],[אוק]]/עלותמכירות[[#Totals],[אוק]],"-")</calculatedColumnFormula>
    </tableColumn>
    <tableColumn id="27" name="% נוב" totalsRowFunction="sum" dataDxfId="66" totalsRowDxfId="65">
      <calculatedColumnFormula>IFERROR(עלותמכירות[[#This Row],[נוב]]/עלותמכירות[[#Totals],[נוב]],"-")</calculatedColumnFormula>
    </tableColumn>
    <tableColumn id="28" name="% דצמ" totalsRowFunction="sum" dataDxfId="64" totalsRowDxfId="63">
      <calculatedColumnFormula>IFERROR(עלותמכירות[[#This Row],[דצמ]]/עלותמכירות[[#Totals],[דצמ]],"-")</calculatedColumnFormula>
    </tableColumn>
    <tableColumn id="29" name="% בשנה" totalsRowFunction="sum" dataDxfId="62" totalsRowDxfId="61">
      <calculatedColumnFormula>IFERROR(עלותמכירות[[#This Row],[שנתי]]/עלותמכירות[[#Totals],[שנתי]],"-")</calculatedColumnFormula>
    </tableColumn>
  </tableColumns>
  <tableStyleInfo name="רווח והפסד - מכירות" showFirstColumn="0" showLastColumn="0" showRowStripes="1" showColumnStripes="0"/>
  <extLst>
    <ext xmlns:x14="http://schemas.microsoft.com/office/spreadsheetml/2009/9/main" uri="{504A1905-F514-4f6f-8877-14C23A59335A}">
      <x14:table altTextSummary="סיכום עלות המכירות, הסה&quot;כ השנתי והאחוז החודשי עבור כל פריט עלות"/>
    </ext>
  </extLst>
</table>
</file>

<file path=xl/tables/table31.xml><?xml version="1.0" encoding="utf-8"?>
<table xmlns="http://schemas.openxmlformats.org/spreadsheetml/2006/main" id="8" name="tblExpenses" displayName="tblExpenses" ref="B4:AD24" totalsRowCount="1" headerRowDxfId="60" dataDxfId="59" totalsRowDxfId="58">
  <tableColumns count="29">
    <tableColumn id="1" name="הוצאות" totalsRowLabel="סה&quot;כ הוצאות" dataDxfId="57" totalsRowDxfId="56"/>
    <tableColumn id="2" name="מגמה" totalsRowLabel=" " dataDxfId="55" totalsRowDxfId="54"/>
    <tableColumn id="3" name="עמודה1" totalsRowFunction="sum" dataDxfId="53" totalsRowDxfId="52"/>
    <tableColumn id="4" name="פבר" totalsRowFunction="sum" dataDxfId="51" totalsRowDxfId="50"/>
    <tableColumn id="5" name="מרץ" totalsRowFunction="sum" dataDxfId="49" totalsRowDxfId="48"/>
    <tableColumn id="6" name="אפר" totalsRowFunction="sum" dataDxfId="47" totalsRowDxfId="46"/>
    <tableColumn id="7" name="מאי" totalsRowFunction="sum" dataDxfId="45" totalsRowDxfId="44"/>
    <tableColumn id="8" name="יונ" totalsRowFunction="sum" dataDxfId="43" totalsRowDxfId="42"/>
    <tableColumn id="9" name="יול" totalsRowFunction="sum" dataDxfId="41" totalsRowDxfId="40"/>
    <tableColumn id="10" name="אוג" totalsRowFunction="sum" dataDxfId="39" totalsRowDxfId="38"/>
    <tableColumn id="11" name="ספט" totalsRowFunction="sum" dataDxfId="37" totalsRowDxfId="36"/>
    <tableColumn id="12" name="אוק" totalsRowFunction="sum" dataDxfId="35" totalsRowDxfId="34"/>
    <tableColumn id="13" name="נוב" totalsRowFunction="sum" dataDxfId="33" totalsRowDxfId="32"/>
    <tableColumn id="14" name="דצמ" totalsRowFunction="sum" dataDxfId="31" totalsRowDxfId="30"/>
    <tableColumn id="15" name="שנתי" totalsRowFunction="sum" dataDxfId="29" totalsRowDxfId="28">
      <calculatedColumnFormula>SUM(tblExpenses[[#This Row],[עמודה1]:[דצמ]])</calculatedColumnFormula>
    </tableColumn>
    <tableColumn id="16" name="% מדד" totalsRowFunction="sum" dataDxfId="27" totalsRowDxfId="26"/>
    <tableColumn id="17" name="% ינו" totalsRowFunction="sum" dataDxfId="25" totalsRowDxfId="24" dataCellStyle="Percent">
      <calculatedColumnFormula>tblExpenses[[#This Row],[עמודה1]]/tblExpenses[[#Totals],[עמודה1]]</calculatedColumnFormula>
    </tableColumn>
    <tableColumn id="18" name="% פבר" totalsRowFunction="sum" dataDxfId="23" totalsRowDxfId="22" dataCellStyle="Percent">
      <calculatedColumnFormula>tblExpenses[[#This Row],[פבר]]/tblExpenses[[#Totals],[פבר]]</calculatedColumnFormula>
    </tableColumn>
    <tableColumn id="19" name="% מרץ" totalsRowFunction="sum" dataDxfId="21" totalsRowDxfId="20" dataCellStyle="Percent">
      <calculatedColumnFormula>tblExpenses[[#This Row],[מרץ]]/tblExpenses[[#Totals],[מרץ]]</calculatedColumnFormula>
    </tableColumn>
    <tableColumn id="20" name="% אפר" totalsRowFunction="sum" dataDxfId="19" totalsRowDxfId="18" dataCellStyle="Percent">
      <calculatedColumnFormula>tblExpenses[[#This Row],[אפר]]/tblExpenses[[#Totals],[אפר]]</calculatedColumnFormula>
    </tableColumn>
    <tableColumn id="21" name="% מאי" totalsRowFunction="sum" dataDxfId="17" totalsRowDxfId="16" dataCellStyle="Percent">
      <calculatedColumnFormula>tblExpenses[[#This Row],[מאי]]/tblExpenses[[#Totals],[מאי]]</calculatedColumnFormula>
    </tableColumn>
    <tableColumn id="22" name="% יונ" totalsRowFunction="sum" dataDxfId="15" totalsRowDxfId="14" dataCellStyle="Percent">
      <calculatedColumnFormula>tblExpenses[[#This Row],[יונ]]/tblExpenses[[#Totals],[יונ]]</calculatedColumnFormula>
    </tableColumn>
    <tableColumn id="23" name="% יול" totalsRowFunction="sum" dataDxfId="13" totalsRowDxfId="12" dataCellStyle="Percent">
      <calculatedColumnFormula>tblExpenses[[#This Row],[יול]]/tblExpenses[[#Totals],[יול]]</calculatedColumnFormula>
    </tableColumn>
    <tableColumn id="24" name="% אוג" totalsRowFunction="sum" dataDxfId="11" totalsRowDxfId="10" dataCellStyle="Percent">
      <calculatedColumnFormula>tblExpenses[[#This Row],[אוג]]/tblExpenses[[#Totals],[אוג]]</calculatedColumnFormula>
    </tableColumn>
    <tableColumn id="25" name="% ספט" totalsRowFunction="sum" dataDxfId="9" totalsRowDxfId="8" dataCellStyle="Percent">
      <calculatedColumnFormula>tblExpenses[[#This Row],[ספט]]/tblExpenses[[#Totals],[ספט]]</calculatedColumnFormula>
    </tableColumn>
    <tableColumn id="26" name="% אוק" totalsRowFunction="sum" dataDxfId="7" totalsRowDxfId="6" dataCellStyle="Percent">
      <calculatedColumnFormula>tblExpenses[[#This Row],[אוק]]/tblExpenses[[#Totals],[אוק]]</calculatedColumnFormula>
    </tableColumn>
    <tableColumn id="27" name="% נוב" totalsRowFunction="sum" dataDxfId="5" totalsRowDxfId="4" dataCellStyle="Percent">
      <calculatedColumnFormula>tblExpenses[[#This Row],[נוב]]/tblExpenses[[#Totals],[נוב]]</calculatedColumnFormula>
    </tableColumn>
    <tableColumn id="28" name="% דצמ" totalsRowFunction="sum" dataDxfId="3" totalsRowDxfId="2" dataCellStyle="Percent">
      <calculatedColumnFormula>tblExpenses[[#This Row],[דצמ]]/tblExpenses[[#Totals],[דצמ]]</calculatedColumnFormula>
    </tableColumn>
    <tableColumn id="29" name="% בשנה" totalsRowFunction="sum" dataDxfId="1" totalsRowDxfId="0" dataCellStyle="Percent">
      <calculatedColumnFormula>tblExpenses[[#This Row],[שנתי]]/tblExpenses[[#Totals],[שנתי]]</calculatedColumnFormula>
    </tableColumn>
  </tableColumns>
  <tableStyleInfo name="רווח והפסד - הוצאות" showFirstColumn="0" showLastColumn="0" showRowStripes="1" showColumnStripes="0"/>
  <extLst>
    <ext xmlns:x14="http://schemas.microsoft.com/office/spreadsheetml/2009/9/main" uri="{504A1905-F514-4f6f-8877-14C23A59335A}">
      <x14:table altTextSummary="סיכום ההוצאות, הסה&quot;כ השנתי והאחוז החודשי עבור כל פריט הוצאה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rightToLeft="1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style="7" customWidth="1"/>
    <col min="2" max="2" width="25.25" style="7" customWidth="1"/>
    <col min="3" max="3" width="12.625" style="7" customWidth="1"/>
    <col min="4" max="15" width="10" style="7" customWidth="1"/>
    <col min="16" max="16" width="11.875" style="7" customWidth="1"/>
    <col min="17" max="29" width="7.75" style="7" customWidth="1"/>
    <col min="30" max="30" width="9.875" style="7" customWidth="1"/>
    <col min="31" max="31" width="2.625" style="7" customWidth="1"/>
    <col min="32" max="16384" width="9" style="7"/>
  </cols>
  <sheetData>
    <row r="1" spans="1:30" ht="35.1" customHeight="1" x14ac:dyDescent="0.2">
      <c r="A1" s="5"/>
      <c r="B1" s="6" t="s">
        <v>0</v>
      </c>
      <c r="J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22" t="s">
        <v>39</v>
      </c>
    </row>
    <row r="2" spans="1:30" ht="60" customHeight="1" x14ac:dyDescent="0.2">
      <c r="B2" s="10" t="s">
        <v>1</v>
      </c>
      <c r="E2" s="11"/>
      <c r="G2" s="11"/>
      <c r="K2" s="11"/>
      <c r="L2" s="11"/>
      <c r="M2" s="11"/>
      <c r="N2" s="11"/>
      <c r="O2" s="11"/>
      <c r="X2" s="12"/>
      <c r="Y2" s="12"/>
      <c r="Z2" s="12"/>
      <c r="AA2" s="12"/>
      <c r="AB2" s="24" t="s">
        <v>36</v>
      </c>
      <c r="AC2" s="24" t="s">
        <v>12</v>
      </c>
      <c r="AD2" s="23">
        <f ca="1">YEAR(TODAY())</f>
        <v>2017</v>
      </c>
    </row>
    <row r="3" spans="1:30" ht="20.100000000000001" customHeight="1" x14ac:dyDescent="0.2">
      <c r="D3" s="31" t="str">
        <f ca="1">UPPER(TEXT(DATE(FYStartYear,FYMonthNo,1),"mmm-yy"))</f>
        <v>ינו-17</v>
      </c>
      <c r="E3" s="31" t="str">
        <f ca="1">UPPER(TEXT(DATE(FYStartYear,FYMonthNo+1,1),"mmm-yy"))</f>
        <v>פבר-17</v>
      </c>
      <c r="F3" s="31" t="str">
        <f ca="1">UPPER(TEXT(DATE(FYStartYear,FYMonthNo+2,1),"mmm-yy"))</f>
        <v>מרץ-17</v>
      </c>
      <c r="G3" s="31" t="str">
        <f ca="1">UPPER(TEXT(DATE(FYStartYear,FYMonthNo+3,1),"mmm-yy"))</f>
        <v>אפר-17</v>
      </c>
      <c r="H3" s="31" t="str">
        <f ca="1">UPPER(TEXT(DATE(FYStartYear,FYMonthNo+4,1),"mmm-yy"))</f>
        <v>מאי-17</v>
      </c>
      <c r="I3" s="31" t="str">
        <f ca="1">UPPER(TEXT(DATE(FYStartYear,FYMonthNo+5,1),"mmm-yy"))</f>
        <v>יונ-17</v>
      </c>
      <c r="J3" s="31" t="str">
        <f ca="1">UPPER(TEXT(DATE(FYStartYear,FYMonthNo+6,1),"mmm-yy"))</f>
        <v>יול-17</v>
      </c>
      <c r="K3" s="31" t="str">
        <f ca="1">UPPER(TEXT(DATE(FYStartYear,FYMonthNo+7,1),"mmm-yy"))</f>
        <v>אוג-17</v>
      </c>
      <c r="L3" s="31" t="str">
        <f ca="1">UPPER(TEXT(DATE(FYStartYear,FYMonthNo+8,1),"mmm-yy"))</f>
        <v>ספט-17</v>
      </c>
      <c r="M3" s="31" t="str">
        <f ca="1">UPPER(TEXT(DATE(FYStartYear,FYMonthNo+9,1),"mmm-yy"))</f>
        <v>אוק-17</v>
      </c>
      <c r="N3" s="31" t="str">
        <f ca="1">UPPER(TEXT(DATE(FYStartYear,FYMonthNo+10,1),"mmm-yy"))</f>
        <v>נוב-17</v>
      </c>
      <c r="O3" s="31" t="str">
        <f ca="1">UPPER(TEXT(DATE(FYStartYear,FYMonthNo+11,1),"mmm-yy"))</f>
        <v>דצמ-17</v>
      </c>
      <c r="P3" s="13" t="s">
        <v>24</v>
      </c>
      <c r="Q3" s="13" t="s">
        <v>25</v>
      </c>
      <c r="R3" s="13" t="str">
        <f ca="1">LEFT(D3,3)&amp;" %"</f>
        <v>ינו %</v>
      </c>
      <c r="S3" s="13" t="str">
        <f t="shared" ref="S3:AC3" ca="1" si="0">LEFT(E3,3)&amp;" %"</f>
        <v>פבר %</v>
      </c>
      <c r="T3" s="13" t="str">
        <f t="shared" ca="1" si="0"/>
        <v>מרץ %</v>
      </c>
      <c r="U3" s="13" t="str">
        <f t="shared" ca="1" si="0"/>
        <v>אפר %</v>
      </c>
      <c r="V3" s="13" t="str">
        <f t="shared" ca="1" si="0"/>
        <v>מאי %</v>
      </c>
      <c r="W3" s="13" t="str">
        <f t="shared" ca="1" si="0"/>
        <v>יונ %</v>
      </c>
      <c r="X3" s="13" t="str">
        <f t="shared" ca="1" si="0"/>
        <v>יול %</v>
      </c>
      <c r="Y3" s="13" t="str">
        <f t="shared" ca="1" si="0"/>
        <v>אוג %</v>
      </c>
      <c r="Z3" s="13" t="str">
        <f t="shared" ca="1" si="0"/>
        <v>ספט %</v>
      </c>
      <c r="AA3" s="13" t="str">
        <f t="shared" ca="1" si="0"/>
        <v>אוק %</v>
      </c>
      <c r="AB3" s="13" t="str">
        <f t="shared" ca="1" si="0"/>
        <v>נוב %</v>
      </c>
      <c r="AC3" s="13" t="str">
        <f t="shared" ca="1" si="0"/>
        <v>דצמ %</v>
      </c>
      <c r="AD3" s="13" t="s">
        <v>40</v>
      </c>
    </row>
    <row r="4" spans="1:30" ht="30" customHeight="1" x14ac:dyDescent="0.2">
      <c r="B4" s="39" t="s">
        <v>2</v>
      </c>
      <c r="C4" s="39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17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24</v>
      </c>
      <c r="Q4" s="15" t="s">
        <v>25</v>
      </c>
      <c r="R4" s="15" t="s">
        <v>26</v>
      </c>
      <c r="S4" s="15" t="s">
        <v>27</v>
      </c>
      <c r="T4" s="15" t="s">
        <v>28</v>
      </c>
      <c r="U4" s="15" t="s">
        <v>29</v>
      </c>
      <c r="V4" s="15" t="s">
        <v>30</v>
      </c>
      <c r="W4" s="15" t="s">
        <v>31</v>
      </c>
      <c r="X4" s="15" t="s">
        <v>32</v>
      </c>
      <c r="Y4" s="15" t="s">
        <v>33</v>
      </c>
      <c r="Z4" s="15" t="s">
        <v>34</v>
      </c>
      <c r="AA4" s="15" t="s">
        <v>35</v>
      </c>
      <c r="AB4" s="15" t="s">
        <v>37</v>
      </c>
      <c r="AC4" s="15" t="s">
        <v>38</v>
      </c>
      <c r="AD4" s="14" t="s">
        <v>40</v>
      </c>
    </row>
    <row r="5" spans="1:30" ht="30" customHeight="1" x14ac:dyDescent="0.2">
      <c r="B5" s="35" t="s">
        <v>3</v>
      </c>
      <c r="C5" s="16"/>
      <c r="D5" s="32">
        <v>186</v>
      </c>
      <c r="E5" s="32">
        <v>108</v>
      </c>
      <c r="F5" s="32">
        <v>92</v>
      </c>
      <c r="G5" s="32">
        <v>122</v>
      </c>
      <c r="H5" s="32">
        <v>190</v>
      </c>
      <c r="I5" s="32">
        <v>71</v>
      </c>
      <c r="J5" s="32">
        <v>21</v>
      </c>
      <c r="K5" s="32">
        <v>37</v>
      </c>
      <c r="L5" s="32">
        <v>24</v>
      </c>
      <c r="M5" s="32">
        <v>178</v>
      </c>
      <c r="N5" s="32">
        <v>92</v>
      </c>
      <c r="O5" s="32">
        <v>97</v>
      </c>
      <c r="P5" s="33">
        <f>SUM(הכנסה[[#This Row],[ינו]:[דצמ]])</f>
        <v>1218</v>
      </c>
      <c r="Q5" s="25">
        <v>0.12</v>
      </c>
      <c r="R5" s="26">
        <f>IFERROR(הכנסה[[#This Row],[ינו]]/הכנסה[[#Totals],[ינו]],"-")</f>
        <v>0.29807692307692307</v>
      </c>
      <c r="S5" s="26">
        <f>IFERROR(הכנסה[[#This Row],[פבר]]/הכנסה[[#Totals],[פבר]],"-")</f>
        <v>0.14673913043478262</v>
      </c>
      <c r="T5" s="26">
        <f>IFERROR(הכנסה[[#This Row],[מרץ]]/הכנסה[[#Totals],[מרץ]],"-")</f>
        <v>0.11219512195121951</v>
      </c>
      <c r="U5" s="26">
        <f>IFERROR(הכנסה[[#This Row],[אפר]]/הכנסה[[#Totals],[אפר]],"-")</f>
        <v>0.19967266775777415</v>
      </c>
      <c r="V5" s="26">
        <f>IFERROR(הכנסה[[#This Row],[מאי]]/הכנסה[[#Totals],[מאי]],"-")</f>
        <v>0.23399014778325122</v>
      </c>
      <c r="W5" s="26">
        <f>IFERROR(הכנסה[[#This Row],[יונ]]/הכנסה[[#Totals],[יונ]],"-")</f>
        <v>0.12283737024221453</v>
      </c>
      <c r="X5" s="26">
        <f>IFERROR(הכנסה[[#This Row],[יול]]/הכנסה[[#Totals],[יול]],"-")</f>
        <v>3.5175879396984924E-2</v>
      </c>
      <c r="Y5" s="26">
        <f>IFERROR(הכנסה[[#This Row],[אוג]]/הכנסה[[#Totals],[אוג]],"-")</f>
        <v>5.4814814814814816E-2</v>
      </c>
      <c r="Z5" s="26">
        <f>IFERROR(הכנסה[[#This Row],[ספט]]/הכנסה[[#Totals],[ספט]],"-")</f>
        <v>3.2258064516129031E-2</v>
      </c>
      <c r="AA5" s="26">
        <f>IFERROR(הכנסה[[#This Row],[אוק]]/הכנסה[[#Totals],[אוק]],"-")</f>
        <v>0.26138032305433184</v>
      </c>
      <c r="AB5" s="26">
        <f>IFERROR(הכנסה[[#This Row],[נוב]]/הכנסה[[#Totals],[נוב]],"-")</f>
        <v>0.12449255751014884</v>
      </c>
      <c r="AC5" s="26">
        <f>IFERROR(הכנסה[[#This Row],[דצמ]]/הכנסה[[#Totals],[דצמ]],"-")</f>
        <v>9.3000958772770856E-2</v>
      </c>
      <c r="AD5" s="26">
        <f>IFERROR(הכנסה[[#This Row],[שנתי]]/הכנסה[[#Totals],[שנתי]],"-")</f>
        <v>0.14064665127020784</v>
      </c>
    </row>
    <row r="6" spans="1:30" ht="30" customHeight="1" x14ac:dyDescent="0.2">
      <c r="B6" s="36" t="s">
        <v>4</v>
      </c>
      <c r="C6" s="16"/>
      <c r="D6" s="32">
        <v>15</v>
      </c>
      <c r="E6" s="32">
        <v>16</v>
      </c>
      <c r="F6" s="32">
        <v>198</v>
      </c>
      <c r="G6" s="32">
        <v>44</v>
      </c>
      <c r="H6" s="32">
        <v>25</v>
      </c>
      <c r="I6" s="32">
        <v>68</v>
      </c>
      <c r="J6" s="32">
        <v>43</v>
      </c>
      <c r="K6" s="32">
        <v>119</v>
      </c>
      <c r="L6" s="32">
        <v>37</v>
      </c>
      <c r="M6" s="32">
        <v>118</v>
      </c>
      <c r="N6" s="32">
        <v>29</v>
      </c>
      <c r="O6" s="32">
        <v>171</v>
      </c>
      <c r="P6" s="33">
        <f>SUM(הכנסה[[#This Row],[ינו]:[דצמ]])</f>
        <v>883</v>
      </c>
      <c r="Q6" s="25">
        <v>0.18</v>
      </c>
      <c r="R6" s="26">
        <f>IFERROR(הכנסה[[#This Row],[ינו]]/הכנסה[[#Totals],[ינו]],"-")</f>
        <v>2.403846153846154E-2</v>
      </c>
      <c r="S6" s="26">
        <f>IFERROR(הכנסה[[#This Row],[פבר]]/הכנסה[[#Totals],[פבר]],"-")</f>
        <v>2.1739130434782608E-2</v>
      </c>
      <c r="T6" s="26">
        <f>IFERROR(הכנסה[[#This Row],[מרץ]]/הכנסה[[#Totals],[מרץ]],"-")</f>
        <v>0.24146341463414633</v>
      </c>
      <c r="U6" s="26">
        <f>IFERROR(הכנסה[[#This Row],[אפר]]/הכנסה[[#Totals],[אפר]],"-")</f>
        <v>7.2013093289689037E-2</v>
      </c>
      <c r="V6" s="26">
        <f>IFERROR(הכנסה[[#This Row],[מאי]]/הכנסה[[#Totals],[מאי]],"-")</f>
        <v>3.0788177339901478E-2</v>
      </c>
      <c r="W6" s="26">
        <f>IFERROR(הכנסה[[#This Row],[יונ]]/הכנסה[[#Totals],[יונ]],"-")</f>
        <v>0.11764705882352941</v>
      </c>
      <c r="X6" s="26">
        <f>IFERROR(הכנסה[[#This Row],[יול]]/הכנסה[[#Totals],[יול]],"-")</f>
        <v>7.2026800670016752E-2</v>
      </c>
      <c r="Y6" s="26">
        <f>IFERROR(הכנסה[[#This Row],[אוג]]/הכנסה[[#Totals],[אוג]],"-")</f>
        <v>0.17629629629629628</v>
      </c>
      <c r="Z6" s="26">
        <f>IFERROR(הכנסה[[#This Row],[ספט]]/הכנסה[[#Totals],[ספט]],"-")</f>
        <v>4.9731182795698922E-2</v>
      </c>
      <c r="AA6" s="26">
        <f>IFERROR(הכנסה[[#This Row],[אוק]]/הכנסה[[#Totals],[אוק]],"-")</f>
        <v>0.17327459618208516</v>
      </c>
      <c r="AB6" s="26">
        <f>IFERROR(הכנסה[[#This Row],[נוב]]/הכנסה[[#Totals],[נוב]],"-")</f>
        <v>3.9242219215155617E-2</v>
      </c>
      <c r="AC6" s="26">
        <f>IFERROR(הכנסה[[#This Row],[דצמ]]/הכנסה[[#Totals],[דצמ]],"-")</f>
        <v>0.16395014381591563</v>
      </c>
      <c r="AD6" s="26">
        <f>IFERROR(הכנסה[[#This Row],[שנתי]]/הכנסה[[#Totals],[שנתי]],"-")</f>
        <v>0.10196304849884527</v>
      </c>
    </row>
    <row r="7" spans="1:30" ht="30" customHeight="1" x14ac:dyDescent="0.2">
      <c r="B7" s="35" t="s">
        <v>5</v>
      </c>
      <c r="C7" s="16"/>
      <c r="D7" s="32">
        <v>166</v>
      </c>
      <c r="E7" s="32">
        <v>185</v>
      </c>
      <c r="F7" s="32">
        <v>89</v>
      </c>
      <c r="G7" s="32">
        <v>170</v>
      </c>
      <c r="H7" s="32">
        <v>131</v>
      </c>
      <c r="I7" s="32">
        <v>70</v>
      </c>
      <c r="J7" s="32">
        <v>50</v>
      </c>
      <c r="K7" s="32">
        <v>149</v>
      </c>
      <c r="L7" s="32">
        <v>179</v>
      </c>
      <c r="M7" s="32">
        <v>104</v>
      </c>
      <c r="N7" s="32">
        <v>119</v>
      </c>
      <c r="O7" s="32">
        <v>187</v>
      </c>
      <c r="P7" s="33">
        <f>SUM(הכנסה[[#This Row],[ינו]:[דצמ]])</f>
        <v>1599</v>
      </c>
      <c r="Q7" s="25">
        <v>0.19</v>
      </c>
      <c r="R7" s="26">
        <f>IFERROR(הכנסה[[#This Row],[ינו]]/הכנסה[[#Totals],[ינו]],"-")</f>
        <v>0.26602564102564102</v>
      </c>
      <c r="S7" s="26">
        <f>IFERROR(הכנסה[[#This Row],[פבר]]/הכנסה[[#Totals],[פבר]],"-")</f>
        <v>0.25135869565217389</v>
      </c>
      <c r="T7" s="26">
        <f>IFERROR(הכנסה[[#This Row],[מרץ]]/הכנסה[[#Totals],[מרץ]],"-")</f>
        <v>0.10853658536585366</v>
      </c>
      <c r="U7" s="26">
        <f>IFERROR(הכנסה[[#This Row],[אפר]]/הכנסה[[#Totals],[אפר]],"-")</f>
        <v>0.27823240589198034</v>
      </c>
      <c r="V7" s="26">
        <f>IFERROR(הכנסה[[#This Row],[מאי]]/הכנסה[[#Totals],[מאי]],"-")</f>
        <v>0.16133004926108374</v>
      </c>
      <c r="W7" s="26">
        <f>IFERROR(הכנסה[[#This Row],[יונ]]/הכנסה[[#Totals],[יונ]],"-")</f>
        <v>0.12110726643598616</v>
      </c>
      <c r="X7" s="26">
        <f>IFERROR(הכנסה[[#This Row],[יול]]/הכנסה[[#Totals],[יול]],"-")</f>
        <v>8.3752093802345065E-2</v>
      </c>
      <c r="Y7" s="26">
        <f>IFERROR(הכנסה[[#This Row],[אוג]]/הכנסה[[#Totals],[אוג]],"-")</f>
        <v>0.22074074074074074</v>
      </c>
      <c r="Z7" s="26">
        <f>IFERROR(הכנסה[[#This Row],[ספט]]/הכנסה[[#Totals],[ספט]],"-")</f>
        <v>0.24059139784946237</v>
      </c>
      <c r="AA7" s="26">
        <f>IFERROR(הכנסה[[#This Row],[אוק]]/הכנסה[[#Totals],[אוק]],"-")</f>
        <v>0.1527165932452276</v>
      </c>
      <c r="AB7" s="26">
        <f>IFERROR(הכנסה[[#This Row],[נוב]]/הכנסה[[#Totals],[נוב]],"-")</f>
        <v>0.16102841677943167</v>
      </c>
      <c r="AC7" s="26">
        <f>IFERROR(הכנסה[[#This Row],[דצמ]]/הכנסה[[#Totals],[דצמ]],"-")</f>
        <v>0.17929050814956854</v>
      </c>
      <c r="AD7" s="26">
        <f>IFERROR(הכנסה[[#This Row],[שנתי]]/הכנסה[[#Totals],[שנתי]],"-")</f>
        <v>0.18464203233256352</v>
      </c>
    </row>
    <row r="8" spans="1:30" ht="30" customHeight="1" x14ac:dyDescent="0.2">
      <c r="B8" s="35" t="s">
        <v>6</v>
      </c>
      <c r="C8" s="16"/>
      <c r="D8" s="32">
        <v>21</v>
      </c>
      <c r="E8" s="32">
        <v>113</v>
      </c>
      <c r="F8" s="32">
        <v>83</v>
      </c>
      <c r="G8" s="32">
        <v>17</v>
      </c>
      <c r="H8" s="32">
        <v>130</v>
      </c>
      <c r="I8" s="32">
        <v>26</v>
      </c>
      <c r="J8" s="32">
        <v>167</v>
      </c>
      <c r="K8" s="32">
        <v>102</v>
      </c>
      <c r="L8" s="32">
        <v>82</v>
      </c>
      <c r="M8" s="32">
        <v>33</v>
      </c>
      <c r="N8" s="32">
        <v>88</v>
      </c>
      <c r="O8" s="32">
        <v>193</v>
      </c>
      <c r="P8" s="33">
        <f>SUM(הכנסה[[#This Row],[ינו]:[דצמ]])</f>
        <v>1055</v>
      </c>
      <c r="Q8" s="25">
        <v>0.11</v>
      </c>
      <c r="R8" s="26">
        <f>IFERROR(הכנסה[[#This Row],[ינו]]/הכנסה[[#Totals],[ינו]],"-")</f>
        <v>3.3653846153846152E-2</v>
      </c>
      <c r="S8" s="26">
        <f>IFERROR(הכנסה[[#This Row],[פבר]]/הכנסה[[#Totals],[פבר]],"-")</f>
        <v>0.15353260869565216</v>
      </c>
      <c r="T8" s="26">
        <f>IFERROR(הכנסה[[#This Row],[מרץ]]/הכנסה[[#Totals],[מרץ]],"-")</f>
        <v>0.10121951219512196</v>
      </c>
      <c r="U8" s="26">
        <f>IFERROR(הכנסה[[#This Row],[אפר]]/הכנסה[[#Totals],[אפר]],"-")</f>
        <v>2.7823240589198037E-2</v>
      </c>
      <c r="V8" s="26">
        <f>IFERROR(הכנסה[[#This Row],[מאי]]/הכנסה[[#Totals],[מאי]],"-")</f>
        <v>0.16009852216748768</v>
      </c>
      <c r="W8" s="26">
        <f>IFERROR(הכנסה[[#This Row],[יונ]]/הכנסה[[#Totals],[יונ]],"-")</f>
        <v>4.4982698961937718E-2</v>
      </c>
      <c r="X8" s="26">
        <f>IFERROR(הכנסה[[#This Row],[יול]]/הכנסה[[#Totals],[יול]],"-")</f>
        <v>0.2797319932998325</v>
      </c>
      <c r="Y8" s="26">
        <f>IFERROR(הכנסה[[#This Row],[אוג]]/הכנסה[[#Totals],[אוג]],"-")</f>
        <v>0.15111111111111111</v>
      </c>
      <c r="Z8" s="26">
        <f>IFERROR(הכנסה[[#This Row],[ספט]]/הכנסה[[#Totals],[ספט]],"-")</f>
        <v>0.11021505376344086</v>
      </c>
      <c r="AA8" s="26">
        <f>IFERROR(הכנסה[[#This Row],[אוק]]/הכנסה[[#Totals],[אוק]],"-")</f>
        <v>4.8458149779735685E-2</v>
      </c>
      <c r="AB8" s="26">
        <f>IFERROR(הכנסה[[#This Row],[נוב]]/הכנסה[[#Totals],[נוב]],"-")</f>
        <v>0.11907983761840325</v>
      </c>
      <c r="AC8" s="26">
        <f>IFERROR(הכנסה[[#This Row],[דצמ]]/הכנסה[[#Totals],[דצמ]],"-")</f>
        <v>0.18504314477468839</v>
      </c>
      <c r="AD8" s="26">
        <f>IFERROR(הכנסה[[#This Row],[שנתי]]/הכנסה[[#Totals],[שנתי]],"-")</f>
        <v>0.12182448036951501</v>
      </c>
    </row>
    <row r="9" spans="1:30" ht="30" customHeight="1" x14ac:dyDescent="0.2">
      <c r="B9" s="35" t="s">
        <v>7</v>
      </c>
      <c r="C9" s="16"/>
      <c r="D9" s="32">
        <v>70</v>
      </c>
      <c r="E9" s="32">
        <v>160</v>
      </c>
      <c r="F9" s="32">
        <v>125</v>
      </c>
      <c r="G9" s="32">
        <v>84</v>
      </c>
      <c r="H9" s="32">
        <v>191</v>
      </c>
      <c r="I9" s="32">
        <v>97</v>
      </c>
      <c r="J9" s="32">
        <v>52</v>
      </c>
      <c r="K9" s="32">
        <v>45</v>
      </c>
      <c r="L9" s="32">
        <v>173</v>
      </c>
      <c r="M9" s="32">
        <v>136</v>
      </c>
      <c r="N9" s="32">
        <v>144</v>
      </c>
      <c r="O9" s="32">
        <v>167</v>
      </c>
      <c r="P9" s="33">
        <f>SUM(הכנסה[[#This Row],[ינו]:[דצמ]])</f>
        <v>1444</v>
      </c>
      <c r="Q9" s="25">
        <v>0.2</v>
      </c>
      <c r="R9" s="26">
        <f>IFERROR(הכנסה[[#This Row],[ינו]]/הכנסה[[#Totals],[ינו]],"-")</f>
        <v>0.11217948717948718</v>
      </c>
      <c r="S9" s="26">
        <f>IFERROR(הכנסה[[#This Row],[פבר]]/הכנסה[[#Totals],[פבר]],"-")</f>
        <v>0.21739130434782608</v>
      </c>
      <c r="T9" s="26">
        <f>IFERROR(הכנסה[[#This Row],[מרץ]]/הכנסה[[#Totals],[מרץ]],"-")</f>
        <v>0.1524390243902439</v>
      </c>
      <c r="U9" s="26">
        <f>IFERROR(הכנסה[[#This Row],[אפר]]/הכנסה[[#Totals],[אפר]],"-")</f>
        <v>0.13747954173486088</v>
      </c>
      <c r="V9" s="26">
        <f>IFERROR(הכנסה[[#This Row],[מאי]]/הכנסה[[#Totals],[מאי]],"-")</f>
        <v>0.23522167487684728</v>
      </c>
      <c r="W9" s="26">
        <f>IFERROR(הכנסה[[#This Row],[יונ]]/הכנסה[[#Totals],[יונ]],"-")</f>
        <v>0.16782006920415224</v>
      </c>
      <c r="X9" s="26">
        <f>IFERROR(הכנסה[[#This Row],[יול]]/הכנסה[[#Totals],[יול]],"-")</f>
        <v>8.7102177554438859E-2</v>
      </c>
      <c r="Y9" s="26">
        <f>IFERROR(הכנסה[[#This Row],[אוג]]/הכנסה[[#Totals],[אוג]],"-")</f>
        <v>6.6666666666666666E-2</v>
      </c>
      <c r="Z9" s="26">
        <f>IFERROR(הכנסה[[#This Row],[ספט]]/הכנסה[[#Totals],[ספט]],"-")</f>
        <v>0.2325268817204301</v>
      </c>
      <c r="AA9" s="26">
        <f>IFERROR(הכנסה[[#This Row],[אוק]]/הכנסה[[#Totals],[אוק]],"-")</f>
        <v>0.19970631424375918</v>
      </c>
      <c r="AB9" s="26">
        <f>IFERROR(הכנסה[[#This Row],[נוב]]/הכנסה[[#Totals],[נוב]],"-")</f>
        <v>0.19485791610284167</v>
      </c>
      <c r="AC9" s="26">
        <f>IFERROR(הכנסה[[#This Row],[דצמ]]/הכנסה[[#Totals],[דצמ]],"-")</f>
        <v>0.1601150527325024</v>
      </c>
      <c r="AD9" s="26">
        <f>IFERROR(הכנסה[[#This Row],[שנתי]]/הכנסה[[#Totals],[שנתי]],"-")</f>
        <v>0.16674364896073904</v>
      </c>
    </row>
    <row r="10" spans="1:30" ht="30" customHeight="1" x14ac:dyDescent="0.2">
      <c r="B10" s="35" t="s">
        <v>8</v>
      </c>
      <c r="C10" s="16"/>
      <c r="D10" s="32">
        <v>61</v>
      </c>
      <c r="E10" s="32">
        <v>99</v>
      </c>
      <c r="F10" s="32">
        <v>70</v>
      </c>
      <c r="G10" s="32">
        <v>162</v>
      </c>
      <c r="H10" s="32">
        <v>28</v>
      </c>
      <c r="I10" s="32">
        <v>163</v>
      </c>
      <c r="J10" s="32">
        <v>101</v>
      </c>
      <c r="K10" s="32">
        <v>103</v>
      </c>
      <c r="L10" s="32">
        <v>78</v>
      </c>
      <c r="M10" s="32">
        <v>33</v>
      </c>
      <c r="N10" s="32">
        <v>162</v>
      </c>
      <c r="O10" s="32">
        <v>159</v>
      </c>
      <c r="P10" s="33">
        <f>SUM(הכנסה[[#This Row],[ינו]:[דצמ]])</f>
        <v>1219</v>
      </c>
      <c r="Q10" s="25">
        <v>0.1</v>
      </c>
      <c r="R10" s="26">
        <f>IFERROR(הכנסה[[#This Row],[ינו]]/הכנסה[[#Totals],[ינו]],"-")</f>
        <v>9.7756410256410256E-2</v>
      </c>
      <c r="S10" s="26">
        <f>IFERROR(הכנסה[[#This Row],[פבר]]/הכנסה[[#Totals],[פבר]],"-")</f>
        <v>0.13451086956521738</v>
      </c>
      <c r="T10" s="26">
        <f>IFERROR(הכנסה[[#This Row],[מרץ]]/הכנסה[[#Totals],[מרץ]],"-")</f>
        <v>8.5365853658536592E-2</v>
      </c>
      <c r="U10" s="26">
        <f>IFERROR(הכנסה[[#This Row],[אפר]]/הכנסה[[#Totals],[אפר]],"-")</f>
        <v>0.265139116202946</v>
      </c>
      <c r="V10" s="26">
        <f>IFERROR(הכנסה[[#This Row],[מאי]]/הכנסה[[#Totals],[מאי]],"-")</f>
        <v>3.4482758620689655E-2</v>
      </c>
      <c r="W10" s="26">
        <f>IFERROR(הכנסה[[#This Row],[יונ]]/הכנסה[[#Totals],[יונ]],"-")</f>
        <v>0.2820069204152249</v>
      </c>
      <c r="X10" s="26">
        <f>IFERROR(הכנסה[[#This Row],[יול]]/הכנסה[[#Totals],[יול]],"-")</f>
        <v>0.16917922948073702</v>
      </c>
      <c r="Y10" s="26">
        <f>IFERROR(הכנסה[[#This Row],[אוג]]/הכנסה[[#Totals],[אוג]],"-")</f>
        <v>0.15259259259259259</v>
      </c>
      <c r="Z10" s="26">
        <f>IFERROR(הכנסה[[#This Row],[ספט]]/הכנסה[[#Totals],[ספט]],"-")</f>
        <v>0.10483870967741936</v>
      </c>
      <c r="AA10" s="26">
        <f>IFERROR(הכנסה[[#This Row],[אוק]]/הכנסה[[#Totals],[אוק]],"-")</f>
        <v>4.8458149779735685E-2</v>
      </c>
      <c r="AB10" s="26">
        <f>IFERROR(הכנסה[[#This Row],[נוב]]/הכנסה[[#Totals],[נוב]],"-")</f>
        <v>0.21921515561569688</v>
      </c>
      <c r="AC10" s="26">
        <f>IFERROR(הכנסה[[#This Row],[דצמ]]/הכנסה[[#Totals],[דצמ]],"-")</f>
        <v>0.15244487056567593</v>
      </c>
      <c r="AD10" s="26">
        <f>IFERROR(הכנסה[[#This Row],[שנתי]]/הכנסה[[#Totals],[שנתי]],"-")</f>
        <v>0.14076212471131641</v>
      </c>
    </row>
    <row r="11" spans="1:30" ht="30" customHeight="1" x14ac:dyDescent="0.2">
      <c r="B11" s="35" t="s">
        <v>9</v>
      </c>
      <c r="C11" s="16"/>
      <c r="D11" s="32">
        <v>105</v>
      </c>
      <c r="E11" s="32">
        <v>55</v>
      </c>
      <c r="F11" s="32">
        <v>163</v>
      </c>
      <c r="G11" s="32">
        <v>12</v>
      </c>
      <c r="H11" s="32">
        <v>117</v>
      </c>
      <c r="I11" s="32">
        <v>83</v>
      </c>
      <c r="J11" s="32">
        <v>163</v>
      </c>
      <c r="K11" s="32">
        <v>120</v>
      </c>
      <c r="L11" s="32">
        <v>171</v>
      </c>
      <c r="M11" s="32">
        <v>79</v>
      </c>
      <c r="N11" s="32">
        <v>105</v>
      </c>
      <c r="O11" s="32">
        <v>69</v>
      </c>
      <c r="P11" s="33">
        <f>SUM(הכנסה[[#This Row],[ינו]:[דצמ]])</f>
        <v>1242</v>
      </c>
      <c r="Q11" s="25">
        <v>0.1</v>
      </c>
      <c r="R11" s="26">
        <f>IFERROR(הכנסה[[#This Row],[ינו]]/הכנסה[[#Totals],[ינו]],"-")</f>
        <v>0.16826923076923078</v>
      </c>
      <c r="S11" s="26">
        <f>IFERROR(הכנסה[[#This Row],[פבר]]/הכנסה[[#Totals],[פבר]],"-")</f>
        <v>7.4728260869565216E-2</v>
      </c>
      <c r="T11" s="26">
        <f>IFERROR(הכנסה[[#This Row],[מרץ]]/הכנסה[[#Totals],[מרץ]],"-")</f>
        <v>0.19878048780487806</v>
      </c>
      <c r="U11" s="26">
        <f>IFERROR(הכנסה[[#This Row],[אפר]]/הכנסה[[#Totals],[אפר]],"-")</f>
        <v>1.9639934533551555E-2</v>
      </c>
      <c r="V11" s="26">
        <f>IFERROR(הכנסה[[#This Row],[מאי]]/הכנסה[[#Totals],[מאי]],"-")</f>
        <v>0.14408866995073891</v>
      </c>
      <c r="W11" s="26">
        <f>IFERROR(הכנסה[[#This Row],[יונ]]/הכנסה[[#Totals],[יונ]],"-")</f>
        <v>0.14359861591695502</v>
      </c>
      <c r="X11" s="26">
        <f>IFERROR(הכנסה[[#This Row],[יול]]/הכנסה[[#Totals],[יול]],"-")</f>
        <v>0.27303182579564489</v>
      </c>
      <c r="Y11" s="26">
        <f>IFERROR(הכנסה[[#This Row],[אוג]]/הכנסה[[#Totals],[אוג]],"-")</f>
        <v>0.17777777777777778</v>
      </c>
      <c r="Z11" s="26">
        <f>IFERROR(הכנסה[[#This Row],[ספט]]/הכנסה[[#Totals],[ספט]],"-")</f>
        <v>0.22983870967741934</v>
      </c>
      <c r="AA11" s="26">
        <f>IFERROR(הכנסה[[#This Row],[אוק]]/הכנסה[[#Totals],[אוק]],"-")</f>
        <v>0.11600587371512482</v>
      </c>
      <c r="AB11" s="26">
        <f>IFERROR(הכנסה[[#This Row],[נוב]]/הכנסה[[#Totals],[נוב]],"-")</f>
        <v>0.14208389715832206</v>
      </c>
      <c r="AC11" s="26">
        <f>IFERROR(הכנסה[[#This Row],[דצמ]]/הכנסה[[#Totals],[דצמ]],"-")</f>
        <v>6.6155321188878236E-2</v>
      </c>
      <c r="AD11" s="26">
        <f>IFERROR(הכנסה[[#This Row],[שנתי]]/הכנסה[[#Totals],[שנתי]],"-")</f>
        <v>0.14341801385681294</v>
      </c>
    </row>
    <row r="12" spans="1:30" ht="30" customHeight="1" x14ac:dyDescent="0.2">
      <c r="B12" s="40" t="s">
        <v>10</v>
      </c>
      <c r="C12" s="1"/>
      <c r="D12" s="34">
        <f>SUBTOTAL(109,הכנסה[ינו])</f>
        <v>624</v>
      </c>
      <c r="E12" s="34">
        <f>SUBTOTAL(109,הכנסה[פבר])</f>
        <v>736</v>
      </c>
      <c r="F12" s="34">
        <f>SUBTOTAL(109,הכנסה[מרץ])</f>
        <v>820</v>
      </c>
      <c r="G12" s="34">
        <f>SUBTOTAL(109,הכנסה[אפר])</f>
        <v>611</v>
      </c>
      <c r="H12" s="34">
        <f>SUBTOTAL(109,הכנסה[מאי])</f>
        <v>812</v>
      </c>
      <c r="I12" s="34">
        <f>SUBTOTAL(109,הכנסה[יונ])</f>
        <v>578</v>
      </c>
      <c r="J12" s="34">
        <f>SUBTOTAL(109,הכנסה[יול])</f>
        <v>597</v>
      </c>
      <c r="K12" s="34">
        <f>SUBTOTAL(109,הכנסה[אוג])</f>
        <v>675</v>
      </c>
      <c r="L12" s="34">
        <f>SUBTOTAL(109,הכנסה[ספט])</f>
        <v>744</v>
      </c>
      <c r="M12" s="34">
        <f>SUBTOTAL(109,הכנסה[אוק])</f>
        <v>681</v>
      </c>
      <c r="N12" s="34">
        <f>SUBTOTAL(109,הכנסה[נוב])</f>
        <v>739</v>
      </c>
      <c r="O12" s="34">
        <f>SUBTOTAL(109,הכנסה[דצמ])</f>
        <v>1043</v>
      </c>
      <c r="P12" s="34">
        <f>SUBTOTAL(109,הכנסה[שנתי])</f>
        <v>8660</v>
      </c>
      <c r="Q12" s="27">
        <f>SUBTOTAL(109,הכנסה[% מדד])</f>
        <v>1</v>
      </c>
      <c r="R12" s="27">
        <f>SUBTOTAL(109,הכנסה[% ינו])</f>
        <v>1</v>
      </c>
      <c r="S12" s="27">
        <f>SUBTOTAL(109,הכנסה[% פבר])</f>
        <v>1</v>
      </c>
      <c r="T12" s="27">
        <f>SUBTOTAL(109,הכנסה[% מרץ])</f>
        <v>1</v>
      </c>
      <c r="U12" s="27">
        <f>SUBTOTAL(109,הכנסה[% אפר])</f>
        <v>0.99999999999999989</v>
      </c>
      <c r="V12" s="27">
        <f>SUBTOTAL(109,הכנסה[% מאי])</f>
        <v>0.99999999999999989</v>
      </c>
      <c r="W12" s="27">
        <f>SUBTOTAL(109,הכנסה[% יונ])</f>
        <v>1</v>
      </c>
      <c r="X12" s="27">
        <f>SUBTOTAL(109,הכנסה[% יול])</f>
        <v>1</v>
      </c>
      <c r="Y12" s="27">
        <f>SUBTOTAL(109,הכנסה[% אוג])</f>
        <v>1</v>
      </c>
      <c r="Z12" s="27">
        <f>SUBTOTAL(109,הכנסה[% ספט])</f>
        <v>1</v>
      </c>
      <c r="AA12" s="27">
        <f>SUBTOTAL(109,הכנסה[% אוק])</f>
        <v>1</v>
      </c>
      <c r="AB12" s="27">
        <f>SUBTOTAL(109,הכנסה[% נוב])</f>
        <v>1</v>
      </c>
      <c r="AC12" s="27">
        <f>SUBTOTAL(109,הכנסה[% דצמ])</f>
        <v>0.99999999999999989</v>
      </c>
      <c r="AD12" s="28">
        <f>SUBTOTAL(109,הכנסה[% בשנה])</f>
        <v>1</v>
      </c>
    </row>
  </sheetData>
  <dataValidations count="18">
    <dataValidation type="list" errorStyle="warning" allowBlank="1" showInputMessage="1" showErrorMessage="1" error="בחר חודש מתוך הרשימה הנפתחת. בחר 'ביטול' ולאחר מכן הקש ALT+חץ למטה. הקש ENTER כדי לבחור חודש" prompt="בחר חודש בתא זה. הקש ALT+חץ למטה כדי לפתוח את הרשימה הנפתחת ולאחר מכן הקש ENTER כדי לבחור חודש" sqref="AC2">
      <formula1>"ינו, פבר, מרץ, אפר, מאי, יונ, יול, אוג, ספט, אוק, נוב, דצמ"</formula1>
    </dataValidation>
    <dataValidation errorStyle="information" allowBlank="1" showInputMessage="1" errorTitle="שנה לא ידועה" error="בחר חודש מתוך הרשימה הנפתחת. כדי להוסיף או להסיר שנה מהרשימה, בכרטיסיה 'נתונים', בקבוצה 'כלי נתונים', לחץ על 'אימות נתונים'." prompt="הזן שנה בתא זה" sqref="AD2"/>
    <dataValidation allowBlank="1" showInputMessage="1" showErrorMessage="1" prompt="בחר את שנת הכספים, החל בחודש שמופיע בתא AC2 והזן שנה בתא AD2 בצד השמאלי של תווית זו" sqref="AB2"/>
    <dataValidation allowBlank="1" showInputMessage="1" showErrorMessage="1" prompt="ההכנסה השנתית מחושבת באופן אוטומטי בעמודה זו" sqref="P3"/>
    <dataValidation allowBlank="1" showInputMessage="1" showErrorMessage="1" prompt="הזן כותרת עבור תקופת התחזית שעבורה מחושב סה&quot;כ המכירות" sqref="B1"/>
    <dataValidation allowBlank="1" showInputMessage="1" showErrorMessage="1" prompt="כותרת התחזית נמצאת בתא זה. הזן ערכים בטבלה 'הכנסות' שלהלן כדי לחשב את סה&quot;כ המכירות" sqref="B2"/>
    <dataValidation allowBlank="1" showInputMessage="1" showErrorMessage="1" prompt="הזן את שם החברה בתא זה" sqref="AD1"/>
    <dataValidation allowBlank="1" showInputMessage="1" showErrorMessage="1" prompt="התאריכים בשורה זו מתעדכנים באופן אוטומטי בהתבסס על חודש ההתחלה של שנת הכספים. כדי לשנות את חודש ההתחלה, שנה את תא AC2" sqref="D3"/>
    <dataValidation allowBlank="1" showInputMessage="1" showErrorMessage="1" prompt="הזן את אחוז המדד בעמודה זו" sqref="Q4"/>
    <dataValidation allowBlank="1" showInputMessage="1" showErrorMessage="1" prompt="גליון עבודה זה מחשב את סה&quot;כ המכירות עבור כל חודש ושנה, ואת סה&quot;כ המכירות השנתיות ממקורות שונים. בחר את חודש ההתחלה של שנת הכספים בתא AC2 ואת השנה בתא AD2" sqref="A2 A4:A12"/>
    <dataValidation allowBlank="1" showInputMessage="1" showErrorMessage="1" prompt="גליון עבודה זה מחשב את סה&quot;כ המכירות עבור כל חודש ושנה, ואת סה&quot;כ המכירות השנתיות ממקורות שונים. הזן את חודש ההתחלה של שנת הכספים בתא AC2 ואת השנה בתא AD2" sqref="A1"/>
    <dataValidation allowBlank="1" showInputMessage="1" showErrorMessage="1" prompt="החודש מתעדכן באופן אוטומטי" sqref="E3:O3"/>
    <dataValidation allowBlank="1" showInputMessage="1" showErrorMessage="1" prompt="מחשב באופן אוטומטי את היחס בין המכירות ממקורות שונים לסה&quot;כ המכירות בעמודה זו, עבור החודש בתא זה" sqref="R3:AC3"/>
    <dataValidation allowBlank="1" showInputMessage="1" showErrorMessage="1" prompt="מחשב באופן אוטומטי את היחס בין המכירות ממקורות שונים לסה&quot;כ המכירות עבור השנה המשויכת לעמודה זו" sqref="AD3"/>
    <dataValidation allowBlank="1" showInputMessage="1" showErrorMessage="1" prompt="הזן הכנסות שנוצרו על-ידי מכירות בעמודה זו" sqref="B4"/>
    <dataValidation allowBlank="1" showInputMessage="1" showErrorMessage="1" prompt="תרשים מגמות עבור ההכנסות לאורך זמן מופיע בעמודה זו" sqref="C4"/>
    <dataValidation allowBlank="1" showInputMessage="1" showErrorMessage="1" prompt="הזן בעמודה זו את ההכנסות עבור המקורות המפורטים בעמודה B" sqref="D4:O4"/>
    <dataValidation allowBlank="1" showInputMessage="1" showErrorMessage="1" prompt="אחוז המדד מופיע בעמודה זו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rightToLeft="1">
          <x14:colorSeries theme="1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'הכנסות (מכירות)'!D12:O12</xm:f>
              <xm:sqref>C12</xm:sqref>
            </x14:sparkline>
          </x14:sparklines>
        </x14:sparklineGroup>
        <x14:sparklineGroup lineWeight="1" displayEmptyCellsAs="gap" high="1" low="1" rightToLeft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'הכנסות (מכירות)'!$D$5:$O$5</xm:f>
              <xm:sqref>C5</xm:sqref>
            </x14:sparkline>
            <x14:sparkline>
              <xm:f>'הכנסות (מכירות)'!$D$6:$O$6</xm:f>
              <xm:sqref>C6</xm:sqref>
            </x14:sparkline>
            <x14:sparkline>
              <xm:f>'הכנסות (מכירות)'!$D$7:$O$7</xm:f>
              <xm:sqref>C7</xm:sqref>
            </x14:sparkline>
            <x14:sparkline>
              <xm:f>'הכנסות (מכירות)'!$D$8:$O$8</xm:f>
              <xm:sqref>C8</xm:sqref>
            </x14:sparkline>
            <x14:sparkline>
              <xm:f>'הכנסות (מכירות)'!$D$9:$O$9</xm:f>
              <xm:sqref>C9</xm:sqref>
            </x14:sparkline>
            <x14:sparkline>
              <xm:f>'הכנסות (מכירות)'!$D$10:$O$10</xm:f>
              <xm:sqref>C10</xm:sqref>
            </x14:sparkline>
            <x14:sparkline>
              <xm:f>'הכנסות (מכירות)'!$D$11:$O$11</xm:f>
              <xm:sqref>C11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rightToLeft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style="7" customWidth="1"/>
    <col min="2" max="2" width="25.25" style="7" customWidth="1"/>
    <col min="3" max="3" width="12.625" style="7" customWidth="1"/>
    <col min="4" max="15" width="10" style="7" customWidth="1"/>
    <col min="16" max="16" width="11.875" style="7" customWidth="1"/>
    <col min="17" max="29" width="7.75" style="7" customWidth="1"/>
    <col min="30" max="30" width="9.875" style="7" customWidth="1"/>
    <col min="31" max="31" width="2.625" style="7" customWidth="1"/>
    <col min="32" max="16384" width="9" style="7"/>
  </cols>
  <sheetData>
    <row r="1" spans="1:30" ht="35.1" customHeight="1" x14ac:dyDescent="0.2">
      <c r="A1" s="5"/>
      <c r="B1" s="6" t="str">
        <f>Projection_Period_Title</f>
        <v>שנים-עשר חודשים</v>
      </c>
      <c r="J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22" t="str">
        <f>שם_החברה</f>
        <v>שם החברה</v>
      </c>
    </row>
    <row r="2" spans="1:30" ht="60" customHeight="1" x14ac:dyDescent="0.2">
      <c r="B2" s="10" t="str">
        <f>Wksht_Title</f>
        <v>תחזית רווח והפסד</v>
      </c>
      <c r="E2" s="11"/>
      <c r="G2" s="11"/>
      <c r="K2" s="11"/>
      <c r="L2" s="11"/>
      <c r="M2" s="11"/>
      <c r="N2" s="11"/>
      <c r="O2" s="11"/>
      <c r="X2" s="12"/>
      <c r="Y2" s="12"/>
      <c r="Z2" s="12"/>
      <c r="AA2" s="12"/>
      <c r="AB2" s="24" t="s">
        <v>51</v>
      </c>
      <c r="AC2" s="24" t="str">
        <f>FYMonthStart</f>
        <v>ינו</v>
      </c>
      <c r="AD2" s="24">
        <f ca="1">FYStartYear</f>
        <v>2017</v>
      </c>
    </row>
    <row r="3" spans="1:30" ht="20.100000000000001" customHeight="1" x14ac:dyDescent="0.2">
      <c r="D3" s="31" t="str">
        <f ca="1">UPPER(TEXT(DATE(FYStartYear,FYMonthNo,1),"mmm-yy"))</f>
        <v>ינו-17</v>
      </c>
      <c r="E3" s="31" t="str">
        <f ca="1">UPPER(TEXT(DATE(FYStartYear,FYMonthNo+1,1),"mmm-yy"))</f>
        <v>פבר-17</v>
      </c>
      <c r="F3" s="31" t="str">
        <f ca="1">UPPER(TEXT(DATE(FYStartYear,FYMonthNo+2,1),"mmm-yy"))</f>
        <v>מרץ-17</v>
      </c>
      <c r="G3" s="31" t="str">
        <f ca="1">UPPER(TEXT(DATE(FYStartYear,FYMonthNo+3,1),"mmm-yy"))</f>
        <v>אפר-17</v>
      </c>
      <c r="H3" s="31" t="str">
        <f ca="1">UPPER(TEXT(DATE(FYStartYear,FYMonthNo+4,1),"mmm-yy"))</f>
        <v>מאי-17</v>
      </c>
      <c r="I3" s="31" t="str">
        <f ca="1">UPPER(TEXT(DATE(FYStartYear,FYMonthNo+5,1),"mmm-yy"))</f>
        <v>יונ-17</v>
      </c>
      <c r="J3" s="31" t="str">
        <f ca="1">UPPER(TEXT(DATE(FYStartYear,FYMonthNo+6,1),"mmm-yy"))</f>
        <v>יול-17</v>
      </c>
      <c r="K3" s="31" t="str">
        <f ca="1">UPPER(TEXT(DATE(FYStartYear,FYMonthNo+7,1),"mmm-yy"))</f>
        <v>אוג-17</v>
      </c>
      <c r="L3" s="31" t="str">
        <f ca="1">UPPER(TEXT(DATE(FYStartYear,FYMonthNo+8,1),"mmm-yy"))</f>
        <v>ספט-17</v>
      </c>
      <c r="M3" s="31" t="str">
        <f ca="1">UPPER(TEXT(DATE(FYStartYear,FYMonthNo+9,1),"mmm-yy"))</f>
        <v>אוק-17</v>
      </c>
      <c r="N3" s="31" t="str">
        <f ca="1">UPPER(TEXT(DATE(FYStartYear,FYMonthNo+10,1),"mmm-yy"))</f>
        <v>נוב-17</v>
      </c>
      <c r="O3" s="31" t="str">
        <f ca="1">UPPER(TEXT(DATE(FYStartYear,FYMonthNo+11,1),"mmm-yy"))</f>
        <v>דצמ-17</v>
      </c>
      <c r="P3" s="13" t="s">
        <v>24</v>
      </c>
      <c r="Q3" s="13" t="s">
        <v>25</v>
      </c>
      <c r="R3" s="13" t="str">
        <f ca="1">LEFT(D3,3)&amp;" %"</f>
        <v>ינו %</v>
      </c>
      <c r="S3" s="13" t="str">
        <f t="shared" ref="S3:AC3" ca="1" si="0">LEFT(E3,3)&amp;" %"</f>
        <v>פבר %</v>
      </c>
      <c r="T3" s="13" t="str">
        <f t="shared" ca="1" si="0"/>
        <v>מרץ %</v>
      </c>
      <c r="U3" s="13" t="str">
        <f t="shared" ca="1" si="0"/>
        <v>אפר %</v>
      </c>
      <c r="V3" s="13" t="str">
        <f t="shared" ca="1" si="0"/>
        <v>מאי %</v>
      </c>
      <c r="W3" s="13" t="str">
        <f t="shared" ca="1" si="0"/>
        <v>יונ %</v>
      </c>
      <c r="X3" s="13" t="str">
        <f t="shared" ca="1" si="0"/>
        <v>יול %</v>
      </c>
      <c r="Y3" s="13" t="str">
        <f t="shared" ca="1" si="0"/>
        <v>אוג %</v>
      </c>
      <c r="Z3" s="13" t="str">
        <f t="shared" ca="1" si="0"/>
        <v>ספט %</v>
      </c>
      <c r="AA3" s="13" t="str">
        <f t="shared" ca="1" si="0"/>
        <v>אוק %</v>
      </c>
      <c r="AB3" s="13" t="str">
        <f t="shared" ca="1" si="0"/>
        <v>נוב %</v>
      </c>
      <c r="AC3" s="13" t="str">
        <f t="shared" ca="1" si="0"/>
        <v>דצמ %</v>
      </c>
      <c r="AD3" s="13" t="s">
        <v>40</v>
      </c>
    </row>
    <row r="4" spans="1:30" ht="30" customHeight="1" x14ac:dyDescent="0.2">
      <c r="B4" s="39" t="s">
        <v>41</v>
      </c>
      <c r="C4" s="39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17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24</v>
      </c>
      <c r="Q4" s="15" t="s">
        <v>25</v>
      </c>
      <c r="R4" s="15" t="s">
        <v>26</v>
      </c>
      <c r="S4" s="15" t="s">
        <v>27</v>
      </c>
      <c r="T4" s="15" t="s">
        <v>28</v>
      </c>
      <c r="U4" s="15" t="s">
        <v>29</v>
      </c>
      <c r="V4" s="15" t="s">
        <v>30</v>
      </c>
      <c r="W4" s="15" t="s">
        <v>31</v>
      </c>
      <c r="X4" s="15" t="s">
        <v>32</v>
      </c>
      <c r="Y4" s="15" t="s">
        <v>33</v>
      </c>
      <c r="Z4" s="15" t="s">
        <v>34</v>
      </c>
      <c r="AA4" s="15" t="s">
        <v>35</v>
      </c>
      <c r="AB4" s="15" t="s">
        <v>37</v>
      </c>
      <c r="AC4" s="15" t="s">
        <v>38</v>
      </c>
      <c r="AD4" s="14" t="s">
        <v>40</v>
      </c>
    </row>
    <row r="5" spans="1:30" ht="30" customHeight="1" x14ac:dyDescent="0.2">
      <c r="B5" s="48" t="s">
        <v>42</v>
      </c>
      <c r="C5" s="17"/>
      <c r="D5" s="18">
        <v>61</v>
      </c>
      <c r="E5" s="18">
        <v>78</v>
      </c>
      <c r="F5" s="18">
        <v>65</v>
      </c>
      <c r="G5" s="18">
        <v>29</v>
      </c>
      <c r="H5" s="18">
        <v>125</v>
      </c>
      <c r="I5" s="18">
        <v>49</v>
      </c>
      <c r="J5" s="18">
        <v>14</v>
      </c>
      <c r="K5" s="18">
        <v>26</v>
      </c>
      <c r="L5" s="18">
        <v>14</v>
      </c>
      <c r="M5" s="18">
        <v>129</v>
      </c>
      <c r="N5" s="18">
        <v>60</v>
      </c>
      <c r="O5" s="18">
        <v>65</v>
      </c>
      <c r="P5" s="37">
        <f>SUM(עלותמכירות[[#This Row],[ינו]:[דצמ]])</f>
        <v>715</v>
      </c>
      <c r="Q5" s="29">
        <v>0.12</v>
      </c>
      <c r="R5" s="38">
        <f>IFERROR(עלותמכירות[[#This Row],[ינו]]/עלותמכירות[[#Totals],[ינו]],"-")</f>
        <v>0.23018867924528302</v>
      </c>
      <c r="S5" s="38">
        <f>IFERROR(עלותמכירות[[#This Row],[פבר]]/עלותמכירות[[#Totals],[פבר]],"-")</f>
        <v>0.21910112359550563</v>
      </c>
      <c r="T5" s="38">
        <f>IFERROR(עלותמכירות[[#This Row],[מרץ]]/עלותמכירות[[#Totals],[מרץ]],"-")</f>
        <v>0.20634920634920634</v>
      </c>
      <c r="U5" s="38">
        <f>IFERROR(עלותמכירות[[#This Row],[אפר]]/עלותמכירות[[#Totals],[אפר]],"-")</f>
        <v>0.12033195020746888</v>
      </c>
      <c r="V5" s="38">
        <f>IFERROR(עלותמכירות[[#This Row],[מאי]]/עלותמכירות[[#Totals],[מאי]],"-")</f>
        <v>0.31328320802005011</v>
      </c>
      <c r="W5" s="38">
        <f>IFERROR(עלותמכירות[[#This Row],[יונ]]/עלותמכירות[[#Totals],[יונ]],"-")</f>
        <v>0.15705128205128205</v>
      </c>
      <c r="X5" s="38">
        <f>IFERROR(עלותמכירות[[#This Row],[יול]]/עלותמכירות[[#Totals],[יול]],"-")</f>
        <v>4.6822742474916385E-2</v>
      </c>
      <c r="Y5" s="38">
        <f>IFERROR(עלותמכירות[[#This Row],[אוג]]/עלותמכירות[[#Totals],[אוג]],"-")</f>
        <v>0.11504424778761062</v>
      </c>
      <c r="Z5" s="38">
        <f>IFERROR(עלותמכירות[[#This Row],[ספט]]/עלותמכירות[[#Totals],[ספט]],"-")</f>
        <v>3.3816425120772944E-2</v>
      </c>
      <c r="AA5" s="38">
        <f>IFERROR(עלותמכירות[[#This Row],[אוק]]/עלותמכירות[[#Totals],[אוק]],"-")</f>
        <v>0.47080291970802918</v>
      </c>
      <c r="AB5" s="38">
        <f>IFERROR(עלותמכירות[[#This Row],[נוב]]/עלותמכירות[[#Totals],[נוב]],"-")</f>
        <v>0.22727272727272727</v>
      </c>
      <c r="AC5" s="38">
        <f>IFERROR(עלותמכירות[[#This Row],[דצמ]]/עלותמכירות[[#Totals],[דצמ]],"-")</f>
        <v>0.14348785871964681</v>
      </c>
      <c r="AD5" s="38">
        <f>IFERROR(עלותמכירות[[#This Row],[שנתי]]/עלותמכירות[[#Totals],[שנתי]],"-")</f>
        <v>0.18727082242011525</v>
      </c>
    </row>
    <row r="6" spans="1:30" ht="30" customHeight="1" x14ac:dyDescent="0.2">
      <c r="B6" s="49" t="s">
        <v>43</v>
      </c>
      <c r="C6" s="17"/>
      <c r="D6" s="18">
        <v>7</v>
      </c>
      <c r="E6" s="18">
        <v>5</v>
      </c>
      <c r="F6" s="18">
        <v>69</v>
      </c>
      <c r="G6" s="18">
        <v>32</v>
      </c>
      <c r="H6" s="18">
        <v>11</v>
      </c>
      <c r="I6" s="18">
        <v>30</v>
      </c>
      <c r="J6" s="18">
        <v>27</v>
      </c>
      <c r="K6" s="18">
        <v>32</v>
      </c>
      <c r="L6" s="18">
        <v>10</v>
      </c>
      <c r="M6" s="18">
        <v>41</v>
      </c>
      <c r="N6" s="18">
        <v>13</v>
      </c>
      <c r="O6" s="18">
        <v>105</v>
      </c>
      <c r="P6" s="37">
        <f>SUM(עלותמכירות[[#This Row],[ינו]:[דצמ]])</f>
        <v>382</v>
      </c>
      <c r="Q6" s="29">
        <v>0.18</v>
      </c>
      <c r="R6" s="38">
        <f>IFERROR(עלותמכירות[[#This Row],[ינו]]/עלותמכירות[[#Totals],[ינו]],"-")</f>
        <v>2.6415094339622643E-2</v>
      </c>
      <c r="S6" s="38">
        <f>IFERROR(עלותמכירות[[#This Row],[פבר]]/עלותמכירות[[#Totals],[פבר]],"-")</f>
        <v>1.4044943820224719E-2</v>
      </c>
      <c r="T6" s="38">
        <f>IFERROR(עלותמכירות[[#This Row],[מרץ]]/עלותמכירות[[#Totals],[מרץ]],"-")</f>
        <v>0.21904761904761905</v>
      </c>
      <c r="U6" s="38">
        <f>IFERROR(עלותמכירות[[#This Row],[אפר]]/עלותמכירות[[#Totals],[אפר]],"-")</f>
        <v>0.13278008298755187</v>
      </c>
      <c r="V6" s="38">
        <f>IFERROR(עלותמכירות[[#This Row],[מאי]]/עלותמכירות[[#Totals],[מאי]],"-")</f>
        <v>2.7568922305764409E-2</v>
      </c>
      <c r="W6" s="38">
        <f>IFERROR(עלותמכירות[[#This Row],[יונ]]/עלותמכירות[[#Totals],[יונ]],"-")</f>
        <v>9.6153846153846159E-2</v>
      </c>
      <c r="X6" s="38">
        <f>IFERROR(עלותמכירות[[#This Row],[יול]]/עלותמכירות[[#Totals],[יול]],"-")</f>
        <v>9.0301003344481601E-2</v>
      </c>
      <c r="Y6" s="38">
        <f>IFERROR(עלותמכירות[[#This Row],[אוג]]/עלותמכירות[[#Totals],[אוג]],"-")</f>
        <v>0.1415929203539823</v>
      </c>
      <c r="Z6" s="38">
        <f>IFERROR(עלותמכירות[[#This Row],[ספט]]/עלותמכירות[[#Totals],[ספט]],"-")</f>
        <v>2.4154589371980676E-2</v>
      </c>
      <c r="AA6" s="38">
        <f>IFERROR(עלותמכירות[[#This Row],[אוק]]/עלותמכירות[[#Totals],[אוק]],"-")</f>
        <v>0.14963503649635038</v>
      </c>
      <c r="AB6" s="38">
        <f>IFERROR(עלותמכירות[[#This Row],[נוב]]/עלותמכירות[[#Totals],[נוב]],"-")</f>
        <v>4.924242424242424E-2</v>
      </c>
      <c r="AC6" s="38">
        <f>IFERROR(עלותמכירות[[#This Row],[דצמ]]/עלותמכירות[[#Totals],[דצמ]],"-")</f>
        <v>0.23178807947019867</v>
      </c>
      <c r="AD6" s="38">
        <f>IFERROR(עלותמכירות[[#This Row],[שנתי]]/עלותמכירות[[#Totals],[שנתי]],"-")</f>
        <v>0.1000523834468308</v>
      </c>
    </row>
    <row r="7" spans="1:30" ht="30" customHeight="1" x14ac:dyDescent="0.2">
      <c r="B7" s="48" t="s">
        <v>44</v>
      </c>
      <c r="C7" s="17"/>
      <c r="D7" s="18">
        <v>99</v>
      </c>
      <c r="E7" s="18">
        <v>95</v>
      </c>
      <c r="F7" s="18">
        <v>51</v>
      </c>
      <c r="G7" s="18">
        <v>90</v>
      </c>
      <c r="H7" s="18">
        <v>21</v>
      </c>
      <c r="I7" s="18">
        <v>34</v>
      </c>
      <c r="J7" s="18">
        <v>30</v>
      </c>
      <c r="K7" s="18">
        <v>24</v>
      </c>
      <c r="L7" s="18">
        <v>109</v>
      </c>
      <c r="M7" s="18">
        <v>16</v>
      </c>
      <c r="N7" s="18">
        <v>21</v>
      </c>
      <c r="O7" s="18">
        <v>52</v>
      </c>
      <c r="P7" s="37">
        <f>SUM(עלותמכירות[[#This Row],[ינו]:[דצמ]])</f>
        <v>642</v>
      </c>
      <c r="Q7" s="29">
        <v>0.19</v>
      </c>
      <c r="R7" s="38">
        <f>IFERROR(עלותמכירות[[#This Row],[ינו]]/עלותמכירות[[#Totals],[ינו]],"-")</f>
        <v>0.37358490566037733</v>
      </c>
      <c r="S7" s="38">
        <f>IFERROR(עלותמכירות[[#This Row],[פבר]]/עלותמכירות[[#Totals],[פבר]],"-")</f>
        <v>0.26685393258426965</v>
      </c>
      <c r="T7" s="38">
        <f>IFERROR(עלותמכירות[[#This Row],[מרץ]]/עלותמכירות[[#Totals],[מרץ]],"-")</f>
        <v>0.16190476190476191</v>
      </c>
      <c r="U7" s="38">
        <f>IFERROR(עלותמכירות[[#This Row],[אפר]]/עלותמכירות[[#Totals],[אפר]],"-")</f>
        <v>0.37344398340248963</v>
      </c>
      <c r="V7" s="38">
        <f>IFERROR(עלותמכירות[[#This Row],[מאי]]/עלותמכירות[[#Totals],[מאי]],"-")</f>
        <v>5.2631578947368418E-2</v>
      </c>
      <c r="W7" s="38">
        <f>IFERROR(עלותמכירות[[#This Row],[יונ]]/עלותמכירות[[#Totals],[יונ]],"-")</f>
        <v>0.10897435897435898</v>
      </c>
      <c r="X7" s="38">
        <f>IFERROR(עלותמכירות[[#This Row],[יול]]/עלותמכירות[[#Totals],[יול]],"-")</f>
        <v>0.10033444816053512</v>
      </c>
      <c r="Y7" s="38">
        <f>IFERROR(עלותמכירות[[#This Row],[אוג]]/עלותמכירות[[#Totals],[אוג]],"-")</f>
        <v>0.10619469026548672</v>
      </c>
      <c r="Z7" s="38">
        <f>IFERROR(עלותמכירות[[#This Row],[ספט]]/עלותמכירות[[#Totals],[ספט]],"-")</f>
        <v>0.26328502415458938</v>
      </c>
      <c r="AA7" s="38">
        <f>IFERROR(עלותמכירות[[#This Row],[אוק]]/עלותמכירות[[#Totals],[אוק]],"-")</f>
        <v>5.8394160583941604E-2</v>
      </c>
      <c r="AB7" s="38">
        <f>IFERROR(עלותמכירות[[#This Row],[נוב]]/עלותמכירות[[#Totals],[נוב]],"-")</f>
        <v>7.9545454545454544E-2</v>
      </c>
      <c r="AC7" s="38">
        <f>IFERROR(עלותמכירות[[#This Row],[דצמ]]/עלותמכירות[[#Totals],[דצמ]],"-")</f>
        <v>0.11479028697571744</v>
      </c>
      <c r="AD7" s="38">
        <f>IFERROR(עלותמכירות[[#This Row],[שנתי]]/עלותמכירות[[#Totals],[שנתי]],"-")</f>
        <v>0.16815086432687271</v>
      </c>
    </row>
    <row r="8" spans="1:30" ht="30" customHeight="1" x14ac:dyDescent="0.2">
      <c r="B8" s="48" t="s">
        <v>45</v>
      </c>
      <c r="C8" s="17"/>
      <c r="D8" s="18">
        <v>13</v>
      </c>
      <c r="E8" s="18">
        <v>28</v>
      </c>
      <c r="F8" s="18">
        <v>15</v>
      </c>
      <c r="G8" s="18">
        <v>8</v>
      </c>
      <c r="H8" s="18">
        <v>84</v>
      </c>
      <c r="I8" s="18">
        <v>12</v>
      </c>
      <c r="J8" s="18">
        <v>54</v>
      </c>
      <c r="K8" s="18">
        <v>72</v>
      </c>
      <c r="L8" s="18">
        <v>49</v>
      </c>
      <c r="M8" s="18">
        <v>24</v>
      </c>
      <c r="N8" s="18">
        <v>60</v>
      </c>
      <c r="O8" s="18">
        <v>39</v>
      </c>
      <c r="P8" s="37">
        <f>SUM(עלותמכירות[[#This Row],[ינו]:[דצמ]])</f>
        <v>458</v>
      </c>
      <c r="Q8" s="29">
        <v>0.11</v>
      </c>
      <c r="R8" s="38">
        <f>IFERROR(עלותמכירות[[#This Row],[ינו]]/עלותמכירות[[#Totals],[ינו]],"-")</f>
        <v>4.9056603773584909E-2</v>
      </c>
      <c r="S8" s="38">
        <f>IFERROR(עלותמכירות[[#This Row],[פבר]]/עלותמכירות[[#Totals],[פבר]],"-")</f>
        <v>7.8651685393258425E-2</v>
      </c>
      <c r="T8" s="38">
        <f>IFERROR(עלותמכירות[[#This Row],[מרץ]]/עלותמכירות[[#Totals],[מרץ]],"-")</f>
        <v>4.7619047619047616E-2</v>
      </c>
      <c r="U8" s="38">
        <f>IFERROR(עלותמכירות[[#This Row],[אפר]]/עלותמכירות[[#Totals],[אפר]],"-")</f>
        <v>3.3195020746887967E-2</v>
      </c>
      <c r="V8" s="38">
        <f>IFERROR(עלותמכירות[[#This Row],[מאי]]/עלותמכירות[[#Totals],[מאי]],"-")</f>
        <v>0.21052631578947367</v>
      </c>
      <c r="W8" s="38">
        <f>IFERROR(עלותמכירות[[#This Row],[יונ]]/עלותמכירות[[#Totals],[יונ]],"-")</f>
        <v>3.8461538461538464E-2</v>
      </c>
      <c r="X8" s="38">
        <f>IFERROR(עלותמכירות[[#This Row],[יול]]/עלותמכירות[[#Totals],[יול]],"-")</f>
        <v>0.1806020066889632</v>
      </c>
      <c r="Y8" s="38">
        <f>IFERROR(עלותמכירות[[#This Row],[אוג]]/עלותמכירות[[#Totals],[אוג]],"-")</f>
        <v>0.31858407079646017</v>
      </c>
      <c r="Z8" s="38">
        <f>IFERROR(עלותמכירות[[#This Row],[ספט]]/עלותמכירות[[#Totals],[ספט]],"-")</f>
        <v>0.11835748792270531</v>
      </c>
      <c r="AA8" s="38">
        <f>IFERROR(עלותמכירות[[#This Row],[אוק]]/עלותמכירות[[#Totals],[אוק]],"-")</f>
        <v>8.7591240875912413E-2</v>
      </c>
      <c r="AB8" s="38">
        <f>IFERROR(עלותמכירות[[#This Row],[נוב]]/עלותמכירות[[#Totals],[נוב]],"-")</f>
        <v>0.22727272727272727</v>
      </c>
      <c r="AC8" s="38">
        <f>IFERROR(עלותמכירות[[#This Row],[דצמ]]/עלותמכירות[[#Totals],[דצמ]],"-")</f>
        <v>8.6092715231788075E-2</v>
      </c>
      <c r="AD8" s="38">
        <f>IFERROR(עלותמכירות[[#This Row],[שנתי]]/עלותמכירות[[#Totals],[שנתי]],"-")</f>
        <v>0.11995809324253535</v>
      </c>
    </row>
    <row r="9" spans="1:30" ht="30" customHeight="1" x14ac:dyDescent="0.2">
      <c r="B9" s="48" t="s">
        <v>46</v>
      </c>
      <c r="C9" s="17"/>
      <c r="D9" s="18">
        <v>34</v>
      </c>
      <c r="E9" s="18">
        <v>78</v>
      </c>
      <c r="F9" s="18">
        <v>43</v>
      </c>
      <c r="G9" s="18">
        <v>30</v>
      </c>
      <c r="H9" s="18">
        <v>77</v>
      </c>
      <c r="I9" s="18">
        <v>54</v>
      </c>
      <c r="J9" s="18">
        <v>26</v>
      </c>
      <c r="K9" s="18">
        <v>13</v>
      </c>
      <c r="L9" s="18">
        <v>56</v>
      </c>
      <c r="M9" s="18">
        <v>30</v>
      </c>
      <c r="N9" s="18">
        <v>40</v>
      </c>
      <c r="O9" s="18">
        <v>63</v>
      </c>
      <c r="P9" s="37">
        <f>SUM(עלותמכירות[[#This Row],[ינו]:[דצמ]])</f>
        <v>544</v>
      </c>
      <c r="Q9" s="29">
        <v>0.2</v>
      </c>
      <c r="R9" s="38">
        <f>IFERROR(עלותמכירות[[#This Row],[ינו]]/עלותמכירות[[#Totals],[ינו]],"-")</f>
        <v>0.12830188679245283</v>
      </c>
      <c r="S9" s="38">
        <f>IFERROR(עלותמכירות[[#This Row],[פבר]]/עלותמכירות[[#Totals],[פבר]],"-")</f>
        <v>0.21910112359550563</v>
      </c>
      <c r="T9" s="38">
        <f>IFERROR(עלותמכירות[[#This Row],[מרץ]]/עלותמכירות[[#Totals],[מרץ]],"-")</f>
        <v>0.13650793650793649</v>
      </c>
      <c r="U9" s="38">
        <f>IFERROR(עלותמכירות[[#This Row],[אפר]]/עלותמכירות[[#Totals],[אפר]],"-")</f>
        <v>0.12448132780082988</v>
      </c>
      <c r="V9" s="38">
        <f>IFERROR(עלותמכירות[[#This Row],[מאי]]/עלותמכירות[[#Totals],[מאי]],"-")</f>
        <v>0.19298245614035087</v>
      </c>
      <c r="W9" s="38">
        <f>IFERROR(עלותמכירות[[#This Row],[יונ]]/עלותמכירות[[#Totals],[יונ]],"-")</f>
        <v>0.17307692307692307</v>
      </c>
      <c r="X9" s="38">
        <f>IFERROR(עלותמכירות[[#This Row],[יול]]/עלותמכירות[[#Totals],[יול]],"-")</f>
        <v>8.6956521739130432E-2</v>
      </c>
      <c r="Y9" s="38">
        <f>IFERROR(עלותמכירות[[#This Row],[אוג]]/עלותמכירות[[#Totals],[אוג]],"-")</f>
        <v>5.7522123893805309E-2</v>
      </c>
      <c r="Z9" s="38">
        <f>IFERROR(עלותמכירות[[#This Row],[ספט]]/עלותמכירות[[#Totals],[ספט]],"-")</f>
        <v>0.13526570048309178</v>
      </c>
      <c r="AA9" s="38">
        <f>IFERROR(עלותמכירות[[#This Row],[אוק]]/עלותמכירות[[#Totals],[אוק]],"-")</f>
        <v>0.10948905109489052</v>
      </c>
      <c r="AB9" s="38">
        <f>IFERROR(עלותמכירות[[#This Row],[נוב]]/עלותמכירות[[#Totals],[נוב]],"-")</f>
        <v>0.15151515151515152</v>
      </c>
      <c r="AC9" s="38">
        <f>IFERROR(עלותמכירות[[#This Row],[דצמ]]/עלותמכירות[[#Totals],[דצמ]],"-")</f>
        <v>0.13907284768211919</v>
      </c>
      <c r="AD9" s="38">
        <f>IFERROR(עלותמכירות[[#This Row],[שנתי]]/עלותמכירות[[#Totals],[שנתי]],"-")</f>
        <v>0.14248297537978</v>
      </c>
    </row>
    <row r="10" spans="1:30" ht="30" customHeight="1" x14ac:dyDescent="0.2">
      <c r="B10" s="48" t="s">
        <v>47</v>
      </c>
      <c r="C10" s="17"/>
      <c r="D10" s="18">
        <v>33</v>
      </c>
      <c r="E10" s="18">
        <v>61</v>
      </c>
      <c r="F10" s="18">
        <v>42</v>
      </c>
      <c r="G10" s="18">
        <v>43</v>
      </c>
      <c r="H10" s="18">
        <v>19</v>
      </c>
      <c r="I10" s="18">
        <v>94</v>
      </c>
      <c r="J10" s="18">
        <v>46</v>
      </c>
      <c r="K10" s="18">
        <v>15</v>
      </c>
      <c r="L10" s="18">
        <v>55</v>
      </c>
      <c r="M10" s="18">
        <v>15</v>
      </c>
      <c r="N10" s="18">
        <v>37</v>
      </c>
      <c r="O10" s="18">
        <v>89</v>
      </c>
      <c r="P10" s="37">
        <f>SUM(עלותמכירות[[#This Row],[ינו]:[דצמ]])</f>
        <v>549</v>
      </c>
      <c r="Q10" s="29">
        <v>0.1</v>
      </c>
      <c r="R10" s="38">
        <f>IFERROR(עלותמכירות[[#This Row],[ינו]]/עלותמכירות[[#Totals],[ינו]],"-")</f>
        <v>0.12452830188679245</v>
      </c>
      <c r="S10" s="38">
        <f>IFERROR(עלותמכירות[[#This Row],[פבר]]/עלותמכירות[[#Totals],[פבר]],"-")</f>
        <v>0.17134831460674158</v>
      </c>
      <c r="T10" s="38">
        <f>IFERROR(עלותמכירות[[#This Row],[מרץ]]/עלותמכירות[[#Totals],[מרץ]],"-")</f>
        <v>0.13333333333333333</v>
      </c>
      <c r="U10" s="38">
        <f>IFERROR(עלותמכירות[[#This Row],[אפר]]/עלותמכירות[[#Totals],[אפר]],"-")</f>
        <v>0.17842323651452283</v>
      </c>
      <c r="V10" s="38">
        <f>IFERROR(עלותמכירות[[#This Row],[מאי]]/עלותמכירות[[#Totals],[מאי]],"-")</f>
        <v>4.7619047619047616E-2</v>
      </c>
      <c r="W10" s="38">
        <f>IFERROR(עלותמכירות[[#This Row],[יונ]]/עלותמכירות[[#Totals],[יונ]],"-")</f>
        <v>0.30128205128205127</v>
      </c>
      <c r="X10" s="38">
        <f>IFERROR(עלותמכירות[[#This Row],[יול]]/עלותמכירות[[#Totals],[יול]],"-")</f>
        <v>0.15384615384615385</v>
      </c>
      <c r="Y10" s="38">
        <f>IFERROR(עלותמכירות[[#This Row],[אוג]]/עלותמכירות[[#Totals],[אוג]],"-")</f>
        <v>6.637168141592921E-2</v>
      </c>
      <c r="Z10" s="38">
        <f>IFERROR(עלותמכירות[[#This Row],[ספט]]/עלותמכירות[[#Totals],[ספט]],"-")</f>
        <v>0.13285024154589373</v>
      </c>
      <c r="AA10" s="38">
        <f>IFERROR(עלותמכירות[[#This Row],[אוק]]/עלותמכירות[[#Totals],[אוק]],"-")</f>
        <v>5.4744525547445258E-2</v>
      </c>
      <c r="AB10" s="38">
        <f>IFERROR(עלותמכירות[[#This Row],[נוב]]/עלותמכירות[[#Totals],[נוב]],"-")</f>
        <v>0.14015151515151514</v>
      </c>
      <c r="AC10" s="38">
        <f>IFERROR(עלותמכירות[[#This Row],[דצמ]]/עלותמכירות[[#Totals],[דצמ]],"-")</f>
        <v>0.19646799116997793</v>
      </c>
      <c r="AD10" s="38">
        <f>IFERROR(עלותמכירות[[#This Row],[שנתי]]/עלותמכירות[[#Totals],[שנתי]],"-")</f>
        <v>0.14379256155055004</v>
      </c>
    </row>
    <row r="11" spans="1:30" ht="30" customHeight="1" x14ac:dyDescent="0.2">
      <c r="B11" s="48" t="s">
        <v>48</v>
      </c>
      <c r="C11" s="17"/>
      <c r="D11" s="18">
        <v>18</v>
      </c>
      <c r="E11" s="18">
        <v>11</v>
      </c>
      <c r="F11" s="18">
        <v>30</v>
      </c>
      <c r="G11" s="18">
        <v>9</v>
      </c>
      <c r="H11" s="18">
        <v>62</v>
      </c>
      <c r="I11" s="18">
        <v>39</v>
      </c>
      <c r="J11" s="18">
        <v>102</v>
      </c>
      <c r="K11" s="18">
        <v>44</v>
      </c>
      <c r="L11" s="18">
        <v>121</v>
      </c>
      <c r="M11" s="18">
        <v>19</v>
      </c>
      <c r="N11" s="18">
        <v>33</v>
      </c>
      <c r="O11" s="18">
        <v>40</v>
      </c>
      <c r="P11" s="37">
        <f>SUM(עלותמכירות[[#This Row],[ינו]:[דצמ]])</f>
        <v>528</v>
      </c>
      <c r="Q11" s="29">
        <v>0.1</v>
      </c>
      <c r="R11" s="38">
        <f>IFERROR(עלותמכירות[[#This Row],[ינו]]/עלותמכירות[[#Totals],[ינו]],"-")</f>
        <v>6.7924528301886791E-2</v>
      </c>
      <c r="S11" s="38">
        <f>IFERROR(עלותמכירות[[#This Row],[פבר]]/עלותמכירות[[#Totals],[פבר]],"-")</f>
        <v>3.0898876404494381E-2</v>
      </c>
      <c r="T11" s="38">
        <f>IFERROR(עלותמכירות[[#This Row],[מרץ]]/עלותמכירות[[#Totals],[מרץ]],"-")</f>
        <v>9.5238095238095233E-2</v>
      </c>
      <c r="U11" s="38">
        <f>IFERROR(עלותמכירות[[#This Row],[אפר]]/עלותמכירות[[#Totals],[אפר]],"-")</f>
        <v>3.7344398340248962E-2</v>
      </c>
      <c r="V11" s="38">
        <f>IFERROR(עלותמכירות[[#This Row],[מאי]]/עלותמכירות[[#Totals],[מאי]],"-")</f>
        <v>0.15538847117794485</v>
      </c>
      <c r="W11" s="38">
        <f>IFERROR(עלותמכירות[[#This Row],[יונ]]/עלותמכירות[[#Totals],[יונ]],"-")</f>
        <v>0.125</v>
      </c>
      <c r="X11" s="38">
        <f>IFERROR(עלותמכירות[[#This Row],[יול]]/עלותמכירות[[#Totals],[יול]],"-")</f>
        <v>0.34113712374581939</v>
      </c>
      <c r="Y11" s="38">
        <f>IFERROR(עלותמכירות[[#This Row],[אוג]]/עלותמכירות[[#Totals],[אוג]],"-")</f>
        <v>0.19469026548672566</v>
      </c>
      <c r="Z11" s="38">
        <f>IFERROR(עלותמכירות[[#This Row],[ספט]]/עלותמכירות[[#Totals],[ספט]],"-")</f>
        <v>0.2922705314009662</v>
      </c>
      <c r="AA11" s="38">
        <f>IFERROR(עלותמכירות[[#This Row],[אוק]]/עלותמכירות[[#Totals],[אוק]],"-")</f>
        <v>6.9343065693430656E-2</v>
      </c>
      <c r="AB11" s="38">
        <f>IFERROR(עלותמכירות[[#This Row],[נוב]]/עלותמכירות[[#Totals],[נוב]],"-")</f>
        <v>0.125</v>
      </c>
      <c r="AC11" s="38">
        <f>IFERROR(עלותמכירות[[#This Row],[דצמ]]/עלותמכירות[[#Totals],[דצמ]],"-")</f>
        <v>8.8300220750551883E-2</v>
      </c>
      <c r="AD11" s="38">
        <f>IFERROR(עלותמכירות[[#This Row],[שנתי]]/עלותמכירות[[#Totals],[שנתי]],"-")</f>
        <v>0.13829229963331588</v>
      </c>
    </row>
    <row r="12" spans="1:30" ht="30" customHeight="1" x14ac:dyDescent="0.2">
      <c r="B12" s="40" t="s">
        <v>49</v>
      </c>
      <c r="C12" s="1"/>
      <c r="D12" s="34">
        <f>SUBTOTAL(109,עלותמכירות[ינו])</f>
        <v>265</v>
      </c>
      <c r="E12" s="34">
        <f>SUBTOTAL(109,עלותמכירות[פבר])</f>
        <v>356</v>
      </c>
      <c r="F12" s="34">
        <f>SUBTOTAL(109,עלותמכירות[מרץ])</f>
        <v>315</v>
      </c>
      <c r="G12" s="34">
        <f>SUBTOTAL(109,עלותמכירות[אפר])</f>
        <v>241</v>
      </c>
      <c r="H12" s="34">
        <f>SUBTOTAL(109,עלותמכירות[מאי])</f>
        <v>399</v>
      </c>
      <c r="I12" s="34">
        <f>SUBTOTAL(109,עלותמכירות[יונ])</f>
        <v>312</v>
      </c>
      <c r="J12" s="34">
        <f>SUBTOTAL(109,עלותמכירות[יול])</f>
        <v>299</v>
      </c>
      <c r="K12" s="34">
        <f>SUBTOTAL(109,עלותמכירות[אוג])</f>
        <v>226</v>
      </c>
      <c r="L12" s="34">
        <f>SUBTOTAL(109,עלותמכירות[ספט])</f>
        <v>414</v>
      </c>
      <c r="M12" s="34">
        <f>SUBTOTAL(109,עלותמכירות[אוק])</f>
        <v>274</v>
      </c>
      <c r="N12" s="34">
        <f>SUBTOTAL(109,עלותמכירות[נוב])</f>
        <v>264</v>
      </c>
      <c r="O12" s="34">
        <f>SUBTOTAL(109,עלותמכירות[דצמ])</f>
        <v>453</v>
      </c>
      <c r="P12" s="34">
        <f>SUBTOTAL(109,עלותמכירות[שנתי])</f>
        <v>3818</v>
      </c>
      <c r="Q12" s="3">
        <f>SUBTOTAL(109,עלותמכירות[% מדד])</f>
        <v>1</v>
      </c>
      <c r="R12" s="2">
        <f>SUBTOTAL(109,עלותמכירות[% ינו])</f>
        <v>0.99999999999999989</v>
      </c>
      <c r="S12" s="2">
        <f>SUBTOTAL(109,עלותמכירות[% פבר])</f>
        <v>1</v>
      </c>
      <c r="T12" s="2">
        <f>SUBTOTAL(109,עלותמכירות[% מרץ])</f>
        <v>0.99999999999999989</v>
      </c>
      <c r="U12" s="2">
        <f>SUBTOTAL(109,עלותמכירות[% אפר])</f>
        <v>1</v>
      </c>
      <c r="V12" s="2">
        <f>SUBTOTAL(109,עלותמכירות[% מאי])</f>
        <v>0.99999999999999989</v>
      </c>
      <c r="W12" s="2">
        <f>SUBTOTAL(109,עלותמכירות[% יונ])</f>
        <v>1</v>
      </c>
      <c r="X12" s="2">
        <f>SUBTOTAL(109,עלותמכירות[% יול])</f>
        <v>1</v>
      </c>
      <c r="Y12" s="2">
        <f>SUBTOTAL(109,עלותמכירות[% אוג])</f>
        <v>0.99999999999999989</v>
      </c>
      <c r="Z12" s="2">
        <f>SUBTOTAL(109,עלותמכירות[% ספט])</f>
        <v>1</v>
      </c>
      <c r="AA12" s="2">
        <f>SUBTOTAL(109,עלותמכירות[% אוק])</f>
        <v>1</v>
      </c>
      <c r="AB12" s="2">
        <f>SUBTOTAL(109,עלותמכירות[% נוב])</f>
        <v>0.99999999999999989</v>
      </c>
      <c r="AC12" s="2">
        <f>SUBTOTAL(109,עלותמכירות[% דצמ])</f>
        <v>1</v>
      </c>
      <c r="AD12" s="2">
        <f>SUBTOTAL(109,עלותמכירות[% בשנה])</f>
        <v>0.99999999999999989</v>
      </c>
    </row>
    <row r="13" spans="1:30" ht="30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30" customHeight="1" x14ac:dyDescent="0.2">
      <c r="B14" s="41" t="s">
        <v>50</v>
      </c>
      <c r="C14" s="42"/>
      <c r="D14" s="43">
        <f>הכנסה[[#Totals],[ינו]]-עלותמכירות[[#Totals],[ינו]]</f>
        <v>359</v>
      </c>
      <c r="E14" s="43">
        <f>הכנסה[[#Totals],[פבר]]-עלותמכירות[[#Totals],[פבר]]</f>
        <v>380</v>
      </c>
      <c r="F14" s="43">
        <f>הכנסה[[#Totals],[מרץ]]-עלותמכירות[[#Totals],[מרץ]]</f>
        <v>505</v>
      </c>
      <c r="G14" s="43">
        <f>הכנסה[[#Totals],[אפר]]-עלותמכירות[[#Totals],[אפר]]</f>
        <v>370</v>
      </c>
      <c r="H14" s="43">
        <f>הכנסה[[#Totals],[מאי]]-עלותמכירות[[#Totals],[מאי]]</f>
        <v>413</v>
      </c>
      <c r="I14" s="43">
        <f>הכנסה[[#Totals],[יונ]]-עלותמכירות[[#Totals],[יונ]]</f>
        <v>266</v>
      </c>
      <c r="J14" s="43">
        <f>הכנסה[[#Totals],[יול]]-עלותמכירות[[#Totals],[יול]]</f>
        <v>298</v>
      </c>
      <c r="K14" s="43">
        <f>הכנסה[[#Totals],[אוג]]-עלותמכירות[[#Totals],[אוג]]</f>
        <v>449</v>
      </c>
      <c r="L14" s="43">
        <f>הכנסה[[#Totals],[ספט]]-עלותמכירות[[#Totals],[ספט]]</f>
        <v>330</v>
      </c>
      <c r="M14" s="43">
        <f>הכנסה[[#Totals],[אוק]]-עלותמכירות[[#Totals],[אוק]]</f>
        <v>407</v>
      </c>
      <c r="N14" s="43">
        <f>הכנסה[[#Totals],[נוב]]-עלותמכירות[[#Totals],[נוב]]</f>
        <v>475</v>
      </c>
      <c r="O14" s="43">
        <f>הכנסה[[#Totals],[דצמ]]-עלותמכירות[[#Totals],[דצמ]]</f>
        <v>590</v>
      </c>
      <c r="P14" s="43">
        <f>הכנסה[[#Totals],[שנתי]]-עלותמכירות[[#Totals],[שנתי]]</f>
        <v>4842</v>
      </c>
      <c r="Q14" s="41"/>
      <c r="R14" s="44">
        <f t="shared" ref="R14:AD14" si="1">D14/$P$14</f>
        <v>7.4142916150351096E-2</v>
      </c>
      <c r="S14" s="44">
        <f t="shared" si="1"/>
        <v>7.8479966955803393E-2</v>
      </c>
      <c r="T14" s="44">
        <f t="shared" si="1"/>
        <v>0.10429574555968608</v>
      </c>
      <c r="U14" s="44">
        <f t="shared" si="1"/>
        <v>7.6414704667492769E-2</v>
      </c>
      <c r="V14" s="44">
        <f t="shared" si="1"/>
        <v>8.5295332507228414E-2</v>
      </c>
      <c r="W14" s="44">
        <f t="shared" si="1"/>
        <v>5.4935976869062368E-2</v>
      </c>
      <c r="X14" s="44">
        <f t="shared" si="1"/>
        <v>6.1544816191656339E-2</v>
      </c>
      <c r="Y14" s="44">
        <f t="shared" si="1"/>
        <v>9.2730276745146639E-2</v>
      </c>
      <c r="Z14" s="44">
        <f t="shared" si="1"/>
        <v>6.8153655514250316E-2</v>
      </c>
      <c r="AA14" s="44">
        <f t="shared" si="1"/>
        <v>8.4056175134242045E-2</v>
      </c>
      <c r="AB14" s="44">
        <f t="shared" si="1"/>
        <v>9.8099958694754227E-2</v>
      </c>
      <c r="AC14" s="44">
        <f t="shared" si="1"/>
        <v>0.12185047501032631</v>
      </c>
      <c r="AD14" s="44">
        <f t="shared" si="1"/>
        <v>1</v>
      </c>
    </row>
  </sheetData>
  <dataValidations count="18">
    <dataValidation allowBlank="1" showInputMessage="1" showErrorMessage="1" prompt="רווח הברוטו עבור כל חודש ושנה מחושב באופן אוטומטי בשורה זו בהתבסס על סה&quot;כ המכירות וסה&quot;כ עלויות המכירות" sqref="B14"/>
    <dataValidation allowBlank="1" showInputMessage="1" showErrorMessage="1" prompt="גליון עבודה זה מחשב עלות המכירות הכוללת עבור כל חודש ושנה, ואת עלויות המכירות השנתיות עבור פריטים. בהתבסס על הערכים שהוזנו, רווח הברוטו מחושב באופן אוטומטי" sqref="A1"/>
    <dataValidation allowBlank="1" showInputMessage="1" showErrorMessage="1" prompt="תא זה מתעדכן באופן אוטומטי מהכותרת של תקופת התחזית בגליון העבודה 'הכנסות (מכירות)'" sqref="B1"/>
    <dataValidation allowBlank="1" showInputMessage="1" showErrorMessage="1" prompt="שם החברה מתעדכן באופן אוטומטי באמצעות הערך מגליון העבודה 'הכנסות (מכירות)'" sqref="AD1"/>
    <dataValidation allowBlank="1" showInputMessage="1" showErrorMessage="1" prompt="הכותרת מתעדכנת באופן אוטומטי מגליון העבודה 'הכנסות (מכירות)'. הזן ערכים בטבלה 'עלות מכירות' שלהלן כדי לחשב את סה&quot;כ עלויות המכירות" sqref="B2"/>
    <dataValidation allowBlank="1" showInputMessage="1" showErrorMessage="1" prompt="החודש והשנה מתעדכנים באופן אוטומטי בתאים בצד שמאל. כדי לשנות את החודש או השנה, שנה את תאים AC2 ו- AD2 בגליון העבודה 'הכנסות (מכירות)'" sqref="AB2"/>
    <dataValidation allowBlank="1" showInputMessage="1" showErrorMessage="1" prompt="הזן את אחוז המדד בעמודה זו" sqref="Q4"/>
    <dataValidation allowBlank="1" showInputMessage="1" showErrorMessage="1" prompt="הזן בעמודה זו את עלות המקורות המפורטים בעמודה B" sqref="D4:O4"/>
    <dataValidation allowBlank="1" showInputMessage="1" showErrorMessage="1" prompt="תרשים מגמות עבור העלויות לאורך זמן מופיע בעמודה זו" sqref="C4"/>
    <dataValidation allowBlank="1" showInputMessage="1" showErrorMessage="1" prompt="הזן את עלות המכירות בעמודה זו" sqref="B4"/>
    <dataValidation allowBlank="1" showInputMessage="1" showErrorMessage="1" prompt="מחשב באופן אוטומטי את היחס בין עלות המכירות ממקורות שונים לסה&quot;כ המכירות עבור השנה המשויכת לעמודה זו" sqref="AD3"/>
    <dataValidation allowBlank="1" showInputMessage="1" showErrorMessage="1" prompt="מחשב באופן אוטומטי את היחס בין עלות המכירות ממקורות שונים לסה&quot;כ המכירות בעמודה זו, עבור החודש בתא זה" sqref="R3:AC3"/>
    <dataValidation allowBlank="1" showInputMessage="1" showErrorMessage="1" prompt="החודש מתעדכן באופן אוטומטי" sqref="E3:O3"/>
    <dataValidation allowBlank="1" showInputMessage="1" showErrorMessage="1" prompt="התאריכים בשורה זו מתעדכנים באופן אוטומטי בהתבסס על חודש ההתחלה של שנת הכספים. כדי לשנות את חודש ההתחלה, שנה את תא AC2 בגיליון 'הכנסות (מכירות)'" sqref="D3"/>
    <dataValidation allowBlank="1" showInputMessage="1" showErrorMessage="1" prompt="העלות השנתית מחושבת באופן אוטומטי בעמודה זו" sqref="P3"/>
    <dataValidation allowBlank="1" showInputMessage="1" showErrorMessage="1" prompt="אחוז המדד מופיע בעמודה זו" sqref="Q3"/>
    <dataValidation allowBlank="1" showInputMessage="1" showErrorMessage="1" prompt="החודש מתעדכן באופן אוטומטי. כדי לשנות, שנה את תא AC2 בגיליון 'הכנסות (מכירות)'" sqref="AC2"/>
    <dataValidation allowBlank="1" showInputMessage="1" showErrorMessage="1" prompt="השנה מתעדכנת באופן אוטומטי. כדי לשנות, שנה את תא AD2 בגיליון 'הכנסות (מכירות)'" sqref="AD2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rightToLeft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'עלות מכירות'!D5:O5</xm:f>
              <xm:sqref>C5</xm:sqref>
            </x14:sparkline>
            <x14:sparkline>
              <xm:f>'עלות מכירות'!D6:O6</xm:f>
              <xm:sqref>C6</xm:sqref>
            </x14:sparkline>
            <x14:sparkline>
              <xm:f>'עלות מכירות'!D7:O7</xm:f>
              <xm:sqref>C7</xm:sqref>
            </x14:sparkline>
            <x14:sparkline>
              <xm:f>'עלות מכירות'!D8:O8</xm:f>
              <xm:sqref>C8</xm:sqref>
            </x14:sparkline>
            <x14:sparkline>
              <xm:f>'עלות מכירות'!D9:O9</xm:f>
              <xm:sqref>C9</xm:sqref>
            </x14:sparkline>
            <x14:sparkline>
              <xm:f>'עלות מכירות'!D10:O10</xm:f>
              <xm:sqref>C10</xm:sqref>
            </x14:sparkline>
            <x14:sparkline>
              <xm:f>'עלות מכירות'!D11:O11</xm:f>
              <xm:sqref>C11</xm:sqref>
            </x14:sparkline>
          </x14:sparklines>
        </x14:sparklineGroup>
        <x14:sparklineGroup lineWeight="1" displayEmptyCellsAs="gap" high="1" low="1" rightToLeft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'עלות מכירות'!D12:O12</xm:f>
              <xm:sqref>C12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rightToLeft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style="7" customWidth="1"/>
    <col min="2" max="2" width="25.25" style="7" customWidth="1"/>
    <col min="3" max="3" width="12.625" style="7" customWidth="1"/>
    <col min="4" max="15" width="10" style="7" customWidth="1"/>
    <col min="16" max="16" width="11.875" style="7" customWidth="1"/>
    <col min="17" max="29" width="7.75" style="7" customWidth="1"/>
    <col min="30" max="30" width="9.875" style="7" customWidth="1"/>
    <col min="31" max="31" width="2.625" style="7" customWidth="1"/>
    <col min="32" max="16384" width="9" style="7"/>
  </cols>
  <sheetData>
    <row r="1" spans="1:30" ht="35.1" customHeight="1" x14ac:dyDescent="0.2">
      <c r="A1" s="5"/>
      <c r="B1" s="6" t="str">
        <f>Projection_Period_Title</f>
        <v>שנים-עשר חודשים</v>
      </c>
      <c r="J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22" t="str">
        <f>שם_החברה</f>
        <v>שם החברה</v>
      </c>
    </row>
    <row r="2" spans="1:30" ht="60" customHeight="1" x14ac:dyDescent="0.2">
      <c r="B2" s="10" t="str">
        <f>'הכנסות (מכירות)'!$B$2</f>
        <v>תחזית רווח והפסד</v>
      </c>
      <c r="E2" s="11"/>
      <c r="G2" s="11"/>
      <c r="K2" s="11"/>
      <c r="L2" s="11"/>
      <c r="M2" s="11"/>
      <c r="N2" s="11"/>
      <c r="O2" s="11"/>
      <c r="X2" s="12"/>
      <c r="Y2" s="12"/>
      <c r="Z2" s="12"/>
      <c r="AA2" s="12"/>
      <c r="AB2" s="24" t="s">
        <v>51</v>
      </c>
      <c r="AC2" s="24" t="str">
        <f>FYMonthStart</f>
        <v>ינו</v>
      </c>
      <c r="AD2" s="24">
        <f ca="1">FYStartYear</f>
        <v>2017</v>
      </c>
    </row>
    <row r="3" spans="1:30" ht="20.100000000000001" customHeight="1" x14ac:dyDescent="0.2">
      <c r="D3" s="13" t="str">
        <f ca="1">UPPER(TEXT(DATE(FYStartYear,FYMonthNo,1),"mmm-yy"))</f>
        <v>ינו-17</v>
      </c>
      <c r="E3" s="13" t="str">
        <f ca="1">UPPER(TEXT(DATE(FYStartYear,FYMonthNo+1,1),"mmm-yy"))</f>
        <v>פבר-17</v>
      </c>
      <c r="F3" s="13" t="str">
        <f ca="1">UPPER(TEXT(DATE(FYStartYear,FYMonthNo+2,1),"mmm-yy"))</f>
        <v>מרץ-17</v>
      </c>
      <c r="G3" s="13" t="str">
        <f ca="1">UPPER(TEXT(DATE(FYStartYear,FYMonthNo+3,1),"mmm-yy"))</f>
        <v>אפר-17</v>
      </c>
      <c r="H3" s="13" t="str">
        <f ca="1">UPPER(TEXT(DATE(FYStartYear,FYMonthNo+4,1),"mmm-yy"))</f>
        <v>מאי-17</v>
      </c>
      <c r="I3" s="13" t="str">
        <f ca="1">UPPER(TEXT(DATE(FYStartYear,FYMonthNo+5,1),"mmm-yy"))</f>
        <v>יונ-17</v>
      </c>
      <c r="J3" s="13" t="str">
        <f ca="1">UPPER(TEXT(DATE(FYStartYear,FYMonthNo+6,1),"mmm-yy"))</f>
        <v>יול-17</v>
      </c>
      <c r="K3" s="13" t="str">
        <f ca="1">UPPER(TEXT(DATE(FYStartYear,FYMonthNo+7,1),"mmm-yy"))</f>
        <v>אוג-17</v>
      </c>
      <c r="L3" s="13" t="str">
        <f ca="1">UPPER(TEXT(DATE(FYStartYear,FYMonthNo+8,1),"mmm-yy"))</f>
        <v>ספט-17</v>
      </c>
      <c r="M3" s="13" t="str">
        <f ca="1">UPPER(TEXT(DATE(FYStartYear,FYMonthNo+9,1),"mmm-yy"))</f>
        <v>אוק-17</v>
      </c>
      <c r="N3" s="13" t="str">
        <f ca="1">UPPER(TEXT(DATE(FYStartYear,FYMonthNo+10,1),"mmm-yy"))</f>
        <v>נוב-17</v>
      </c>
      <c r="O3" s="13" t="str">
        <f ca="1">UPPER(TEXT(DATE(FYStartYear,FYMonthNo+11,1),"mmm-yy"))</f>
        <v>דצמ-17</v>
      </c>
      <c r="P3" s="13" t="s">
        <v>24</v>
      </c>
      <c r="Q3" s="13" t="s">
        <v>25</v>
      </c>
      <c r="R3" s="13" t="str">
        <f ca="1">LEFT(D3,3)&amp;" %"</f>
        <v>ינו %</v>
      </c>
      <c r="S3" s="13" t="str">
        <f t="shared" ref="S3:AC3" ca="1" si="0">LEFT(E3,3)&amp;" %"</f>
        <v>פבר %</v>
      </c>
      <c r="T3" s="13" t="str">
        <f t="shared" ca="1" si="0"/>
        <v>מרץ %</v>
      </c>
      <c r="U3" s="13" t="str">
        <f t="shared" ca="1" si="0"/>
        <v>אפר %</v>
      </c>
      <c r="V3" s="13" t="str">
        <f t="shared" ca="1" si="0"/>
        <v>מאי %</v>
      </c>
      <c r="W3" s="13" t="str">
        <f t="shared" ca="1" si="0"/>
        <v>יונ %</v>
      </c>
      <c r="X3" s="13" t="str">
        <f t="shared" ca="1" si="0"/>
        <v>יול %</v>
      </c>
      <c r="Y3" s="13" t="str">
        <f t="shared" ca="1" si="0"/>
        <v>אוג %</v>
      </c>
      <c r="Z3" s="13" t="str">
        <f t="shared" ca="1" si="0"/>
        <v>ספט %</v>
      </c>
      <c r="AA3" s="13" t="str">
        <f t="shared" ca="1" si="0"/>
        <v>אוק %</v>
      </c>
      <c r="AB3" s="13" t="str">
        <f t="shared" ca="1" si="0"/>
        <v>נוב %</v>
      </c>
      <c r="AC3" s="13" t="str">
        <f t="shared" ca="1" si="0"/>
        <v>דצמ %</v>
      </c>
      <c r="AD3" s="13" t="s">
        <v>40</v>
      </c>
    </row>
    <row r="4" spans="1:30" ht="30" customHeight="1" x14ac:dyDescent="0.2">
      <c r="B4" s="39" t="s">
        <v>52</v>
      </c>
      <c r="C4" s="39" t="s">
        <v>11</v>
      </c>
      <c r="D4" s="14" t="s">
        <v>73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17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24</v>
      </c>
      <c r="Q4" s="15" t="s">
        <v>25</v>
      </c>
      <c r="R4" s="15" t="s">
        <v>26</v>
      </c>
      <c r="S4" s="15" t="s">
        <v>27</v>
      </c>
      <c r="T4" s="15" t="s">
        <v>28</v>
      </c>
      <c r="U4" s="15" t="s">
        <v>29</v>
      </c>
      <c r="V4" s="15" t="s">
        <v>30</v>
      </c>
      <c r="W4" s="15" t="s">
        <v>31</v>
      </c>
      <c r="X4" s="15" t="s">
        <v>32</v>
      </c>
      <c r="Y4" s="15" t="s">
        <v>33</v>
      </c>
      <c r="Z4" s="15" t="s">
        <v>34</v>
      </c>
      <c r="AA4" s="15" t="s">
        <v>35</v>
      </c>
      <c r="AB4" s="15" t="s">
        <v>37</v>
      </c>
      <c r="AC4" s="15" t="s">
        <v>38</v>
      </c>
      <c r="AD4" s="14" t="s">
        <v>40</v>
      </c>
    </row>
    <row r="5" spans="1:30" ht="30" customHeight="1" x14ac:dyDescent="0.2">
      <c r="B5" s="46" t="s">
        <v>53</v>
      </c>
      <c r="C5" s="19" t="s">
        <v>72</v>
      </c>
      <c r="D5" s="18">
        <v>10</v>
      </c>
      <c r="E5" s="18">
        <v>18</v>
      </c>
      <c r="F5" s="18">
        <v>13</v>
      </c>
      <c r="G5" s="18">
        <v>8</v>
      </c>
      <c r="H5" s="18">
        <v>22</v>
      </c>
      <c r="I5" s="18">
        <v>18</v>
      </c>
      <c r="J5" s="18">
        <v>8</v>
      </c>
      <c r="K5" s="18">
        <v>17</v>
      </c>
      <c r="L5" s="18">
        <v>20</v>
      </c>
      <c r="M5" s="18">
        <v>8</v>
      </c>
      <c r="N5" s="18">
        <v>4</v>
      </c>
      <c r="O5" s="18">
        <v>12</v>
      </c>
      <c r="P5" s="20">
        <f>SUM(tblExpenses[[#This Row],[עמודה1]:[דצמ]])</f>
        <v>158</v>
      </c>
      <c r="Q5" s="29">
        <v>0.12</v>
      </c>
      <c r="R5" s="30">
        <f>tblExpenses[[#This Row],[עמודה1]]/tblExpenses[[#Totals],[עמודה1]]</f>
        <v>4.2372881355932202E-2</v>
      </c>
      <c r="S5" s="30">
        <f>tblExpenses[[#This Row],[פבר]]/tblExpenses[[#Totals],[פבר]]</f>
        <v>8.7804878048780483E-2</v>
      </c>
      <c r="T5" s="30">
        <f>tblExpenses[[#This Row],[מרץ]]/tblExpenses[[#Totals],[מרץ]]</f>
        <v>5.2208835341365459E-2</v>
      </c>
      <c r="U5" s="30">
        <f>tblExpenses[[#This Row],[אפר]]/tblExpenses[[#Totals],[אפר]]</f>
        <v>3.0651340996168581E-2</v>
      </c>
      <c r="V5" s="30">
        <f>tblExpenses[[#This Row],[מאי]]/tblExpenses[[#Totals],[מאי]]</f>
        <v>8.5603112840466927E-2</v>
      </c>
      <c r="W5" s="30">
        <f>tblExpenses[[#This Row],[יונ]]/tblExpenses[[#Totals],[יונ]]</f>
        <v>6.569343065693431E-2</v>
      </c>
      <c r="X5" s="30">
        <f>tblExpenses[[#This Row],[יול]]/tblExpenses[[#Totals],[יול]]</f>
        <v>3.007518796992481E-2</v>
      </c>
      <c r="Y5" s="30">
        <f>tblExpenses[[#This Row],[אוג]]/tblExpenses[[#Totals],[אוג]]</f>
        <v>7.2340425531914887E-2</v>
      </c>
      <c r="Z5" s="30">
        <f>tblExpenses[[#This Row],[ספט]]/tblExpenses[[#Totals],[ספט]]</f>
        <v>8.6956521739130432E-2</v>
      </c>
      <c r="AA5" s="30">
        <f>tblExpenses[[#This Row],[אוק]]/tblExpenses[[#Totals],[אוק]]</f>
        <v>3.0888030888030889E-2</v>
      </c>
      <c r="AB5" s="30">
        <f>tblExpenses[[#This Row],[נוב]]/tblExpenses[[#Totals],[נוב]]</f>
        <v>1.3513513513513514E-2</v>
      </c>
      <c r="AC5" s="30">
        <f>tblExpenses[[#This Row],[דצמ]]/tblExpenses[[#Totals],[דצמ]]</f>
        <v>5.1948051948051951E-2</v>
      </c>
      <c r="AD5" s="30">
        <f>tblExpenses[[#This Row],[שנתי]]/tblExpenses[[#Totals],[שנתי]]</f>
        <v>5.2684228076025338E-2</v>
      </c>
    </row>
    <row r="6" spans="1:30" ht="30" customHeight="1" x14ac:dyDescent="0.2">
      <c r="B6" s="46" t="s">
        <v>54</v>
      </c>
      <c r="C6" s="19" t="s">
        <v>72</v>
      </c>
      <c r="D6" s="18">
        <v>23</v>
      </c>
      <c r="E6" s="18">
        <v>11</v>
      </c>
      <c r="F6" s="18">
        <v>7</v>
      </c>
      <c r="G6" s="18">
        <v>14</v>
      </c>
      <c r="H6" s="18">
        <v>12</v>
      </c>
      <c r="I6" s="18">
        <v>19</v>
      </c>
      <c r="J6" s="18">
        <v>19</v>
      </c>
      <c r="K6" s="18">
        <v>4</v>
      </c>
      <c r="L6" s="18">
        <v>7</v>
      </c>
      <c r="M6" s="18">
        <v>13</v>
      </c>
      <c r="N6" s="18">
        <v>25</v>
      </c>
      <c r="O6" s="18">
        <v>5</v>
      </c>
      <c r="P6" s="20">
        <f>SUM(tblExpenses[[#This Row],[עמודה1]:[דצמ]])</f>
        <v>159</v>
      </c>
      <c r="Q6" s="29">
        <v>0.09</v>
      </c>
      <c r="R6" s="30">
        <f>tblExpenses[[#This Row],[עמודה1]]/tblExpenses[[#Totals],[עמודה1]]</f>
        <v>9.7457627118644072E-2</v>
      </c>
      <c r="S6" s="30">
        <f>tblExpenses[[#This Row],[פבר]]/tblExpenses[[#Totals],[פבר]]</f>
        <v>5.3658536585365853E-2</v>
      </c>
      <c r="T6" s="30">
        <f>tblExpenses[[#This Row],[מרץ]]/tblExpenses[[#Totals],[מרץ]]</f>
        <v>2.8112449799196786E-2</v>
      </c>
      <c r="U6" s="30">
        <f>tblExpenses[[#This Row],[אפר]]/tblExpenses[[#Totals],[אפר]]</f>
        <v>5.3639846743295021E-2</v>
      </c>
      <c r="V6" s="30">
        <f>tblExpenses[[#This Row],[מאי]]/tblExpenses[[#Totals],[מאי]]</f>
        <v>4.6692607003891051E-2</v>
      </c>
      <c r="W6" s="30">
        <f>tblExpenses[[#This Row],[יונ]]/tblExpenses[[#Totals],[יונ]]</f>
        <v>6.9343065693430656E-2</v>
      </c>
      <c r="X6" s="30">
        <f>tblExpenses[[#This Row],[יול]]/tblExpenses[[#Totals],[יול]]</f>
        <v>7.1428571428571425E-2</v>
      </c>
      <c r="Y6" s="30">
        <f>tblExpenses[[#This Row],[אוג]]/tblExpenses[[#Totals],[אוג]]</f>
        <v>1.7021276595744681E-2</v>
      </c>
      <c r="Z6" s="30">
        <f>tblExpenses[[#This Row],[ספט]]/tblExpenses[[#Totals],[ספט]]</f>
        <v>3.0434782608695653E-2</v>
      </c>
      <c r="AA6" s="30">
        <f>tblExpenses[[#This Row],[אוק]]/tblExpenses[[#Totals],[אוק]]</f>
        <v>5.019305019305019E-2</v>
      </c>
      <c r="AB6" s="30">
        <f>tblExpenses[[#This Row],[נוב]]/tblExpenses[[#Totals],[נוב]]</f>
        <v>8.4459459459459457E-2</v>
      </c>
      <c r="AC6" s="30">
        <f>tblExpenses[[#This Row],[דצמ]]/tblExpenses[[#Totals],[דצמ]]</f>
        <v>2.1645021645021644E-2</v>
      </c>
      <c r="AD6" s="30">
        <f>tblExpenses[[#This Row],[שנתי]]/tblExpenses[[#Totals],[שנתי]]</f>
        <v>5.3017672557519172E-2</v>
      </c>
    </row>
    <row r="7" spans="1:30" ht="30" customHeight="1" x14ac:dyDescent="0.2">
      <c r="B7" s="47" t="s">
        <v>55</v>
      </c>
      <c r="C7" s="19" t="s">
        <v>72</v>
      </c>
      <c r="D7" s="18">
        <v>23</v>
      </c>
      <c r="E7" s="18">
        <v>20</v>
      </c>
      <c r="F7" s="18">
        <v>3</v>
      </c>
      <c r="G7" s="18">
        <v>16</v>
      </c>
      <c r="H7" s="18">
        <v>10</v>
      </c>
      <c r="I7" s="18">
        <v>5</v>
      </c>
      <c r="J7" s="18">
        <v>20</v>
      </c>
      <c r="K7" s="18">
        <v>7</v>
      </c>
      <c r="L7" s="18">
        <v>4</v>
      </c>
      <c r="M7" s="18">
        <v>22</v>
      </c>
      <c r="N7" s="18">
        <v>13</v>
      </c>
      <c r="O7" s="18">
        <v>14</v>
      </c>
      <c r="P7" s="20">
        <f>SUM(tblExpenses[[#This Row],[עמודה1]:[דצמ]])</f>
        <v>157</v>
      </c>
      <c r="Q7" s="29">
        <v>0.02</v>
      </c>
      <c r="R7" s="30">
        <f>tblExpenses[[#This Row],[עמודה1]]/tblExpenses[[#Totals],[עמודה1]]</f>
        <v>9.7457627118644072E-2</v>
      </c>
      <c r="S7" s="30">
        <f>tblExpenses[[#This Row],[פבר]]/tblExpenses[[#Totals],[פבר]]</f>
        <v>9.7560975609756101E-2</v>
      </c>
      <c r="T7" s="30">
        <f>tblExpenses[[#This Row],[מרץ]]/tblExpenses[[#Totals],[מרץ]]</f>
        <v>1.2048192771084338E-2</v>
      </c>
      <c r="U7" s="30">
        <f>tblExpenses[[#This Row],[אפר]]/tblExpenses[[#Totals],[אפר]]</f>
        <v>6.1302681992337162E-2</v>
      </c>
      <c r="V7" s="30">
        <f>tblExpenses[[#This Row],[מאי]]/tblExpenses[[#Totals],[מאי]]</f>
        <v>3.8910505836575876E-2</v>
      </c>
      <c r="W7" s="30">
        <f>tblExpenses[[#This Row],[יונ]]/tblExpenses[[#Totals],[יונ]]</f>
        <v>1.824817518248175E-2</v>
      </c>
      <c r="X7" s="30">
        <f>tblExpenses[[#This Row],[יול]]/tblExpenses[[#Totals],[יול]]</f>
        <v>7.5187969924812026E-2</v>
      </c>
      <c r="Y7" s="30">
        <f>tblExpenses[[#This Row],[אוג]]/tblExpenses[[#Totals],[אוג]]</f>
        <v>2.9787234042553193E-2</v>
      </c>
      <c r="Z7" s="30">
        <f>tblExpenses[[#This Row],[ספט]]/tblExpenses[[#Totals],[ספט]]</f>
        <v>1.7391304347826087E-2</v>
      </c>
      <c r="AA7" s="30">
        <f>tblExpenses[[#This Row],[אוק]]/tblExpenses[[#Totals],[אוק]]</f>
        <v>8.4942084942084939E-2</v>
      </c>
      <c r="AB7" s="30">
        <f>tblExpenses[[#This Row],[נוב]]/tblExpenses[[#Totals],[נוב]]</f>
        <v>4.3918918918918921E-2</v>
      </c>
      <c r="AC7" s="30">
        <f>tblExpenses[[#This Row],[דצמ]]/tblExpenses[[#Totals],[דצמ]]</f>
        <v>6.0606060606060608E-2</v>
      </c>
      <c r="AD7" s="30">
        <f>tblExpenses[[#This Row],[שנתי]]/tblExpenses[[#Totals],[שנתי]]</f>
        <v>5.2350783594531512E-2</v>
      </c>
    </row>
    <row r="8" spans="1:30" ht="30" customHeight="1" x14ac:dyDescent="0.2">
      <c r="B8" s="46" t="s">
        <v>56</v>
      </c>
      <c r="C8" s="19" t="s">
        <v>72</v>
      </c>
      <c r="D8" s="18">
        <v>19</v>
      </c>
      <c r="E8" s="18">
        <v>4</v>
      </c>
      <c r="F8" s="18">
        <v>7</v>
      </c>
      <c r="G8" s="18">
        <v>14</v>
      </c>
      <c r="H8" s="18">
        <v>22</v>
      </c>
      <c r="I8" s="18">
        <v>10</v>
      </c>
      <c r="J8" s="18">
        <v>22</v>
      </c>
      <c r="K8" s="18">
        <v>5</v>
      </c>
      <c r="L8" s="18">
        <v>4</v>
      </c>
      <c r="M8" s="18">
        <v>12</v>
      </c>
      <c r="N8" s="18">
        <v>18</v>
      </c>
      <c r="O8" s="18">
        <v>24</v>
      </c>
      <c r="P8" s="20">
        <f>SUM(tblExpenses[[#This Row],[עמודה1]:[דצמ]])</f>
        <v>161</v>
      </c>
      <c r="Q8" s="29">
        <v>0.08</v>
      </c>
      <c r="R8" s="30">
        <f>tblExpenses[[#This Row],[עמודה1]]/tblExpenses[[#Totals],[עמודה1]]</f>
        <v>8.050847457627118E-2</v>
      </c>
      <c r="S8" s="30">
        <f>tblExpenses[[#This Row],[פבר]]/tblExpenses[[#Totals],[פבר]]</f>
        <v>1.9512195121951219E-2</v>
      </c>
      <c r="T8" s="30">
        <f>tblExpenses[[#This Row],[מרץ]]/tblExpenses[[#Totals],[מרץ]]</f>
        <v>2.8112449799196786E-2</v>
      </c>
      <c r="U8" s="30">
        <f>tblExpenses[[#This Row],[אפר]]/tblExpenses[[#Totals],[אפר]]</f>
        <v>5.3639846743295021E-2</v>
      </c>
      <c r="V8" s="30">
        <f>tblExpenses[[#This Row],[מאי]]/tblExpenses[[#Totals],[מאי]]</f>
        <v>8.5603112840466927E-2</v>
      </c>
      <c r="W8" s="30">
        <f>tblExpenses[[#This Row],[יונ]]/tblExpenses[[#Totals],[יונ]]</f>
        <v>3.6496350364963501E-2</v>
      </c>
      <c r="X8" s="30">
        <f>tblExpenses[[#This Row],[יול]]/tblExpenses[[#Totals],[יול]]</f>
        <v>8.2706766917293228E-2</v>
      </c>
      <c r="Y8" s="30">
        <f>tblExpenses[[#This Row],[אוג]]/tblExpenses[[#Totals],[אוג]]</f>
        <v>2.1276595744680851E-2</v>
      </c>
      <c r="Z8" s="30">
        <f>tblExpenses[[#This Row],[ספט]]/tblExpenses[[#Totals],[ספט]]</f>
        <v>1.7391304347826087E-2</v>
      </c>
      <c r="AA8" s="30">
        <f>tblExpenses[[#This Row],[אוק]]/tblExpenses[[#Totals],[אוק]]</f>
        <v>4.633204633204633E-2</v>
      </c>
      <c r="AB8" s="30">
        <f>tblExpenses[[#This Row],[נוב]]/tblExpenses[[#Totals],[נוב]]</f>
        <v>6.0810810810810814E-2</v>
      </c>
      <c r="AC8" s="30">
        <f>tblExpenses[[#This Row],[דצמ]]/tblExpenses[[#Totals],[דצמ]]</f>
        <v>0.1038961038961039</v>
      </c>
      <c r="AD8" s="30">
        <f>tblExpenses[[#This Row],[שנתי]]/tblExpenses[[#Totals],[שנתי]]</f>
        <v>5.3684561520506838E-2</v>
      </c>
    </row>
    <row r="9" spans="1:30" ht="30" customHeight="1" x14ac:dyDescent="0.2">
      <c r="B9" s="46" t="s">
        <v>57</v>
      </c>
      <c r="C9" s="19" t="s">
        <v>72</v>
      </c>
      <c r="D9" s="18">
        <v>11</v>
      </c>
      <c r="E9" s="18">
        <v>11</v>
      </c>
      <c r="F9" s="18">
        <v>17</v>
      </c>
      <c r="G9" s="18">
        <v>12</v>
      </c>
      <c r="H9" s="18">
        <v>2</v>
      </c>
      <c r="I9" s="18">
        <v>14</v>
      </c>
      <c r="J9" s="18">
        <v>12</v>
      </c>
      <c r="K9" s="18">
        <v>10</v>
      </c>
      <c r="L9" s="18">
        <v>18</v>
      </c>
      <c r="M9" s="18">
        <v>11</v>
      </c>
      <c r="N9" s="18">
        <v>23</v>
      </c>
      <c r="O9" s="18">
        <v>11</v>
      </c>
      <c r="P9" s="20">
        <f>SUM(tblExpenses[[#This Row],[עמודה1]:[דצמ]])</f>
        <v>152</v>
      </c>
      <c r="Q9" s="29">
        <v>0.03</v>
      </c>
      <c r="R9" s="30">
        <f>tblExpenses[[#This Row],[עמודה1]]/tblExpenses[[#Totals],[עמודה1]]</f>
        <v>4.6610169491525424E-2</v>
      </c>
      <c r="S9" s="30">
        <f>tblExpenses[[#This Row],[פבר]]/tblExpenses[[#Totals],[פבר]]</f>
        <v>5.3658536585365853E-2</v>
      </c>
      <c r="T9" s="30">
        <f>tblExpenses[[#This Row],[מרץ]]/tblExpenses[[#Totals],[מרץ]]</f>
        <v>6.8273092369477914E-2</v>
      </c>
      <c r="U9" s="30">
        <f>tblExpenses[[#This Row],[אפר]]/tblExpenses[[#Totals],[אפר]]</f>
        <v>4.5977011494252873E-2</v>
      </c>
      <c r="V9" s="30">
        <f>tblExpenses[[#This Row],[מאי]]/tblExpenses[[#Totals],[מאי]]</f>
        <v>7.7821011673151752E-3</v>
      </c>
      <c r="W9" s="30">
        <f>tblExpenses[[#This Row],[יונ]]/tblExpenses[[#Totals],[יונ]]</f>
        <v>5.1094890510948905E-2</v>
      </c>
      <c r="X9" s="30">
        <f>tblExpenses[[#This Row],[יול]]/tblExpenses[[#Totals],[יול]]</f>
        <v>4.5112781954887216E-2</v>
      </c>
      <c r="Y9" s="30">
        <f>tblExpenses[[#This Row],[אוג]]/tblExpenses[[#Totals],[אוג]]</f>
        <v>4.2553191489361701E-2</v>
      </c>
      <c r="Z9" s="30">
        <f>tblExpenses[[#This Row],[ספט]]/tblExpenses[[#Totals],[ספט]]</f>
        <v>7.8260869565217397E-2</v>
      </c>
      <c r="AA9" s="30">
        <f>tblExpenses[[#This Row],[אוק]]/tblExpenses[[#Totals],[אוק]]</f>
        <v>4.2471042471042469E-2</v>
      </c>
      <c r="AB9" s="30">
        <f>tblExpenses[[#This Row],[נוב]]/tblExpenses[[#Totals],[נוב]]</f>
        <v>7.77027027027027E-2</v>
      </c>
      <c r="AC9" s="30">
        <f>tblExpenses[[#This Row],[דצמ]]/tblExpenses[[#Totals],[דצמ]]</f>
        <v>4.7619047619047616E-2</v>
      </c>
      <c r="AD9" s="30">
        <f>tblExpenses[[#This Row],[שנתי]]/tblExpenses[[#Totals],[שנתי]]</f>
        <v>5.0683561187062354E-2</v>
      </c>
    </row>
    <row r="10" spans="1:30" ht="30" customHeight="1" x14ac:dyDescent="0.2">
      <c r="B10" s="46" t="s">
        <v>58</v>
      </c>
      <c r="C10" s="19" t="s">
        <v>72</v>
      </c>
      <c r="D10" s="18">
        <v>2</v>
      </c>
      <c r="E10" s="18">
        <v>16</v>
      </c>
      <c r="F10" s="18">
        <v>6</v>
      </c>
      <c r="G10" s="18">
        <v>13</v>
      </c>
      <c r="H10" s="18">
        <v>11</v>
      </c>
      <c r="I10" s="18">
        <v>22</v>
      </c>
      <c r="J10" s="18">
        <v>21</v>
      </c>
      <c r="K10" s="18">
        <v>3</v>
      </c>
      <c r="L10" s="18">
        <v>12</v>
      </c>
      <c r="M10" s="18">
        <v>7</v>
      </c>
      <c r="N10" s="18">
        <v>17</v>
      </c>
      <c r="O10" s="18">
        <v>20</v>
      </c>
      <c r="P10" s="20">
        <f>SUM(tblExpenses[[#This Row],[עמודה1]:[דצמ]])</f>
        <v>150</v>
      </c>
      <c r="Q10" s="29">
        <v>0.15</v>
      </c>
      <c r="R10" s="30">
        <f>tblExpenses[[#This Row],[עמודה1]]/tblExpenses[[#Totals],[עמודה1]]</f>
        <v>8.4745762711864406E-3</v>
      </c>
      <c r="S10" s="30">
        <f>tblExpenses[[#This Row],[פבר]]/tblExpenses[[#Totals],[פבר]]</f>
        <v>7.8048780487804878E-2</v>
      </c>
      <c r="T10" s="30">
        <f>tblExpenses[[#This Row],[מרץ]]/tblExpenses[[#Totals],[מרץ]]</f>
        <v>2.4096385542168676E-2</v>
      </c>
      <c r="U10" s="30">
        <f>tblExpenses[[#This Row],[אפר]]/tblExpenses[[#Totals],[אפר]]</f>
        <v>4.9808429118773943E-2</v>
      </c>
      <c r="V10" s="30">
        <f>tblExpenses[[#This Row],[מאי]]/tblExpenses[[#Totals],[מאי]]</f>
        <v>4.2801556420233464E-2</v>
      </c>
      <c r="W10" s="30">
        <f>tblExpenses[[#This Row],[יונ]]/tblExpenses[[#Totals],[יונ]]</f>
        <v>8.0291970802919707E-2</v>
      </c>
      <c r="X10" s="30">
        <f>tblExpenses[[#This Row],[יול]]/tblExpenses[[#Totals],[יול]]</f>
        <v>7.8947368421052627E-2</v>
      </c>
      <c r="Y10" s="30">
        <f>tblExpenses[[#This Row],[אוג]]/tblExpenses[[#Totals],[אוג]]</f>
        <v>1.276595744680851E-2</v>
      </c>
      <c r="Z10" s="30">
        <f>tblExpenses[[#This Row],[ספט]]/tblExpenses[[#Totals],[ספט]]</f>
        <v>5.2173913043478258E-2</v>
      </c>
      <c r="AA10" s="30">
        <f>tblExpenses[[#This Row],[אוק]]/tblExpenses[[#Totals],[אוק]]</f>
        <v>2.7027027027027029E-2</v>
      </c>
      <c r="AB10" s="30">
        <f>tblExpenses[[#This Row],[נוב]]/tblExpenses[[#Totals],[נוב]]</f>
        <v>5.7432432432432436E-2</v>
      </c>
      <c r="AC10" s="30">
        <f>tblExpenses[[#This Row],[דצמ]]/tblExpenses[[#Totals],[דצמ]]</f>
        <v>8.6580086580086577E-2</v>
      </c>
      <c r="AD10" s="30">
        <f>tblExpenses[[#This Row],[שנתי]]/tblExpenses[[#Totals],[שנתי]]</f>
        <v>5.0016672224074694E-2</v>
      </c>
    </row>
    <row r="11" spans="1:30" ht="30" customHeight="1" x14ac:dyDescent="0.2">
      <c r="B11" s="46" t="s">
        <v>59</v>
      </c>
      <c r="C11" s="19" t="s">
        <v>72</v>
      </c>
      <c r="D11" s="18">
        <v>8</v>
      </c>
      <c r="E11" s="18">
        <v>17</v>
      </c>
      <c r="F11" s="18">
        <v>11</v>
      </c>
      <c r="G11" s="18">
        <v>11</v>
      </c>
      <c r="H11" s="18">
        <v>21</v>
      </c>
      <c r="I11" s="18">
        <v>9</v>
      </c>
      <c r="J11" s="18">
        <v>20</v>
      </c>
      <c r="K11" s="18">
        <v>3</v>
      </c>
      <c r="L11" s="18">
        <v>14</v>
      </c>
      <c r="M11" s="18">
        <v>22</v>
      </c>
      <c r="N11" s="18">
        <v>16</v>
      </c>
      <c r="O11" s="18">
        <v>12</v>
      </c>
      <c r="P11" s="20">
        <f>SUM(tblExpenses[[#This Row],[עמודה1]:[דצמ]])</f>
        <v>164</v>
      </c>
      <c r="Q11" s="29">
        <v>0.12</v>
      </c>
      <c r="R11" s="30">
        <f>tblExpenses[[#This Row],[עמודה1]]/tblExpenses[[#Totals],[עמודה1]]</f>
        <v>3.3898305084745763E-2</v>
      </c>
      <c r="S11" s="30">
        <f>tblExpenses[[#This Row],[פבר]]/tblExpenses[[#Totals],[פבר]]</f>
        <v>8.2926829268292687E-2</v>
      </c>
      <c r="T11" s="30">
        <f>tblExpenses[[#This Row],[מרץ]]/tblExpenses[[#Totals],[מרץ]]</f>
        <v>4.4176706827309238E-2</v>
      </c>
      <c r="U11" s="30">
        <f>tblExpenses[[#This Row],[אפר]]/tblExpenses[[#Totals],[אפר]]</f>
        <v>4.2145593869731802E-2</v>
      </c>
      <c r="V11" s="30">
        <f>tblExpenses[[#This Row],[מאי]]/tblExpenses[[#Totals],[מאי]]</f>
        <v>8.171206225680934E-2</v>
      </c>
      <c r="W11" s="30">
        <f>tblExpenses[[#This Row],[יונ]]/tblExpenses[[#Totals],[יונ]]</f>
        <v>3.2846715328467155E-2</v>
      </c>
      <c r="X11" s="30">
        <f>tblExpenses[[#This Row],[יול]]/tblExpenses[[#Totals],[יול]]</f>
        <v>7.5187969924812026E-2</v>
      </c>
      <c r="Y11" s="30">
        <f>tblExpenses[[#This Row],[אוג]]/tblExpenses[[#Totals],[אוג]]</f>
        <v>1.276595744680851E-2</v>
      </c>
      <c r="Z11" s="30">
        <f>tblExpenses[[#This Row],[ספט]]/tblExpenses[[#Totals],[ספט]]</f>
        <v>6.0869565217391307E-2</v>
      </c>
      <c r="AA11" s="30">
        <f>tblExpenses[[#This Row],[אוק]]/tblExpenses[[#Totals],[אוק]]</f>
        <v>8.4942084942084939E-2</v>
      </c>
      <c r="AB11" s="30">
        <f>tblExpenses[[#This Row],[נוב]]/tblExpenses[[#Totals],[נוב]]</f>
        <v>5.4054054054054057E-2</v>
      </c>
      <c r="AC11" s="30">
        <f>tblExpenses[[#This Row],[דצמ]]/tblExpenses[[#Totals],[דצמ]]</f>
        <v>5.1948051948051951E-2</v>
      </c>
      <c r="AD11" s="30">
        <f>tblExpenses[[#This Row],[שנתי]]/tblExpenses[[#Totals],[שנתי]]</f>
        <v>5.468489496498833E-2</v>
      </c>
    </row>
    <row r="12" spans="1:30" ht="30" customHeight="1" x14ac:dyDescent="0.2">
      <c r="B12" s="46" t="s">
        <v>60</v>
      </c>
      <c r="C12" s="19" t="s">
        <v>72</v>
      </c>
      <c r="D12" s="18">
        <v>5</v>
      </c>
      <c r="E12" s="18">
        <v>13</v>
      </c>
      <c r="F12" s="18">
        <v>6</v>
      </c>
      <c r="G12" s="18">
        <v>15</v>
      </c>
      <c r="H12" s="18">
        <v>19</v>
      </c>
      <c r="I12" s="18">
        <v>10</v>
      </c>
      <c r="J12" s="18">
        <v>12</v>
      </c>
      <c r="K12" s="18">
        <v>9</v>
      </c>
      <c r="L12" s="18">
        <v>15</v>
      </c>
      <c r="M12" s="18">
        <v>16</v>
      </c>
      <c r="N12" s="18">
        <v>4</v>
      </c>
      <c r="O12" s="18">
        <v>9</v>
      </c>
      <c r="P12" s="20">
        <f>SUM(tblExpenses[[#This Row],[עמודה1]:[דצמ]])</f>
        <v>133</v>
      </c>
      <c r="Q12" s="29">
        <v>0.09</v>
      </c>
      <c r="R12" s="30">
        <f>tblExpenses[[#This Row],[עמודה1]]/tblExpenses[[#Totals],[עמודה1]]</f>
        <v>2.1186440677966101E-2</v>
      </c>
      <c r="S12" s="30">
        <f>tblExpenses[[#This Row],[פבר]]/tblExpenses[[#Totals],[פבר]]</f>
        <v>6.3414634146341464E-2</v>
      </c>
      <c r="T12" s="30">
        <f>tblExpenses[[#This Row],[מרץ]]/tblExpenses[[#Totals],[מרץ]]</f>
        <v>2.4096385542168676E-2</v>
      </c>
      <c r="U12" s="30">
        <f>tblExpenses[[#This Row],[אפר]]/tblExpenses[[#Totals],[אפר]]</f>
        <v>5.7471264367816091E-2</v>
      </c>
      <c r="V12" s="30">
        <f>tblExpenses[[#This Row],[מאי]]/tblExpenses[[#Totals],[מאי]]</f>
        <v>7.3929961089494164E-2</v>
      </c>
      <c r="W12" s="30">
        <f>tblExpenses[[#This Row],[יונ]]/tblExpenses[[#Totals],[יונ]]</f>
        <v>3.6496350364963501E-2</v>
      </c>
      <c r="X12" s="30">
        <f>tblExpenses[[#This Row],[יול]]/tblExpenses[[#Totals],[יול]]</f>
        <v>4.5112781954887216E-2</v>
      </c>
      <c r="Y12" s="30">
        <f>tblExpenses[[#This Row],[אוג]]/tblExpenses[[#Totals],[אוג]]</f>
        <v>3.8297872340425532E-2</v>
      </c>
      <c r="Z12" s="30">
        <f>tblExpenses[[#This Row],[ספט]]/tblExpenses[[#Totals],[ספט]]</f>
        <v>6.5217391304347824E-2</v>
      </c>
      <c r="AA12" s="30">
        <f>tblExpenses[[#This Row],[אוק]]/tblExpenses[[#Totals],[אוק]]</f>
        <v>6.1776061776061778E-2</v>
      </c>
      <c r="AB12" s="30">
        <f>tblExpenses[[#This Row],[נוב]]/tblExpenses[[#Totals],[נוב]]</f>
        <v>1.3513513513513514E-2</v>
      </c>
      <c r="AC12" s="30">
        <f>tblExpenses[[#This Row],[דצמ]]/tblExpenses[[#Totals],[דצמ]]</f>
        <v>3.896103896103896E-2</v>
      </c>
      <c r="AD12" s="30">
        <f>tblExpenses[[#This Row],[שנתי]]/tblExpenses[[#Totals],[שנתי]]</f>
        <v>4.4348116038679559E-2</v>
      </c>
    </row>
    <row r="13" spans="1:30" ht="30" customHeight="1" x14ac:dyDescent="0.2">
      <c r="B13" s="46" t="s">
        <v>61</v>
      </c>
      <c r="C13" s="19" t="s">
        <v>72</v>
      </c>
      <c r="D13" s="18">
        <v>8</v>
      </c>
      <c r="E13" s="18">
        <v>4</v>
      </c>
      <c r="F13" s="18">
        <v>23</v>
      </c>
      <c r="G13" s="18">
        <v>25</v>
      </c>
      <c r="H13" s="18">
        <v>10</v>
      </c>
      <c r="I13" s="18">
        <v>24</v>
      </c>
      <c r="J13" s="18">
        <v>22</v>
      </c>
      <c r="K13" s="18">
        <v>5</v>
      </c>
      <c r="L13" s="18">
        <v>12</v>
      </c>
      <c r="M13" s="18">
        <v>24</v>
      </c>
      <c r="N13" s="18">
        <v>24</v>
      </c>
      <c r="O13" s="18">
        <v>12</v>
      </c>
      <c r="P13" s="20">
        <f>SUM(tblExpenses[[#This Row],[עמודה1]:[דצמ]])</f>
        <v>193</v>
      </c>
      <c r="Q13" s="29">
        <v>0.01</v>
      </c>
      <c r="R13" s="30">
        <f>tblExpenses[[#This Row],[עמודה1]]/tblExpenses[[#Totals],[עמודה1]]</f>
        <v>3.3898305084745763E-2</v>
      </c>
      <c r="S13" s="30">
        <f>tblExpenses[[#This Row],[פבר]]/tblExpenses[[#Totals],[פבר]]</f>
        <v>1.9512195121951219E-2</v>
      </c>
      <c r="T13" s="30">
        <f>tblExpenses[[#This Row],[מרץ]]/tblExpenses[[#Totals],[מרץ]]</f>
        <v>9.2369477911646583E-2</v>
      </c>
      <c r="U13" s="30">
        <f>tblExpenses[[#This Row],[אפר]]/tblExpenses[[#Totals],[אפר]]</f>
        <v>9.5785440613026823E-2</v>
      </c>
      <c r="V13" s="30">
        <f>tblExpenses[[#This Row],[מאי]]/tblExpenses[[#Totals],[מאי]]</f>
        <v>3.8910505836575876E-2</v>
      </c>
      <c r="W13" s="30">
        <f>tblExpenses[[#This Row],[יונ]]/tblExpenses[[#Totals],[יונ]]</f>
        <v>8.7591240875912413E-2</v>
      </c>
      <c r="X13" s="30">
        <f>tblExpenses[[#This Row],[יול]]/tblExpenses[[#Totals],[יול]]</f>
        <v>8.2706766917293228E-2</v>
      </c>
      <c r="Y13" s="30">
        <f>tblExpenses[[#This Row],[אוג]]/tblExpenses[[#Totals],[אוג]]</f>
        <v>2.1276595744680851E-2</v>
      </c>
      <c r="Z13" s="30">
        <f>tblExpenses[[#This Row],[ספט]]/tblExpenses[[#Totals],[ספט]]</f>
        <v>5.2173913043478258E-2</v>
      </c>
      <c r="AA13" s="30">
        <f>tblExpenses[[#This Row],[אוק]]/tblExpenses[[#Totals],[אוק]]</f>
        <v>9.2664092664092659E-2</v>
      </c>
      <c r="AB13" s="30">
        <f>tblExpenses[[#This Row],[נוב]]/tblExpenses[[#Totals],[נוב]]</f>
        <v>8.1081081081081086E-2</v>
      </c>
      <c r="AC13" s="30">
        <f>tblExpenses[[#This Row],[דצמ]]/tblExpenses[[#Totals],[דצמ]]</f>
        <v>5.1948051948051951E-2</v>
      </c>
      <c r="AD13" s="30">
        <f>tblExpenses[[#This Row],[שנתי]]/tblExpenses[[#Totals],[שנתי]]</f>
        <v>6.4354784928309441E-2</v>
      </c>
    </row>
    <row r="14" spans="1:30" ht="30" customHeight="1" x14ac:dyDescent="0.2">
      <c r="B14" s="46" t="s">
        <v>62</v>
      </c>
      <c r="C14" s="19" t="s">
        <v>72</v>
      </c>
      <c r="D14" s="18">
        <v>25</v>
      </c>
      <c r="E14" s="18">
        <v>2</v>
      </c>
      <c r="F14" s="18">
        <v>12</v>
      </c>
      <c r="G14" s="18">
        <v>25</v>
      </c>
      <c r="H14" s="18">
        <v>10</v>
      </c>
      <c r="I14" s="18">
        <v>24</v>
      </c>
      <c r="J14" s="18">
        <v>3</v>
      </c>
      <c r="K14" s="18">
        <v>20</v>
      </c>
      <c r="L14" s="18">
        <v>3</v>
      </c>
      <c r="M14" s="18">
        <v>9</v>
      </c>
      <c r="N14" s="18">
        <v>20</v>
      </c>
      <c r="O14" s="18">
        <v>18</v>
      </c>
      <c r="P14" s="20">
        <f>SUM(tblExpenses[[#This Row],[עמודה1]:[דצמ]])</f>
        <v>171</v>
      </c>
      <c r="Q14" s="29">
        <v>0.01</v>
      </c>
      <c r="R14" s="30">
        <f>tblExpenses[[#This Row],[עמודה1]]/tblExpenses[[#Totals],[עמודה1]]</f>
        <v>0.1059322033898305</v>
      </c>
      <c r="S14" s="30">
        <f>tblExpenses[[#This Row],[פבר]]/tblExpenses[[#Totals],[פבר]]</f>
        <v>9.7560975609756097E-3</v>
      </c>
      <c r="T14" s="30">
        <f>tblExpenses[[#This Row],[מרץ]]/tblExpenses[[#Totals],[מרץ]]</f>
        <v>4.8192771084337352E-2</v>
      </c>
      <c r="U14" s="30">
        <f>tblExpenses[[#This Row],[אפר]]/tblExpenses[[#Totals],[אפר]]</f>
        <v>9.5785440613026823E-2</v>
      </c>
      <c r="V14" s="30">
        <f>tblExpenses[[#This Row],[מאי]]/tblExpenses[[#Totals],[מאי]]</f>
        <v>3.8910505836575876E-2</v>
      </c>
      <c r="W14" s="30">
        <f>tblExpenses[[#This Row],[יונ]]/tblExpenses[[#Totals],[יונ]]</f>
        <v>8.7591240875912413E-2</v>
      </c>
      <c r="X14" s="30">
        <f>tblExpenses[[#This Row],[יול]]/tblExpenses[[#Totals],[יול]]</f>
        <v>1.1278195488721804E-2</v>
      </c>
      <c r="Y14" s="30">
        <f>tblExpenses[[#This Row],[אוג]]/tblExpenses[[#Totals],[אוג]]</f>
        <v>8.5106382978723402E-2</v>
      </c>
      <c r="Z14" s="30">
        <f>tblExpenses[[#This Row],[ספט]]/tblExpenses[[#Totals],[ספט]]</f>
        <v>1.3043478260869565E-2</v>
      </c>
      <c r="AA14" s="30">
        <f>tblExpenses[[#This Row],[אוק]]/tblExpenses[[#Totals],[אוק]]</f>
        <v>3.4749034749034749E-2</v>
      </c>
      <c r="AB14" s="30">
        <f>tblExpenses[[#This Row],[נוב]]/tblExpenses[[#Totals],[נוב]]</f>
        <v>6.7567567567567571E-2</v>
      </c>
      <c r="AC14" s="30">
        <f>tblExpenses[[#This Row],[דצמ]]/tblExpenses[[#Totals],[דצמ]]</f>
        <v>7.792207792207792E-2</v>
      </c>
      <c r="AD14" s="30">
        <f>tblExpenses[[#This Row],[שנתי]]/tblExpenses[[#Totals],[שנתי]]</f>
        <v>5.7019006335445148E-2</v>
      </c>
    </row>
    <row r="15" spans="1:30" ht="30" customHeight="1" x14ac:dyDescent="0.2">
      <c r="B15" s="46" t="s">
        <v>63</v>
      </c>
      <c r="C15" s="19" t="s">
        <v>72</v>
      </c>
      <c r="D15" s="18">
        <v>16</v>
      </c>
      <c r="E15" s="18">
        <v>19</v>
      </c>
      <c r="F15" s="18">
        <v>9</v>
      </c>
      <c r="G15" s="18">
        <v>16</v>
      </c>
      <c r="H15" s="18">
        <v>13</v>
      </c>
      <c r="I15" s="18">
        <v>2</v>
      </c>
      <c r="J15" s="18">
        <v>4</v>
      </c>
      <c r="K15" s="18">
        <v>24</v>
      </c>
      <c r="L15" s="18">
        <v>16</v>
      </c>
      <c r="M15" s="18">
        <v>22</v>
      </c>
      <c r="N15" s="18">
        <v>7</v>
      </c>
      <c r="O15" s="18">
        <v>18</v>
      </c>
      <c r="P15" s="20">
        <f>SUM(tblExpenses[[#This Row],[עמודה1]:[דצמ]])</f>
        <v>166</v>
      </c>
      <c r="Q15" s="29">
        <v>0.01</v>
      </c>
      <c r="R15" s="30">
        <f>tblExpenses[[#This Row],[עמודה1]]/tblExpenses[[#Totals],[עמודה1]]</f>
        <v>6.7796610169491525E-2</v>
      </c>
      <c r="S15" s="30">
        <f>tblExpenses[[#This Row],[פבר]]/tblExpenses[[#Totals],[פבר]]</f>
        <v>9.2682926829268292E-2</v>
      </c>
      <c r="T15" s="30">
        <f>tblExpenses[[#This Row],[מרץ]]/tblExpenses[[#Totals],[מרץ]]</f>
        <v>3.614457831325301E-2</v>
      </c>
      <c r="U15" s="30">
        <f>tblExpenses[[#This Row],[אפר]]/tblExpenses[[#Totals],[אפר]]</f>
        <v>6.1302681992337162E-2</v>
      </c>
      <c r="V15" s="30">
        <f>tblExpenses[[#This Row],[מאי]]/tblExpenses[[#Totals],[מאי]]</f>
        <v>5.0583657587548639E-2</v>
      </c>
      <c r="W15" s="30">
        <f>tblExpenses[[#This Row],[יונ]]/tblExpenses[[#Totals],[יונ]]</f>
        <v>7.2992700729927005E-3</v>
      </c>
      <c r="X15" s="30">
        <f>tblExpenses[[#This Row],[יול]]/tblExpenses[[#Totals],[יול]]</f>
        <v>1.5037593984962405E-2</v>
      </c>
      <c r="Y15" s="30">
        <f>tblExpenses[[#This Row],[אוג]]/tblExpenses[[#Totals],[אוג]]</f>
        <v>0.10212765957446808</v>
      </c>
      <c r="Z15" s="30">
        <f>tblExpenses[[#This Row],[ספט]]/tblExpenses[[#Totals],[ספט]]</f>
        <v>6.9565217391304349E-2</v>
      </c>
      <c r="AA15" s="30">
        <f>tblExpenses[[#This Row],[אוק]]/tblExpenses[[#Totals],[אוק]]</f>
        <v>8.4942084942084939E-2</v>
      </c>
      <c r="AB15" s="30">
        <f>tblExpenses[[#This Row],[נוב]]/tblExpenses[[#Totals],[נוב]]</f>
        <v>2.364864864864865E-2</v>
      </c>
      <c r="AC15" s="30">
        <f>tblExpenses[[#This Row],[דצמ]]/tblExpenses[[#Totals],[דצמ]]</f>
        <v>7.792207792207792E-2</v>
      </c>
      <c r="AD15" s="30">
        <f>tblExpenses[[#This Row],[שנתי]]/tblExpenses[[#Totals],[שנתי]]</f>
        <v>5.5351783927975989E-2</v>
      </c>
    </row>
    <row r="16" spans="1:30" ht="30" customHeight="1" x14ac:dyDescent="0.2">
      <c r="B16" s="46" t="s">
        <v>64</v>
      </c>
      <c r="C16" s="19" t="s">
        <v>72</v>
      </c>
      <c r="D16" s="18">
        <v>12</v>
      </c>
      <c r="E16" s="18">
        <v>9</v>
      </c>
      <c r="F16" s="18">
        <v>16</v>
      </c>
      <c r="G16" s="18">
        <v>19</v>
      </c>
      <c r="H16" s="18">
        <v>25</v>
      </c>
      <c r="I16" s="18">
        <v>17</v>
      </c>
      <c r="J16" s="18">
        <v>20</v>
      </c>
      <c r="K16" s="18">
        <v>14</v>
      </c>
      <c r="L16" s="18">
        <v>5</v>
      </c>
      <c r="M16" s="18">
        <v>14</v>
      </c>
      <c r="N16" s="18">
        <v>5</v>
      </c>
      <c r="O16" s="18">
        <v>2</v>
      </c>
      <c r="P16" s="20">
        <f>SUM(tblExpenses[[#This Row],[עמודה1]:[דצמ]])</f>
        <v>158</v>
      </c>
      <c r="Q16" s="29">
        <v>0.01</v>
      </c>
      <c r="R16" s="30">
        <f>tblExpenses[[#This Row],[עמודה1]]/tblExpenses[[#Totals],[עמודה1]]</f>
        <v>5.0847457627118647E-2</v>
      </c>
      <c r="S16" s="30">
        <f>tblExpenses[[#This Row],[פבר]]/tblExpenses[[#Totals],[פבר]]</f>
        <v>4.3902439024390241E-2</v>
      </c>
      <c r="T16" s="30">
        <f>tblExpenses[[#This Row],[מרץ]]/tblExpenses[[#Totals],[מרץ]]</f>
        <v>6.4257028112449793E-2</v>
      </c>
      <c r="U16" s="30">
        <f>tblExpenses[[#This Row],[אפר]]/tblExpenses[[#Totals],[אפר]]</f>
        <v>7.2796934865900387E-2</v>
      </c>
      <c r="V16" s="30">
        <f>tblExpenses[[#This Row],[מאי]]/tblExpenses[[#Totals],[מאי]]</f>
        <v>9.727626459143969E-2</v>
      </c>
      <c r="W16" s="30">
        <f>tblExpenses[[#This Row],[יונ]]/tblExpenses[[#Totals],[יונ]]</f>
        <v>6.2043795620437957E-2</v>
      </c>
      <c r="X16" s="30">
        <f>tblExpenses[[#This Row],[יול]]/tblExpenses[[#Totals],[יול]]</f>
        <v>7.5187969924812026E-2</v>
      </c>
      <c r="Y16" s="30">
        <f>tblExpenses[[#This Row],[אוג]]/tblExpenses[[#Totals],[אוג]]</f>
        <v>5.9574468085106386E-2</v>
      </c>
      <c r="Z16" s="30">
        <f>tblExpenses[[#This Row],[ספט]]/tblExpenses[[#Totals],[ספט]]</f>
        <v>2.1739130434782608E-2</v>
      </c>
      <c r="AA16" s="30">
        <f>tblExpenses[[#This Row],[אוק]]/tblExpenses[[#Totals],[אוק]]</f>
        <v>5.4054054054054057E-2</v>
      </c>
      <c r="AB16" s="30">
        <f>tblExpenses[[#This Row],[נוב]]/tblExpenses[[#Totals],[נוב]]</f>
        <v>1.6891891891891893E-2</v>
      </c>
      <c r="AC16" s="30">
        <f>tblExpenses[[#This Row],[דצמ]]/tblExpenses[[#Totals],[דצמ]]</f>
        <v>8.658008658008658E-3</v>
      </c>
      <c r="AD16" s="30">
        <f>tblExpenses[[#This Row],[שנתי]]/tblExpenses[[#Totals],[שנתי]]</f>
        <v>5.2684228076025338E-2</v>
      </c>
    </row>
    <row r="17" spans="1:30" ht="30" customHeight="1" x14ac:dyDescent="0.2">
      <c r="B17" s="46" t="s">
        <v>65</v>
      </c>
      <c r="C17" s="19" t="s">
        <v>72</v>
      </c>
      <c r="D17" s="18">
        <v>16</v>
      </c>
      <c r="E17" s="18">
        <v>13</v>
      </c>
      <c r="F17" s="18">
        <v>10</v>
      </c>
      <c r="G17" s="18">
        <v>7</v>
      </c>
      <c r="H17" s="18">
        <v>13</v>
      </c>
      <c r="I17" s="18">
        <v>3</v>
      </c>
      <c r="J17" s="18">
        <v>13</v>
      </c>
      <c r="K17" s="18">
        <v>17</v>
      </c>
      <c r="L17" s="18">
        <v>9</v>
      </c>
      <c r="M17" s="18">
        <v>4</v>
      </c>
      <c r="N17" s="18">
        <v>22</v>
      </c>
      <c r="O17" s="18">
        <v>18</v>
      </c>
      <c r="P17" s="20">
        <f>SUM(tblExpenses[[#This Row],[עמודה1]:[דצמ]])</f>
        <v>145</v>
      </c>
      <c r="Q17" s="29">
        <v>0.14000000000000001</v>
      </c>
      <c r="R17" s="30">
        <f>tblExpenses[[#This Row],[עמודה1]]/tblExpenses[[#Totals],[עמודה1]]</f>
        <v>6.7796610169491525E-2</v>
      </c>
      <c r="S17" s="30">
        <f>tblExpenses[[#This Row],[פבר]]/tblExpenses[[#Totals],[פבר]]</f>
        <v>6.3414634146341464E-2</v>
      </c>
      <c r="T17" s="30">
        <f>tblExpenses[[#This Row],[מרץ]]/tblExpenses[[#Totals],[מרץ]]</f>
        <v>4.0160642570281124E-2</v>
      </c>
      <c r="U17" s="30">
        <f>tblExpenses[[#This Row],[אפר]]/tblExpenses[[#Totals],[אפר]]</f>
        <v>2.681992337164751E-2</v>
      </c>
      <c r="V17" s="30">
        <f>tblExpenses[[#This Row],[מאי]]/tblExpenses[[#Totals],[מאי]]</f>
        <v>5.0583657587548639E-2</v>
      </c>
      <c r="W17" s="30">
        <f>tblExpenses[[#This Row],[יונ]]/tblExpenses[[#Totals],[יונ]]</f>
        <v>1.0948905109489052E-2</v>
      </c>
      <c r="X17" s="30">
        <f>tblExpenses[[#This Row],[יול]]/tblExpenses[[#Totals],[יול]]</f>
        <v>4.8872180451127817E-2</v>
      </c>
      <c r="Y17" s="30">
        <f>tblExpenses[[#This Row],[אוג]]/tblExpenses[[#Totals],[אוג]]</f>
        <v>7.2340425531914887E-2</v>
      </c>
      <c r="Z17" s="30">
        <f>tblExpenses[[#This Row],[ספט]]/tblExpenses[[#Totals],[ספט]]</f>
        <v>3.9130434782608699E-2</v>
      </c>
      <c r="AA17" s="30">
        <f>tblExpenses[[#This Row],[אוק]]/tblExpenses[[#Totals],[אוק]]</f>
        <v>1.5444015444015444E-2</v>
      </c>
      <c r="AB17" s="30">
        <f>tblExpenses[[#This Row],[נוב]]/tblExpenses[[#Totals],[נוב]]</f>
        <v>7.4324324324324328E-2</v>
      </c>
      <c r="AC17" s="30">
        <f>tblExpenses[[#This Row],[דצמ]]/tblExpenses[[#Totals],[דצמ]]</f>
        <v>7.792207792207792E-2</v>
      </c>
      <c r="AD17" s="30">
        <f>tblExpenses[[#This Row],[שנתי]]/tblExpenses[[#Totals],[שנתי]]</f>
        <v>4.8349449816605536E-2</v>
      </c>
    </row>
    <row r="18" spans="1:30" ht="30" customHeight="1" x14ac:dyDescent="0.2">
      <c r="B18" s="46" t="s">
        <v>66</v>
      </c>
      <c r="C18" s="19" t="s">
        <v>72</v>
      </c>
      <c r="D18" s="18">
        <v>3</v>
      </c>
      <c r="E18" s="18">
        <v>2</v>
      </c>
      <c r="F18" s="18">
        <v>19</v>
      </c>
      <c r="G18" s="18">
        <v>21</v>
      </c>
      <c r="H18" s="18">
        <v>13</v>
      </c>
      <c r="I18" s="18">
        <v>9</v>
      </c>
      <c r="J18" s="18">
        <v>7</v>
      </c>
      <c r="K18" s="18">
        <v>13</v>
      </c>
      <c r="L18" s="18">
        <v>3</v>
      </c>
      <c r="M18" s="18">
        <v>6</v>
      </c>
      <c r="N18" s="18">
        <v>10</v>
      </c>
      <c r="O18" s="18">
        <v>13</v>
      </c>
      <c r="P18" s="20">
        <f>SUM(tblExpenses[[#This Row],[עמודה1]:[דצמ]])</f>
        <v>119</v>
      </c>
      <c r="Q18" s="29">
        <v>0.06</v>
      </c>
      <c r="R18" s="30">
        <f>tblExpenses[[#This Row],[עמודה1]]/tblExpenses[[#Totals],[עמודה1]]</f>
        <v>1.2711864406779662E-2</v>
      </c>
      <c r="S18" s="30">
        <f>tblExpenses[[#This Row],[פבר]]/tblExpenses[[#Totals],[פבר]]</f>
        <v>9.7560975609756097E-3</v>
      </c>
      <c r="T18" s="30">
        <f>tblExpenses[[#This Row],[מרץ]]/tblExpenses[[#Totals],[מרץ]]</f>
        <v>7.6305220883534142E-2</v>
      </c>
      <c r="U18" s="30">
        <f>tblExpenses[[#This Row],[אפר]]/tblExpenses[[#Totals],[אפר]]</f>
        <v>8.0459770114942528E-2</v>
      </c>
      <c r="V18" s="30">
        <f>tblExpenses[[#This Row],[מאי]]/tblExpenses[[#Totals],[מאי]]</f>
        <v>5.0583657587548639E-2</v>
      </c>
      <c r="W18" s="30">
        <f>tblExpenses[[#This Row],[יונ]]/tblExpenses[[#Totals],[יונ]]</f>
        <v>3.2846715328467155E-2</v>
      </c>
      <c r="X18" s="30">
        <f>tblExpenses[[#This Row],[יול]]/tblExpenses[[#Totals],[יול]]</f>
        <v>2.6315789473684209E-2</v>
      </c>
      <c r="Y18" s="30">
        <f>tblExpenses[[#This Row],[אוג]]/tblExpenses[[#Totals],[אוג]]</f>
        <v>5.5319148936170209E-2</v>
      </c>
      <c r="Z18" s="30">
        <f>tblExpenses[[#This Row],[ספט]]/tblExpenses[[#Totals],[ספט]]</f>
        <v>1.3043478260869565E-2</v>
      </c>
      <c r="AA18" s="30">
        <f>tblExpenses[[#This Row],[אוק]]/tblExpenses[[#Totals],[אוק]]</f>
        <v>2.3166023166023165E-2</v>
      </c>
      <c r="AB18" s="30">
        <f>tblExpenses[[#This Row],[נוב]]/tblExpenses[[#Totals],[נוב]]</f>
        <v>3.3783783783783786E-2</v>
      </c>
      <c r="AC18" s="30">
        <f>tblExpenses[[#This Row],[דצמ]]/tblExpenses[[#Totals],[דצמ]]</f>
        <v>5.627705627705628E-2</v>
      </c>
      <c r="AD18" s="30">
        <f>tblExpenses[[#This Row],[שנתי]]/tblExpenses[[#Totals],[שנתי]]</f>
        <v>3.9679893297765924E-2</v>
      </c>
    </row>
    <row r="19" spans="1:30" ht="30" customHeight="1" x14ac:dyDescent="0.2">
      <c r="B19" s="46" t="s">
        <v>67</v>
      </c>
      <c r="C19" s="19" t="s">
        <v>72</v>
      </c>
      <c r="D19" s="18">
        <v>8</v>
      </c>
      <c r="E19" s="18">
        <v>7</v>
      </c>
      <c r="F19" s="18">
        <v>6</v>
      </c>
      <c r="G19" s="18">
        <v>7</v>
      </c>
      <c r="H19" s="18">
        <v>7</v>
      </c>
      <c r="I19" s="18">
        <v>6</v>
      </c>
      <c r="J19" s="18">
        <v>15</v>
      </c>
      <c r="K19" s="18">
        <v>23</v>
      </c>
      <c r="L19" s="18">
        <v>21</v>
      </c>
      <c r="M19" s="18">
        <v>16</v>
      </c>
      <c r="N19" s="18">
        <v>19</v>
      </c>
      <c r="O19" s="18">
        <v>7</v>
      </c>
      <c r="P19" s="20">
        <f>SUM(tblExpenses[[#This Row],[עמודה1]:[דצמ]])</f>
        <v>142</v>
      </c>
      <c r="Q19" s="29">
        <v>0.01</v>
      </c>
      <c r="R19" s="30">
        <f>tblExpenses[[#This Row],[עמודה1]]/tblExpenses[[#Totals],[עמודה1]]</f>
        <v>3.3898305084745763E-2</v>
      </c>
      <c r="S19" s="30">
        <f>tblExpenses[[#This Row],[פבר]]/tblExpenses[[#Totals],[פבר]]</f>
        <v>3.4146341463414637E-2</v>
      </c>
      <c r="T19" s="30">
        <f>tblExpenses[[#This Row],[מרץ]]/tblExpenses[[#Totals],[מרץ]]</f>
        <v>2.4096385542168676E-2</v>
      </c>
      <c r="U19" s="30">
        <f>tblExpenses[[#This Row],[אפר]]/tblExpenses[[#Totals],[אפר]]</f>
        <v>2.681992337164751E-2</v>
      </c>
      <c r="V19" s="30">
        <f>tblExpenses[[#This Row],[מאי]]/tblExpenses[[#Totals],[מאי]]</f>
        <v>2.7237354085603113E-2</v>
      </c>
      <c r="W19" s="30">
        <f>tblExpenses[[#This Row],[יונ]]/tblExpenses[[#Totals],[יונ]]</f>
        <v>2.1897810218978103E-2</v>
      </c>
      <c r="X19" s="30">
        <f>tblExpenses[[#This Row],[יול]]/tblExpenses[[#Totals],[יול]]</f>
        <v>5.6390977443609019E-2</v>
      </c>
      <c r="Y19" s="30">
        <f>tblExpenses[[#This Row],[אוג]]/tblExpenses[[#Totals],[אוג]]</f>
        <v>9.7872340425531917E-2</v>
      </c>
      <c r="Z19" s="30">
        <f>tblExpenses[[#This Row],[ספט]]/tblExpenses[[#Totals],[ספט]]</f>
        <v>9.1304347826086957E-2</v>
      </c>
      <c r="AA19" s="30">
        <f>tblExpenses[[#This Row],[אוק]]/tblExpenses[[#Totals],[אוק]]</f>
        <v>6.1776061776061778E-2</v>
      </c>
      <c r="AB19" s="30">
        <f>tblExpenses[[#This Row],[נוב]]/tblExpenses[[#Totals],[נוב]]</f>
        <v>6.4189189189189186E-2</v>
      </c>
      <c r="AC19" s="30">
        <f>tblExpenses[[#This Row],[דצמ]]/tblExpenses[[#Totals],[דצמ]]</f>
        <v>3.0303030303030304E-2</v>
      </c>
      <c r="AD19" s="30">
        <f>tblExpenses[[#This Row],[שנתי]]/tblExpenses[[#Totals],[שנתי]]</f>
        <v>4.7349116372124044E-2</v>
      </c>
    </row>
    <row r="20" spans="1:30" ht="30" customHeight="1" x14ac:dyDescent="0.2">
      <c r="B20" s="46" t="s">
        <v>68</v>
      </c>
      <c r="C20" s="19" t="s">
        <v>72</v>
      </c>
      <c r="D20" s="18">
        <v>14</v>
      </c>
      <c r="E20" s="18">
        <v>4</v>
      </c>
      <c r="F20" s="18">
        <v>24</v>
      </c>
      <c r="G20" s="18">
        <v>6</v>
      </c>
      <c r="H20" s="18">
        <v>20</v>
      </c>
      <c r="I20" s="18">
        <v>14</v>
      </c>
      <c r="J20" s="18">
        <v>21</v>
      </c>
      <c r="K20" s="18">
        <v>20</v>
      </c>
      <c r="L20" s="18">
        <v>22</v>
      </c>
      <c r="M20" s="18">
        <v>3</v>
      </c>
      <c r="N20" s="18">
        <v>14</v>
      </c>
      <c r="O20" s="18">
        <v>6</v>
      </c>
      <c r="P20" s="20">
        <f>SUM(tblExpenses[[#This Row],[עמודה1]:[דצמ]])</f>
        <v>168</v>
      </c>
      <c r="Q20" s="29">
        <v>0.01</v>
      </c>
      <c r="R20" s="30">
        <f>tblExpenses[[#This Row],[עמודה1]]/tblExpenses[[#Totals],[עמודה1]]</f>
        <v>5.9322033898305086E-2</v>
      </c>
      <c r="S20" s="30">
        <f>tblExpenses[[#This Row],[פבר]]/tblExpenses[[#Totals],[פבר]]</f>
        <v>1.9512195121951219E-2</v>
      </c>
      <c r="T20" s="30">
        <f>tblExpenses[[#This Row],[מרץ]]/tblExpenses[[#Totals],[מרץ]]</f>
        <v>9.6385542168674704E-2</v>
      </c>
      <c r="U20" s="30">
        <f>tblExpenses[[#This Row],[אפר]]/tblExpenses[[#Totals],[אפר]]</f>
        <v>2.2988505747126436E-2</v>
      </c>
      <c r="V20" s="30">
        <f>tblExpenses[[#This Row],[מאי]]/tblExpenses[[#Totals],[מאי]]</f>
        <v>7.7821011673151752E-2</v>
      </c>
      <c r="W20" s="30">
        <f>tblExpenses[[#This Row],[יונ]]/tblExpenses[[#Totals],[יונ]]</f>
        <v>5.1094890510948905E-2</v>
      </c>
      <c r="X20" s="30">
        <f>tblExpenses[[#This Row],[יול]]/tblExpenses[[#Totals],[יול]]</f>
        <v>7.8947368421052627E-2</v>
      </c>
      <c r="Y20" s="30">
        <f>tblExpenses[[#This Row],[אוג]]/tblExpenses[[#Totals],[אוג]]</f>
        <v>8.5106382978723402E-2</v>
      </c>
      <c r="Z20" s="30">
        <f>tblExpenses[[#This Row],[ספט]]/tblExpenses[[#Totals],[ספט]]</f>
        <v>9.5652173913043481E-2</v>
      </c>
      <c r="AA20" s="30">
        <f>tblExpenses[[#This Row],[אוק]]/tblExpenses[[#Totals],[אוק]]</f>
        <v>1.1583011583011582E-2</v>
      </c>
      <c r="AB20" s="30">
        <f>tblExpenses[[#This Row],[נוב]]/tblExpenses[[#Totals],[נוב]]</f>
        <v>4.72972972972973E-2</v>
      </c>
      <c r="AC20" s="30">
        <f>tblExpenses[[#This Row],[דצמ]]/tblExpenses[[#Totals],[דצמ]]</f>
        <v>2.5974025974025976E-2</v>
      </c>
      <c r="AD20" s="30">
        <f>tblExpenses[[#This Row],[שנתי]]/tblExpenses[[#Totals],[שנתי]]</f>
        <v>5.6018672890963656E-2</v>
      </c>
    </row>
    <row r="21" spans="1:30" ht="30" customHeight="1" x14ac:dyDescent="0.2">
      <c r="B21" s="46" t="s">
        <v>68</v>
      </c>
      <c r="C21" s="19" t="s">
        <v>72</v>
      </c>
      <c r="D21" s="18">
        <v>14</v>
      </c>
      <c r="E21" s="18">
        <v>7</v>
      </c>
      <c r="F21" s="18">
        <v>24</v>
      </c>
      <c r="G21" s="18">
        <v>10</v>
      </c>
      <c r="H21" s="18">
        <v>7</v>
      </c>
      <c r="I21" s="18">
        <v>24</v>
      </c>
      <c r="J21" s="18">
        <v>2</v>
      </c>
      <c r="K21" s="18">
        <v>11</v>
      </c>
      <c r="L21" s="18">
        <v>21</v>
      </c>
      <c r="M21" s="18">
        <v>19</v>
      </c>
      <c r="N21" s="18">
        <v>19</v>
      </c>
      <c r="O21" s="18">
        <v>20</v>
      </c>
      <c r="P21" s="20">
        <f>SUM(tblExpenses[[#This Row],[עמודה1]:[דצמ]])</f>
        <v>178</v>
      </c>
      <c r="Q21" s="29">
        <v>0.01</v>
      </c>
      <c r="R21" s="30">
        <f>tblExpenses[[#This Row],[עמודה1]]/tblExpenses[[#Totals],[עמודה1]]</f>
        <v>5.9322033898305086E-2</v>
      </c>
      <c r="S21" s="30">
        <f>tblExpenses[[#This Row],[פבר]]/tblExpenses[[#Totals],[פבר]]</f>
        <v>3.4146341463414637E-2</v>
      </c>
      <c r="T21" s="30">
        <f>tblExpenses[[#This Row],[מרץ]]/tblExpenses[[#Totals],[מרץ]]</f>
        <v>9.6385542168674704E-2</v>
      </c>
      <c r="U21" s="30">
        <f>tblExpenses[[#This Row],[אפר]]/tblExpenses[[#Totals],[אפר]]</f>
        <v>3.8314176245210725E-2</v>
      </c>
      <c r="V21" s="30">
        <f>tblExpenses[[#This Row],[מאי]]/tblExpenses[[#Totals],[מאי]]</f>
        <v>2.7237354085603113E-2</v>
      </c>
      <c r="W21" s="30">
        <f>tblExpenses[[#This Row],[יונ]]/tblExpenses[[#Totals],[יונ]]</f>
        <v>8.7591240875912413E-2</v>
      </c>
      <c r="X21" s="30">
        <f>tblExpenses[[#This Row],[יול]]/tblExpenses[[#Totals],[יול]]</f>
        <v>7.5187969924812026E-3</v>
      </c>
      <c r="Y21" s="30">
        <f>tblExpenses[[#This Row],[אוג]]/tblExpenses[[#Totals],[אוג]]</f>
        <v>4.6808510638297871E-2</v>
      </c>
      <c r="Z21" s="30">
        <f>tblExpenses[[#This Row],[ספט]]/tblExpenses[[#Totals],[ספט]]</f>
        <v>9.1304347826086957E-2</v>
      </c>
      <c r="AA21" s="30">
        <f>tblExpenses[[#This Row],[אוק]]/tblExpenses[[#Totals],[אוק]]</f>
        <v>7.3359073359073365E-2</v>
      </c>
      <c r="AB21" s="30">
        <f>tblExpenses[[#This Row],[נוב]]/tblExpenses[[#Totals],[נוב]]</f>
        <v>6.4189189189189186E-2</v>
      </c>
      <c r="AC21" s="30">
        <f>tblExpenses[[#This Row],[דצמ]]/tblExpenses[[#Totals],[דצמ]]</f>
        <v>8.6580086580086577E-2</v>
      </c>
      <c r="AD21" s="30">
        <f>tblExpenses[[#This Row],[שנתי]]/tblExpenses[[#Totals],[שנתי]]</f>
        <v>5.9353117705901966E-2</v>
      </c>
    </row>
    <row r="22" spans="1:30" ht="30" customHeight="1" x14ac:dyDescent="0.2">
      <c r="A22" s="21"/>
      <c r="B22" s="46" t="s">
        <v>68</v>
      </c>
      <c r="C22" s="19" t="s">
        <v>72</v>
      </c>
      <c r="D22" s="18">
        <v>11</v>
      </c>
      <c r="E22" s="18">
        <v>8</v>
      </c>
      <c r="F22" s="18">
        <v>25</v>
      </c>
      <c r="G22" s="18">
        <v>11</v>
      </c>
      <c r="H22" s="18">
        <v>9</v>
      </c>
      <c r="I22" s="18">
        <v>24</v>
      </c>
      <c r="J22" s="18">
        <v>13</v>
      </c>
      <c r="K22" s="18">
        <v>14</v>
      </c>
      <c r="L22" s="18">
        <v>19</v>
      </c>
      <c r="M22" s="18">
        <v>24</v>
      </c>
      <c r="N22" s="18">
        <v>15</v>
      </c>
      <c r="O22" s="18">
        <v>7</v>
      </c>
      <c r="P22" s="20">
        <f>SUM(tblExpenses[[#This Row],[עמודה1]:[דצמ]])</f>
        <v>180</v>
      </c>
      <c r="Q22" s="29">
        <v>0.01</v>
      </c>
      <c r="R22" s="30">
        <f>tblExpenses[[#This Row],[עמודה1]]/tblExpenses[[#Totals],[עמודה1]]</f>
        <v>4.6610169491525424E-2</v>
      </c>
      <c r="S22" s="30">
        <f>tblExpenses[[#This Row],[פבר]]/tblExpenses[[#Totals],[פבר]]</f>
        <v>3.9024390243902439E-2</v>
      </c>
      <c r="T22" s="30">
        <f>tblExpenses[[#This Row],[מרץ]]/tblExpenses[[#Totals],[מרץ]]</f>
        <v>0.10040160642570281</v>
      </c>
      <c r="U22" s="30">
        <f>tblExpenses[[#This Row],[אפר]]/tblExpenses[[#Totals],[אפר]]</f>
        <v>4.2145593869731802E-2</v>
      </c>
      <c r="V22" s="30">
        <f>tblExpenses[[#This Row],[מאי]]/tblExpenses[[#Totals],[מאי]]</f>
        <v>3.5019455252918288E-2</v>
      </c>
      <c r="W22" s="30">
        <f>tblExpenses[[#This Row],[יונ]]/tblExpenses[[#Totals],[יונ]]</f>
        <v>8.7591240875912413E-2</v>
      </c>
      <c r="X22" s="30">
        <f>tblExpenses[[#This Row],[יול]]/tblExpenses[[#Totals],[יול]]</f>
        <v>4.8872180451127817E-2</v>
      </c>
      <c r="Y22" s="30">
        <f>tblExpenses[[#This Row],[אוג]]/tblExpenses[[#Totals],[אוג]]</f>
        <v>5.9574468085106386E-2</v>
      </c>
      <c r="Z22" s="30">
        <f>tblExpenses[[#This Row],[ספט]]/tblExpenses[[#Totals],[ספט]]</f>
        <v>8.2608695652173908E-2</v>
      </c>
      <c r="AA22" s="30">
        <f>tblExpenses[[#This Row],[אוק]]/tblExpenses[[#Totals],[אוק]]</f>
        <v>9.2664092664092659E-2</v>
      </c>
      <c r="AB22" s="30">
        <f>tblExpenses[[#This Row],[נוב]]/tblExpenses[[#Totals],[נוב]]</f>
        <v>5.0675675675675678E-2</v>
      </c>
      <c r="AC22" s="30">
        <f>tblExpenses[[#This Row],[דצמ]]/tblExpenses[[#Totals],[דצמ]]</f>
        <v>3.0303030303030304E-2</v>
      </c>
      <c r="AD22" s="30">
        <f>tblExpenses[[#This Row],[שנתי]]/tblExpenses[[#Totals],[שנתי]]</f>
        <v>6.0020006668889632E-2</v>
      </c>
    </row>
    <row r="23" spans="1:30" ht="30" customHeight="1" x14ac:dyDescent="0.2">
      <c r="B23" s="46" t="s">
        <v>69</v>
      </c>
      <c r="C23" s="19" t="s">
        <v>72</v>
      </c>
      <c r="D23" s="18">
        <v>8</v>
      </c>
      <c r="E23" s="18">
        <v>20</v>
      </c>
      <c r="F23" s="18">
        <v>11</v>
      </c>
      <c r="G23" s="18">
        <v>11</v>
      </c>
      <c r="H23" s="18">
        <v>11</v>
      </c>
      <c r="I23" s="18">
        <v>20</v>
      </c>
      <c r="J23" s="18">
        <v>12</v>
      </c>
      <c r="K23" s="18">
        <v>16</v>
      </c>
      <c r="L23" s="18">
        <v>5</v>
      </c>
      <c r="M23" s="18">
        <v>7</v>
      </c>
      <c r="N23" s="18">
        <v>21</v>
      </c>
      <c r="O23" s="18">
        <v>3</v>
      </c>
      <c r="P23" s="20">
        <f>SUM(tblExpenses[[#This Row],[עמודה1]:[דצמ]])</f>
        <v>145</v>
      </c>
      <c r="Q23" s="29">
        <v>0.02</v>
      </c>
      <c r="R23" s="30">
        <f>tblExpenses[[#This Row],[עמודה1]]/tblExpenses[[#Totals],[עמודה1]]</f>
        <v>3.3898305084745763E-2</v>
      </c>
      <c r="S23" s="30">
        <f>tblExpenses[[#This Row],[פבר]]/tblExpenses[[#Totals],[פבר]]</f>
        <v>9.7560975609756101E-2</v>
      </c>
      <c r="T23" s="30">
        <f>tblExpenses[[#This Row],[מרץ]]/tblExpenses[[#Totals],[מרץ]]</f>
        <v>4.4176706827309238E-2</v>
      </c>
      <c r="U23" s="30">
        <f>tblExpenses[[#This Row],[אפר]]/tblExpenses[[#Totals],[אפר]]</f>
        <v>4.2145593869731802E-2</v>
      </c>
      <c r="V23" s="30">
        <f>tblExpenses[[#This Row],[מאי]]/tblExpenses[[#Totals],[מאי]]</f>
        <v>4.2801556420233464E-2</v>
      </c>
      <c r="W23" s="30">
        <f>tblExpenses[[#This Row],[יונ]]/tblExpenses[[#Totals],[יונ]]</f>
        <v>7.2992700729927001E-2</v>
      </c>
      <c r="X23" s="30">
        <f>tblExpenses[[#This Row],[יול]]/tblExpenses[[#Totals],[יול]]</f>
        <v>4.5112781954887216E-2</v>
      </c>
      <c r="Y23" s="30">
        <f>tblExpenses[[#This Row],[אוג]]/tblExpenses[[#Totals],[אוג]]</f>
        <v>6.8085106382978725E-2</v>
      </c>
      <c r="Z23" s="30">
        <f>tblExpenses[[#This Row],[ספט]]/tblExpenses[[#Totals],[ספט]]</f>
        <v>2.1739130434782608E-2</v>
      </c>
      <c r="AA23" s="30">
        <f>tblExpenses[[#This Row],[אוק]]/tblExpenses[[#Totals],[אוק]]</f>
        <v>2.7027027027027029E-2</v>
      </c>
      <c r="AB23" s="30">
        <f>tblExpenses[[#This Row],[נוב]]/tblExpenses[[#Totals],[נוב]]</f>
        <v>7.0945945945945943E-2</v>
      </c>
      <c r="AC23" s="30">
        <f>tblExpenses[[#This Row],[דצמ]]/tblExpenses[[#Totals],[דצמ]]</f>
        <v>1.2987012987012988E-2</v>
      </c>
      <c r="AD23" s="30">
        <f>tblExpenses[[#This Row],[שנתי]]/tblExpenses[[#Totals],[שנתי]]</f>
        <v>4.8349449816605536E-2</v>
      </c>
    </row>
    <row r="24" spans="1:30" ht="30" customHeight="1" x14ac:dyDescent="0.2">
      <c r="B24" s="40" t="s">
        <v>70</v>
      </c>
      <c r="C24" s="4" t="s">
        <v>72</v>
      </c>
      <c r="D24" s="34">
        <f>SUBTOTAL(109,tblExpenses[עמודה1])</f>
        <v>236</v>
      </c>
      <c r="E24" s="34">
        <f>SUBTOTAL(109,tblExpenses[פבר])</f>
        <v>205</v>
      </c>
      <c r="F24" s="34">
        <f>SUBTOTAL(109,tblExpenses[מרץ])</f>
        <v>249</v>
      </c>
      <c r="G24" s="34">
        <f>SUBTOTAL(109,tblExpenses[אפר])</f>
        <v>261</v>
      </c>
      <c r="H24" s="34">
        <f>SUBTOTAL(109,tblExpenses[מאי])</f>
        <v>257</v>
      </c>
      <c r="I24" s="34">
        <f>SUBTOTAL(109,tblExpenses[יונ])</f>
        <v>274</v>
      </c>
      <c r="J24" s="34">
        <f>SUBTOTAL(109,tblExpenses[יול])</f>
        <v>266</v>
      </c>
      <c r="K24" s="34">
        <f>SUBTOTAL(109,tblExpenses[אוג])</f>
        <v>235</v>
      </c>
      <c r="L24" s="34">
        <f>SUBTOTAL(109,tblExpenses[ספט])</f>
        <v>230</v>
      </c>
      <c r="M24" s="34">
        <f>SUBTOTAL(109,tblExpenses[אוק])</f>
        <v>259</v>
      </c>
      <c r="N24" s="34">
        <f>SUBTOTAL(109,tblExpenses[נוב])</f>
        <v>296</v>
      </c>
      <c r="O24" s="34">
        <f>SUBTOTAL(109,tblExpenses[דצמ])</f>
        <v>231</v>
      </c>
      <c r="P24" s="34">
        <f>SUBTOTAL(109,tblExpenses[שנתי])</f>
        <v>2999</v>
      </c>
      <c r="Q24" s="27">
        <f>SUBTOTAL(109,tblExpenses[% מדד])</f>
        <v>1</v>
      </c>
      <c r="R24" s="27">
        <f>SUBTOTAL(109,tblExpenses[% ינו])</f>
        <v>1</v>
      </c>
      <c r="S24" s="27">
        <f>SUBTOTAL(109,tblExpenses[% פבר])</f>
        <v>1.0000000000000002</v>
      </c>
      <c r="T24" s="27">
        <f>SUBTOTAL(109,tblExpenses[% מרץ])</f>
        <v>1.0000000000000002</v>
      </c>
      <c r="U24" s="27">
        <f>SUBTOTAL(109,tblExpenses[% אפר])</f>
        <v>1</v>
      </c>
      <c r="V24" s="27">
        <f>SUBTOTAL(109,tblExpenses[% מאי])</f>
        <v>1.0000000000000002</v>
      </c>
      <c r="W24" s="27">
        <f>SUBTOTAL(109,tblExpenses[% יונ])</f>
        <v>1</v>
      </c>
      <c r="X24" s="27">
        <f>SUBTOTAL(109,tblExpenses[% יול])</f>
        <v>1</v>
      </c>
      <c r="Y24" s="27">
        <f>SUBTOTAL(109,tblExpenses[% אוג])</f>
        <v>0.99999999999999989</v>
      </c>
      <c r="Z24" s="27">
        <f>SUBTOTAL(109,tblExpenses[% ספט])</f>
        <v>1</v>
      </c>
      <c r="AA24" s="27">
        <f>SUBTOTAL(109,tblExpenses[% אוק])</f>
        <v>1</v>
      </c>
      <c r="AB24" s="27">
        <f>SUBTOTAL(109,tblExpenses[% נוב])</f>
        <v>0.99999999999999989</v>
      </c>
      <c r="AC24" s="27">
        <f>SUBTOTAL(109,tblExpenses[% דצמ])</f>
        <v>1</v>
      </c>
      <c r="AD24" s="27">
        <f>SUBTOTAL(109,tblExpenses[% בשנה])</f>
        <v>0.99999999999999989</v>
      </c>
    </row>
    <row r="25" spans="1:30" ht="30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30" customHeight="1" x14ac:dyDescent="0.2">
      <c r="B26" s="41" t="s">
        <v>71</v>
      </c>
      <c r="C26" s="41"/>
      <c r="D26" s="45">
        <f>'עלות מכירות'!$D$14-tblExpenses[[#Totals],[עמודה1]]</f>
        <v>123</v>
      </c>
      <c r="E26" s="45">
        <f>'עלות מכירות'!E14-tblExpenses[[#Totals],[פבר]]</f>
        <v>175</v>
      </c>
      <c r="F26" s="45">
        <f>'עלות מכירות'!F14-tblExpenses[[#Totals],[מרץ]]</f>
        <v>256</v>
      </c>
      <c r="G26" s="45">
        <f>'עלות מכירות'!G14-tblExpenses[[#Totals],[אפר]]</f>
        <v>109</v>
      </c>
      <c r="H26" s="45">
        <f>'עלות מכירות'!H14-tblExpenses[[#Totals],[מאי]]</f>
        <v>156</v>
      </c>
      <c r="I26" s="45">
        <f>'עלות מכירות'!I14-tblExpenses[[#Totals],[יונ]]</f>
        <v>-8</v>
      </c>
      <c r="J26" s="45">
        <f>'עלות מכירות'!J14-tblExpenses[[#Totals],[יול]]</f>
        <v>32</v>
      </c>
      <c r="K26" s="45">
        <f>'עלות מכירות'!K14-tblExpenses[[#Totals],[אוג]]</f>
        <v>214</v>
      </c>
      <c r="L26" s="45">
        <f>'עלות מכירות'!L14-tblExpenses[[#Totals],[ספט]]</f>
        <v>100</v>
      </c>
      <c r="M26" s="45">
        <f>'עלות מכירות'!M14-tblExpenses[[#Totals],[אוק]]</f>
        <v>148</v>
      </c>
      <c r="N26" s="45">
        <f>'עלות מכירות'!N14-tblExpenses[[#Totals],[נוב]]</f>
        <v>179</v>
      </c>
      <c r="O26" s="45">
        <f>'עלות מכירות'!O14-tblExpenses[[#Totals],[דצמ]]</f>
        <v>359</v>
      </c>
      <c r="P26" s="45">
        <f>SUM(D26:O26)</f>
        <v>1843</v>
      </c>
      <c r="Q26" s="41"/>
      <c r="R26" s="44">
        <f>D26/$P$26</f>
        <v>6.6739012479652735E-2</v>
      </c>
      <c r="S26" s="44">
        <f t="shared" ref="S26:AD26" si="1">E26/$P$26</f>
        <v>9.4953879544221381E-2</v>
      </c>
      <c r="T26" s="44">
        <f t="shared" si="1"/>
        <v>0.13890396093326099</v>
      </c>
      <c r="U26" s="44">
        <f t="shared" si="1"/>
        <v>5.9142702116115033E-2</v>
      </c>
      <c r="V26" s="44">
        <f t="shared" si="1"/>
        <v>8.4644601193705912E-2</v>
      </c>
      <c r="W26" s="44">
        <f t="shared" si="1"/>
        <v>-4.3407487791644059E-3</v>
      </c>
      <c r="X26" s="44">
        <f t="shared" si="1"/>
        <v>1.7362995116657624E-2</v>
      </c>
      <c r="Y26" s="44">
        <f t="shared" si="1"/>
        <v>0.11611502984264786</v>
      </c>
      <c r="Z26" s="44">
        <f t="shared" si="1"/>
        <v>5.425935973955507E-2</v>
      </c>
      <c r="AA26" s="44">
        <f t="shared" si="1"/>
        <v>8.0303852414541507E-2</v>
      </c>
      <c r="AB26" s="44">
        <f t="shared" si="1"/>
        <v>9.7124253933803584E-2</v>
      </c>
      <c r="AC26" s="44">
        <f t="shared" si="1"/>
        <v>0.19479110146500273</v>
      </c>
      <c r="AD26" s="44">
        <f t="shared" si="1"/>
        <v>1</v>
      </c>
    </row>
  </sheetData>
  <dataValidations count="18">
    <dataValidation allowBlank="1" showInputMessage="1" showErrorMessage="1" prompt="שם החברה מתעדכן באופן אוטומטי באמצעות הערך מהגיליון 'הכנסות (מכירות)'" sqref="AD1"/>
    <dataValidation allowBlank="1" showInputMessage="1" showErrorMessage="1" prompt="הכותרת מתעדכנת באופן אוטומטי מגליון העבודה 'הכנסות (מכירות)'. הזן ערכים בטבלה 'הוצאות' שלהלן כדי לחשב את סה&quot;כ ההוצאות" sqref="B2"/>
    <dataValidation allowBlank="1" showInputMessage="1" showErrorMessage="1" prompt="הזן את אחוז המדד בעמודה זו" sqref="Q4"/>
    <dataValidation allowBlank="1" showInputMessage="1" showErrorMessage="1" prompt="רווח הנטו מחושב באופן אוטומטי עבור כל חודש ושנה בהתבסס על רווח הברוטו וסה&quot;כ ההוצאות" sqref="B26"/>
    <dataValidation allowBlank="1" showInputMessage="1" showErrorMessage="1" prompt="הזן בעמודה זו את ההוצאות של המקורות המפורטים בעמודה B" sqref="D4:O4"/>
    <dataValidation allowBlank="1" showInputMessage="1" showErrorMessage="1" prompt="תרשים מגמות עבור ההוצאות לאורך זמן מופיע בעמודה זו" sqref="C4"/>
    <dataValidation allowBlank="1" showInputMessage="1" showErrorMessage="1" prompt="הזן את ההוצאות בעמודה זו" sqref="B4"/>
    <dataValidation allowBlank="1" showInputMessage="1" showErrorMessage="1" prompt="מחשב באופן אוטומטי את היחס בין ההוצאות ממקורות שונים לסה&quot;כ ההוצאות עבור השנה המשויכת לעמודה זו" sqref="AD3"/>
    <dataValidation allowBlank="1" showInputMessage="1" showErrorMessage="1" prompt="מחשב באופן אוטומטי את היחס בין ההוצאות ממקורות שונים לסה&quot;כ ההוצאות בעמודה זו, עבור החודש בתא זה" sqref="R3:AC3"/>
    <dataValidation allowBlank="1" showInputMessage="1" showErrorMessage="1" prompt="החודש מתעדכן באופן אוטומטי" sqref="E3:O3"/>
    <dataValidation allowBlank="1" showInputMessage="1" showErrorMessage="1" prompt="התאריכים בשורה זו מתעדכנים באופן אוטומטי בהתבסס על חודש ההתחלה של שנת הכספים. כדי לשנות את חודש ההתחלה, שנה את תא AC2" sqref="D3"/>
    <dataValidation allowBlank="1" showInputMessage="1" showErrorMessage="1" prompt="ההוצאה השנתית מחושבת באופן אוטומטי בעמודה זו" sqref="P3"/>
    <dataValidation allowBlank="1" showInputMessage="1" showErrorMessage="1" prompt="אחוז המדד מופיע בעמודה זו" sqref="Q3"/>
    <dataValidation allowBlank="1" showInputMessage="1" showErrorMessage="1" prompt="תא זה מתעדכן באופן אוטומטי מהכותרת של תקופת התחזית בגליון העבודה 'הכנסות (מכירות)'" sqref="B1"/>
    <dataValidation allowBlank="1" showInputMessage="1" showErrorMessage="1" prompt="החודש והשנה מתעדכנים באופן אוטומטי בתאים בצד שמאל. כדי לשנות את החודש או השנה, שנה את תאים AC2 ו- AD2 בגליון העבודה 'הכנסות (מכירות)'" sqref="AB2"/>
    <dataValidation allowBlank="1" showInputMessage="1" showErrorMessage="1" prompt="החודש מתעדכן באופן אוטומטי. כדי לשנות, שנה את תא AC2 בגיליון 'הכנסות (מכירות)'" sqref="AC2"/>
    <dataValidation allowBlank="1" showInputMessage="1" showErrorMessage="1" prompt="החודש מתעדכן באופן אוטומטי. כדי לשנות, שנה את תא AD2 בגיליון 'הכנסות (מכירות)'" sqref="AD2"/>
    <dataValidation allowBlank="1" showInputMessage="1" showErrorMessage="1" prompt="גליון עבודה זה מחשב את סה&quot;כ ההוצאות עבור כל חודש וכל שנה, ואת סה&quot;כ ההוצאות השנתיות לכל פריט. רווח הנטו מחושב באופן אוטומטי בהתבסס על רווח הברוטו וסה&quot;כ ההוצאות " sqref="A1:A1048576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rightToLeft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הוצאות!D5:O5</xm:f>
              <xm:sqref>C5</xm:sqref>
            </x14:sparkline>
            <x14:sparkline>
              <xm:f>הוצאות!D6:O6</xm:f>
              <xm:sqref>C6</xm:sqref>
            </x14:sparkline>
            <x14:sparkline>
              <xm:f>הוצאות!D7:O7</xm:f>
              <xm:sqref>C7</xm:sqref>
            </x14:sparkline>
            <x14:sparkline>
              <xm:f>הוצאות!D8:O8</xm:f>
              <xm:sqref>C8</xm:sqref>
            </x14:sparkline>
            <x14:sparkline>
              <xm:f>הוצאות!D9:O9</xm:f>
              <xm:sqref>C9</xm:sqref>
            </x14:sparkline>
            <x14:sparkline>
              <xm:f>הוצאות!D10:O10</xm:f>
              <xm:sqref>C10</xm:sqref>
            </x14:sparkline>
            <x14:sparkline>
              <xm:f>הוצאות!D11:O11</xm:f>
              <xm:sqref>C11</xm:sqref>
            </x14:sparkline>
            <x14:sparkline>
              <xm:f>הוצאות!D12:O12</xm:f>
              <xm:sqref>C12</xm:sqref>
            </x14:sparkline>
            <x14:sparkline>
              <xm:f>הוצאות!D13:O13</xm:f>
              <xm:sqref>C13</xm:sqref>
            </x14:sparkline>
            <x14:sparkline>
              <xm:f>הוצאות!D14:O14</xm:f>
              <xm:sqref>C14</xm:sqref>
            </x14:sparkline>
            <x14:sparkline>
              <xm:f>הוצאות!D15:O15</xm:f>
              <xm:sqref>C15</xm:sqref>
            </x14:sparkline>
            <x14:sparkline>
              <xm:f>הוצאות!D16:O16</xm:f>
              <xm:sqref>C16</xm:sqref>
            </x14:sparkline>
            <x14:sparkline>
              <xm:f>הוצאות!D17:O17</xm:f>
              <xm:sqref>C17</xm:sqref>
            </x14:sparkline>
            <x14:sparkline>
              <xm:f>הוצאות!D18:O18</xm:f>
              <xm:sqref>C18</xm:sqref>
            </x14:sparkline>
            <x14:sparkline>
              <xm:f>הוצאות!D19:O19</xm:f>
              <xm:sqref>C19</xm:sqref>
            </x14:sparkline>
            <x14:sparkline>
              <xm:f>הוצאות!D20:O20</xm:f>
              <xm:sqref>C20</xm:sqref>
            </x14:sparkline>
            <x14:sparkline>
              <xm:f>הוצאות!D21:O21</xm:f>
              <xm:sqref>C21</xm:sqref>
            </x14:sparkline>
            <x14:sparkline>
              <xm:f>הוצאות!D22:O22</xm:f>
              <xm:sqref>C22</xm:sqref>
            </x14:sparkline>
            <x14:sparkline>
              <xm:f>הוצאות!D23:O23</xm:f>
              <xm:sqref>C23</xm:sqref>
            </x14:sparkline>
          </x14:sparklines>
        </x14:sparklineGroup>
        <x14:sparklineGroup lineWeight="1" displayEmptyCellsAs="gap" high="1" low="1" rightToLeft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הוצאות!D24:O24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TM02802361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ap:HeadingPairs>
  <ap:TitlesOfParts>
    <vt:vector baseType="lpstr" size="14">
      <vt:lpstr>הכנסות (מכירות)</vt:lpstr>
      <vt:lpstr>עלות מכירות</vt:lpstr>
      <vt:lpstr>הוצאות</vt:lpstr>
      <vt:lpstr>FYMonthStart</vt:lpstr>
      <vt:lpstr>FYStartYear</vt:lpstr>
      <vt:lpstr>Projection_Period_Title</vt:lpstr>
      <vt:lpstr>Wksht_Title</vt:lpstr>
      <vt:lpstr>הוצאות!WPrint_TitlesW</vt:lpstr>
      <vt:lpstr>'הכנסות (מכירות)'!WPrint_TitlesW</vt:lpstr>
      <vt:lpstr>'עלות מכירות'!WPrint_TitlesW</vt:lpstr>
      <vt:lpstr>כותרת1</vt:lpstr>
      <vt:lpstr>כותרת2</vt:lpstr>
      <vt:lpstr>כותרת3</vt:lpstr>
      <vt:lpstr>שם_החברה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2017-07-28T02:00:00Z</dcterms:modified>
</cp:coreProperties>
</file>